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405" windowWidth="25440" windowHeight="1317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прилож'!$A$1:$U$1137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U286" i="13" l="1"/>
  <c r="T286" i="13"/>
  <c r="S286" i="13"/>
  <c r="Q286" i="13"/>
  <c r="P286" i="13"/>
  <c r="O286" i="13"/>
  <c r="M286" i="13"/>
  <c r="L286" i="13"/>
  <c r="K286" i="13"/>
  <c r="U291" i="13"/>
  <c r="T291" i="13"/>
  <c r="S291" i="13"/>
  <c r="Q291" i="13"/>
  <c r="P291" i="13"/>
  <c r="O291" i="13"/>
  <c r="M291" i="13"/>
  <c r="K291" i="13"/>
  <c r="U313" i="13"/>
  <c r="T313" i="13"/>
  <c r="S313" i="13"/>
  <c r="R313" i="13"/>
  <c r="Q313" i="13"/>
  <c r="P313" i="13"/>
  <c r="O313" i="13"/>
  <c r="M313" i="13"/>
  <c r="L313" i="13"/>
  <c r="K313" i="13"/>
  <c r="J313" i="13"/>
  <c r="I313" i="13"/>
  <c r="H313" i="13"/>
  <c r="G313" i="13"/>
  <c r="F313" i="13"/>
  <c r="E313" i="13"/>
  <c r="U315" i="13"/>
  <c r="T315" i="13"/>
  <c r="S315" i="13"/>
  <c r="R315" i="13"/>
  <c r="Q315" i="13"/>
  <c r="P315" i="13"/>
  <c r="O315" i="13"/>
  <c r="M315" i="13"/>
  <c r="L315" i="13"/>
  <c r="K315" i="13"/>
  <c r="J315" i="13"/>
  <c r="I315" i="13"/>
  <c r="H315" i="13"/>
  <c r="G315" i="13"/>
  <c r="F315" i="13"/>
  <c r="E315" i="13"/>
  <c r="U319" i="13"/>
  <c r="T319" i="13"/>
  <c r="S319" i="13"/>
  <c r="Q319" i="13"/>
  <c r="O319" i="13"/>
  <c r="N319" i="13"/>
  <c r="M319" i="13"/>
  <c r="L319" i="13"/>
  <c r="K319" i="13"/>
  <c r="J319" i="13"/>
  <c r="I319" i="13"/>
  <c r="H319" i="13"/>
  <c r="G319" i="13"/>
  <c r="F319" i="13"/>
  <c r="E319" i="13"/>
  <c r="U321" i="13"/>
  <c r="T321" i="13"/>
  <c r="S321" i="13"/>
  <c r="Q321" i="13"/>
  <c r="P321" i="13"/>
  <c r="O321" i="13"/>
  <c r="M321" i="13"/>
  <c r="L321" i="13"/>
  <c r="K321" i="13"/>
  <c r="U325" i="13"/>
  <c r="T325" i="13"/>
  <c r="S325" i="13"/>
  <c r="Q325" i="13"/>
  <c r="P325" i="13"/>
  <c r="O325" i="13"/>
  <c r="N325" i="13"/>
  <c r="M325" i="13"/>
  <c r="L325" i="13"/>
  <c r="K325" i="13"/>
  <c r="I325" i="13"/>
  <c r="H325" i="13"/>
  <c r="G325" i="13"/>
  <c r="F325" i="13"/>
  <c r="U327" i="13"/>
  <c r="T327" i="13"/>
  <c r="S327" i="13"/>
  <c r="Q327" i="13"/>
  <c r="P327" i="13"/>
  <c r="O327" i="13"/>
  <c r="M327" i="13"/>
  <c r="L327" i="13"/>
  <c r="K327" i="13"/>
  <c r="J327" i="13"/>
  <c r="I327" i="13"/>
  <c r="H327" i="13"/>
  <c r="G327" i="13"/>
  <c r="F327" i="13"/>
  <c r="E327" i="13"/>
  <c r="U331" i="13"/>
  <c r="T331" i="13"/>
  <c r="S331" i="13"/>
  <c r="R331" i="13"/>
  <c r="Q331" i="13"/>
  <c r="P331" i="13"/>
  <c r="O331" i="13"/>
  <c r="M331" i="13"/>
  <c r="L331" i="13"/>
  <c r="K331" i="13"/>
  <c r="I331" i="13"/>
  <c r="G331" i="13"/>
  <c r="F331" i="13"/>
  <c r="U333" i="13"/>
  <c r="T333" i="13"/>
  <c r="S333" i="13"/>
  <c r="R333" i="13"/>
  <c r="Q333" i="13"/>
  <c r="P333" i="13"/>
  <c r="O333" i="13"/>
  <c r="M333" i="13"/>
  <c r="L333" i="13"/>
  <c r="K333" i="13"/>
  <c r="I333" i="13"/>
  <c r="U339" i="13"/>
  <c r="T339" i="13"/>
  <c r="S339" i="13"/>
  <c r="Q339" i="13"/>
  <c r="P339" i="13"/>
  <c r="O339" i="13"/>
  <c r="M339" i="13"/>
  <c r="L339" i="13"/>
  <c r="K339" i="13"/>
  <c r="J339" i="13"/>
  <c r="U347" i="13"/>
  <c r="T347" i="13"/>
  <c r="S347" i="13"/>
  <c r="R347" i="13"/>
  <c r="Q347" i="13"/>
  <c r="P347" i="13"/>
  <c r="O347" i="13"/>
  <c r="M347" i="13"/>
  <c r="L347" i="13"/>
  <c r="K347" i="13"/>
  <c r="J347" i="13"/>
  <c r="I347" i="13"/>
  <c r="H347" i="13"/>
  <c r="G347" i="13"/>
  <c r="F347" i="13"/>
  <c r="E347" i="13"/>
  <c r="U349" i="13"/>
  <c r="T349" i="13"/>
  <c r="S349" i="13"/>
  <c r="R349" i="13"/>
  <c r="Q349" i="13"/>
  <c r="P349" i="13"/>
  <c r="O349" i="13"/>
  <c r="N349" i="13"/>
  <c r="M349" i="13"/>
  <c r="L349" i="13"/>
  <c r="K349" i="13"/>
  <c r="J349" i="13"/>
  <c r="I349" i="13"/>
  <c r="H349" i="13"/>
  <c r="G349" i="13"/>
  <c r="F349" i="13"/>
  <c r="E349" i="13"/>
  <c r="U351" i="13"/>
  <c r="T351" i="13"/>
  <c r="S351" i="13"/>
  <c r="R351" i="13"/>
  <c r="Q351" i="13"/>
  <c r="P351" i="13"/>
  <c r="O351" i="13"/>
  <c r="M351" i="13"/>
  <c r="L351" i="13"/>
  <c r="K351" i="13"/>
  <c r="J351" i="13"/>
  <c r="I351" i="13"/>
  <c r="H351" i="13"/>
  <c r="G351" i="13"/>
  <c r="F351" i="13"/>
  <c r="E351" i="13"/>
  <c r="U355" i="13"/>
  <c r="T355" i="13"/>
  <c r="S355" i="13"/>
  <c r="Q355" i="13"/>
  <c r="P355" i="13"/>
  <c r="O355" i="13"/>
  <c r="M355" i="13"/>
  <c r="L355" i="13"/>
  <c r="K355" i="13"/>
  <c r="J355" i="13"/>
  <c r="U357" i="13"/>
  <c r="T357" i="13"/>
  <c r="S357" i="13"/>
  <c r="R357" i="13"/>
  <c r="Q357" i="13"/>
  <c r="P357" i="13"/>
  <c r="O357" i="13"/>
  <c r="M357" i="13"/>
  <c r="L357" i="13"/>
  <c r="K357" i="13"/>
  <c r="J357" i="13"/>
  <c r="I357" i="13"/>
  <c r="H357" i="13"/>
  <c r="G357" i="13"/>
  <c r="F357" i="13"/>
  <c r="E357" i="13"/>
  <c r="U360" i="13"/>
  <c r="T360" i="13"/>
  <c r="S360" i="13"/>
  <c r="R360" i="13"/>
  <c r="Q360" i="13"/>
  <c r="P360" i="13"/>
  <c r="O360" i="13"/>
  <c r="M360" i="13"/>
  <c r="L360" i="13"/>
  <c r="K360" i="13"/>
  <c r="J360" i="13"/>
  <c r="I360" i="13"/>
  <c r="H360" i="13"/>
  <c r="G360" i="13"/>
  <c r="F360" i="13"/>
  <c r="E360" i="13"/>
  <c r="U362" i="13"/>
  <c r="T362" i="13"/>
  <c r="S362" i="13"/>
  <c r="R362" i="13"/>
  <c r="Q362" i="13"/>
  <c r="P362" i="13"/>
  <c r="O362" i="13"/>
  <c r="N362" i="13"/>
  <c r="M362" i="13"/>
  <c r="L362" i="13"/>
  <c r="K362" i="13"/>
  <c r="J362" i="13"/>
  <c r="I362" i="13"/>
  <c r="H362" i="13"/>
  <c r="G362" i="13"/>
  <c r="F362" i="13"/>
  <c r="E362" i="13"/>
  <c r="U364" i="13"/>
  <c r="T364" i="13"/>
  <c r="S364" i="13"/>
  <c r="R364" i="13"/>
  <c r="Q364" i="13"/>
  <c r="P364" i="13"/>
  <c r="O364" i="13"/>
  <c r="M364" i="13"/>
  <c r="L364" i="13"/>
  <c r="K364" i="13"/>
  <c r="J364" i="13"/>
  <c r="I364" i="13"/>
  <c r="H364" i="13"/>
  <c r="G364" i="13"/>
  <c r="F364" i="13"/>
  <c r="E364" i="13"/>
  <c r="U368" i="13"/>
  <c r="T368" i="13"/>
  <c r="S368" i="13"/>
  <c r="R368" i="13"/>
  <c r="Q368" i="13"/>
  <c r="P368" i="13"/>
  <c r="O368" i="13"/>
  <c r="M368" i="13"/>
  <c r="L368" i="13"/>
  <c r="K368" i="13"/>
  <c r="J368" i="13"/>
  <c r="I368" i="13"/>
  <c r="H368" i="13"/>
  <c r="G368" i="13"/>
  <c r="F368" i="13"/>
  <c r="E368" i="13"/>
  <c r="U372" i="13"/>
  <c r="T372" i="13"/>
  <c r="S372" i="13"/>
  <c r="R372" i="13"/>
  <c r="Q372" i="13"/>
  <c r="P372" i="13"/>
  <c r="O372" i="13"/>
  <c r="M372" i="13"/>
  <c r="L372" i="13"/>
  <c r="K372" i="13"/>
  <c r="J372" i="13"/>
  <c r="I372" i="13"/>
  <c r="H372" i="13"/>
  <c r="G372" i="13"/>
  <c r="F372" i="13"/>
  <c r="E372" i="13"/>
  <c r="U375" i="13"/>
  <c r="T375" i="13"/>
  <c r="S375" i="13"/>
  <c r="R375" i="13"/>
  <c r="Q375" i="13"/>
  <c r="P375" i="13"/>
  <c r="O375" i="13"/>
  <c r="N375" i="13"/>
  <c r="M375" i="13"/>
  <c r="L375" i="13"/>
  <c r="K375" i="13"/>
  <c r="J375" i="13"/>
  <c r="I375" i="13"/>
  <c r="H375" i="13"/>
  <c r="G375" i="13"/>
  <c r="F375" i="13"/>
  <c r="E375" i="13"/>
  <c r="U377" i="13"/>
  <c r="T377" i="13"/>
  <c r="S377" i="13"/>
  <c r="Q377" i="13"/>
  <c r="P377" i="13"/>
  <c r="O377" i="13"/>
  <c r="M377" i="13"/>
  <c r="L377" i="13"/>
  <c r="K377" i="13"/>
  <c r="J377" i="13"/>
  <c r="I377" i="13"/>
  <c r="H377" i="13"/>
  <c r="G377" i="13"/>
  <c r="F377" i="13"/>
  <c r="E377" i="13"/>
  <c r="U384" i="13"/>
  <c r="T384" i="13"/>
  <c r="S384" i="13"/>
  <c r="R384" i="13"/>
  <c r="Q384" i="13"/>
  <c r="P384" i="13"/>
  <c r="O384" i="13"/>
  <c r="M384" i="13"/>
  <c r="L384" i="13"/>
  <c r="K384" i="13"/>
  <c r="J384" i="13"/>
  <c r="I384" i="13"/>
  <c r="H384" i="13"/>
  <c r="G384" i="13"/>
  <c r="F384" i="13"/>
  <c r="E384" i="13"/>
  <c r="U386" i="13"/>
  <c r="T386" i="13"/>
  <c r="Q386" i="13"/>
  <c r="O386" i="13"/>
  <c r="M386" i="13"/>
  <c r="L386" i="13"/>
  <c r="K386" i="13"/>
  <c r="U409" i="13"/>
  <c r="T409" i="13"/>
  <c r="S409" i="13"/>
  <c r="Q409" i="13"/>
  <c r="P409" i="13"/>
  <c r="O409" i="13"/>
  <c r="M409" i="13"/>
  <c r="L409" i="13"/>
  <c r="K409" i="13"/>
  <c r="U411" i="13"/>
  <c r="T411" i="13"/>
  <c r="S411" i="13"/>
  <c r="Q411" i="13"/>
  <c r="P411" i="13"/>
  <c r="O411" i="13"/>
  <c r="M411" i="13"/>
  <c r="L411" i="13"/>
  <c r="K411" i="13"/>
  <c r="U421" i="13"/>
  <c r="T421" i="13"/>
  <c r="S421" i="13"/>
  <c r="Q421" i="13"/>
  <c r="P421" i="13"/>
  <c r="O421" i="13"/>
  <c r="M421" i="13"/>
  <c r="L421" i="13"/>
  <c r="K421" i="13"/>
  <c r="U429" i="13"/>
  <c r="T429" i="13"/>
  <c r="S429" i="13"/>
  <c r="Q429" i="13"/>
  <c r="P429" i="13"/>
  <c r="O429" i="13"/>
  <c r="M429" i="13"/>
  <c r="L429" i="13"/>
  <c r="K429" i="13"/>
  <c r="J429" i="13"/>
  <c r="I429" i="13"/>
  <c r="H429" i="13"/>
  <c r="G429" i="13"/>
  <c r="F429" i="13"/>
  <c r="E429" i="13"/>
  <c r="U431" i="13"/>
  <c r="T431" i="13"/>
  <c r="S431" i="13"/>
  <c r="Q431" i="13"/>
  <c r="P431" i="13"/>
  <c r="O431" i="13"/>
  <c r="M431" i="13"/>
  <c r="L431" i="13"/>
  <c r="K431" i="13"/>
  <c r="H431" i="13"/>
  <c r="F431" i="13"/>
  <c r="U433" i="13"/>
  <c r="T433" i="13"/>
  <c r="S433" i="13"/>
  <c r="Q433" i="13"/>
  <c r="O433" i="13"/>
  <c r="M433" i="13"/>
  <c r="L433" i="13"/>
  <c r="K433" i="13"/>
  <c r="U452" i="13"/>
  <c r="T452" i="13"/>
  <c r="S452" i="13"/>
  <c r="Q452" i="13"/>
  <c r="P452" i="13"/>
  <c r="O452" i="13"/>
  <c r="N452" i="13"/>
  <c r="M452" i="13"/>
  <c r="L452" i="13"/>
  <c r="K452" i="13"/>
  <c r="J452" i="13"/>
  <c r="I452" i="13"/>
  <c r="H452" i="13"/>
  <c r="G452" i="13"/>
  <c r="F452" i="13"/>
  <c r="E452" i="13"/>
  <c r="U454" i="13"/>
  <c r="T454" i="13"/>
  <c r="S454" i="13"/>
  <c r="R454" i="13"/>
  <c r="Q454" i="13"/>
  <c r="P454" i="13"/>
  <c r="O454" i="13"/>
  <c r="N454" i="13"/>
  <c r="M454" i="13"/>
  <c r="L454" i="13"/>
  <c r="K454" i="13"/>
  <c r="I454" i="13"/>
  <c r="H454" i="13"/>
  <c r="G454" i="13"/>
  <c r="F454" i="13"/>
  <c r="E454" i="13"/>
  <c r="U456" i="13"/>
  <c r="T456" i="13"/>
  <c r="S456" i="13"/>
  <c r="Q456" i="13"/>
  <c r="P456" i="13"/>
  <c r="O456" i="13"/>
  <c r="M456" i="13"/>
  <c r="L456" i="13"/>
  <c r="K456" i="13"/>
  <c r="J456" i="13"/>
  <c r="I456" i="13"/>
  <c r="H456" i="13"/>
  <c r="G456" i="13"/>
  <c r="F456" i="13"/>
  <c r="E456" i="13"/>
  <c r="U459" i="13"/>
  <c r="T459" i="13"/>
  <c r="S459" i="13"/>
  <c r="Q459" i="13"/>
  <c r="P459" i="13"/>
  <c r="O459" i="13"/>
  <c r="M459" i="13"/>
  <c r="L459" i="13"/>
  <c r="K459" i="13"/>
  <c r="U461" i="13"/>
  <c r="T461" i="13"/>
  <c r="S461" i="13"/>
  <c r="Q461" i="13"/>
  <c r="O461" i="13"/>
  <c r="M461" i="13"/>
  <c r="K461" i="13"/>
  <c r="U727" i="13"/>
  <c r="T727" i="13"/>
  <c r="S727" i="13"/>
  <c r="Q727" i="13"/>
  <c r="P727" i="13"/>
  <c r="O727" i="13"/>
  <c r="M727" i="13"/>
  <c r="L727" i="13"/>
  <c r="K727" i="13"/>
  <c r="J727" i="13"/>
  <c r="U731" i="13"/>
  <c r="T731" i="13"/>
  <c r="S731" i="13"/>
  <c r="Q731" i="13"/>
  <c r="P731" i="13"/>
  <c r="O731" i="13"/>
  <c r="M731" i="13"/>
  <c r="L731" i="13"/>
  <c r="K731" i="13"/>
  <c r="J731" i="13"/>
  <c r="H731" i="13"/>
  <c r="U733" i="13"/>
  <c r="T733" i="13"/>
  <c r="S733" i="13"/>
  <c r="Q733" i="13"/>
  <c r="P733" i="13"/>
  <c r="O733" i="13"/>
  <c r="M733" i="13"/>
  <c r="L733" i="13"/>
  <c r="K733" i="13"/>
  <c r="J733" i="13"/>
  <c r="U736" i="13"/>
  <c r="T736" i="13"/>
  <c r="S736" i="13"/>
  <c r="Q736" i="13"/>
  <c r="P736" i="13"/>
  <c r="O736" i="13"/>
  <c r="M736" i="13"/>
  <c r="L736" i="13"/>
  <c r="K736" i="13"/>
  <c r="J736" i="13"/>
  <c r="U747" i="13"/>
  <c r="T747" i="13"/>
  <c r="S747" i="13"/>
  <c r="Q747" i="13"/>
  <c r="P747" i="13"/>
  <c r="O747" i="13"/>
  <c r="M747" i="13"/>
  <c r="L747" i="13"/>
  <c r="K747" i="13"/>
  <c r="J747" i="13"/>
  <c r="I747" i="13"/>
  <c r="H747" i="13"/>
  <c r="G747" i="13"/>
  <c r="F747" i="13"/>
  <c r="U749" i="13"/>
  <c r="T749" i="13"/>
  <c r="S749" i="13"/>
  <c r="Q749" i="13"/>
  <c r="P749" i="13"/>
  <c r="O749" i="13"/>
  <c r="M749" i="13"/>
  <c r="L749" i="13"/>
  <c r="K749" i="13"/>
  <c r="J749" i="13"/>
  <c r="I749" i="13"/>
  <c r="H749" i="13"/>
  <c r="G749" i="13"/>
  <c r="F749" i="13"/>
  <c r="U753" i="13"/>
  <c r="T753" i="13"/>
  <c r="S753" i="13"/>
  <c r="Q753" i="13"/>
  <c r="P753" i="13"/>
  <c r="O753" i="13"/>
  <c r="M753" i="13"/>
  <c r="L753" i="13"/>
  <c r="K753" i="13"/>
  <c r="J753" i="13"/>
  <c r="U755" i="13"/>
  <c r="T755" i="13"/>
  <c r="S755" i="13"/>
  <c r="Q755" i="13"/>
  <c r="P755" i="13"/>
  <c r="O755" i="13"/>
  <c r="M755" i="13"/>
  <c r="L755" i="13"/>
  <c r="K755" i="13"/>
  <c r="J755" i="13"/>
  <c r="F755" i="13"/>
  <c r="U759" i="13"/>
  <c r="T759" i="13"/>
  <c r="S759" i="13"/>
  <c r="Q759" i="13"/>
  <c r="P759" i="13"/>
  <c r="O759" i="13"/>
  <c r="M759" i="13"/>
  <c r="L759" i="13"/>
  <c r="K759" i="13"/>
  <c r="J759" i="13"/>
  <c r="I759" i="13"/>
  <c r="H759" i="13"/>
  <c r="G759" i="13"/>
  <c r="F759" i="13"/>
  <c r="E759" i="13"/>
  <c r="U761" i="13"/>
  <c r="T761" i="13"/>
  <c r="S761" i="13"/>
  <c r="R761" i="13"/>
  <c r="Q761" i="13"/>
  <c r="P761" i="13"/>
  <c r="O761" i="13"/>
  <c r="N761" i="13"/>
  <c r="M761" i="13"/>
  <c r="L761" i="13"/>
  <c r="K761" i="13"/>
  <c r="J761" i="13"/>
  <c r="I761" i="13"/>
  <c r="H761" i="13"/>
  <c r="G761" i="13"/>
  <c r="F761" i="13"/>
  <c r="U763" i="13"/>
  <c r="T763" i="13"/>
  <c r="S763" i="13"/>
  <c r="Q763" i="13"/>
  <c r="P763" i="13"/>
  <c r="O763" i="13"/>
  <c r="M763" i="13"/>
  <c r="L763" i="13"/>
  <c r="K763" i="13"/>
  <c r="U766" i="13"/>
  <c r="T766" i="13"/>
  <c r="S766" i="13"/>
  <c r="Q766" i="13"/>
  <c r="P766" i="13"/>
  <c r="O766" i="13"/>
  <c r="M766" i="13"/>
  <c r="L766" i="13"/>
  <c r="K766" i="13"/>
  <c r="J766" i="13"/>
  <c r="U783" i="13"/>
  <c r="T783" i="13"/>
  <c r="S783" i="13"/>
  <c r="Q783" i="13"/>
  <c r="P783" i="13"/>
  <c r="O783" i="13"/>
  <c r="M783" i="13"/>
  <c r="L783" i="13"/>
  <c r="K783" i="13"/>
  <c r="J783" i="13"/>
  <c r="U786" i="13"/>
  <c r="T786" i="13"/>
  <c r="S786" i="13"/>
  <c r="R786" i="13"/>
  <c r="Q786" i="13"/>
  <c r="P786" i="13"/>
  <c r="O786" i="13"/>
  <c r="M786" i="13"/>
  <c r="L786" i="13"/>
  <c r="K786" i="13"/>
  <c r="J786" i="13"/>
  <c r="E786" i="13"/>
  <c r="U285" i="13" l="1"/>
  <c r="T285" i="13"/>
  <c r="Q285" i="13"/>
  <c r="K285" i="13"/>
  <c r="O285" i="13"/>
  <c r="M285" i="13"/>
  <c r="V682" i="13" l="1"/>
  <c r="J682" i="13"/>
  <c r="D682" i="13" s="1"/>
  <c r="C682" i="13" s="1"/>
  <c r="V680" i="13"/>
  <c r="J680" i="13"/>
  <c r="D680" i="13" s="1"/>
  <c r="C680" i="13" s="1"/>
  <c r="V662" i="13"/>
  <c r="D662" i="13"/>
  <c r="C662" i="13" s="1"/>
  <c r="V565" i="13"/>
  <c r="J565" i="13"/>
  <c r="D565" i="13" s="1"/>
  <c r="C565" i="13" s="1"/>
  <c r="V522" i="13"/>
  <c r="J522" i="13"/>
  <c r="D522" i="13" s="1"/>
  <c r="C522" i="13" s="1"/>
  <c r="V521" i="13"/>
  <c r="J521" i="13"/>
  <c r="D521" i="13" s="1"/>
  <c r="C521" i="13" s="1"/>
  <c r="V520" i="13"/>
  <c r="J520" i="13"/>
  <c r="D520" i="13" s="1"/>
  <c r="C520" i="13" s="1"/>
  <c r="V523" i="13"/>
  <c r="J523" i="13"/>
  <c r="D523" i="13" s="1"/>
  <c r="C523" i="13" s="1"/>
  <c r="V455" i="13"/>
  <c r="J455" i="13"/>
  <c r="V439" i="13"/>
  <c r="J439" i="13"/>
  <c r="H439" i="13"/>
  <c r="V435" i="13"/>
  <c r="J435" i="13"/>
  <c r="H435" i="13"/>
  <c r="D455" i="13" l="1"/>
  <c r="D454" i="13" s="1"/>
  <c r="J454" i="13"/>
  <c r="D439" i="13"/>
  <c r="C439" i="13" s="1"/>
  <c r="D435" i="13"/>
  <c r="C435" i="13" s="1"/>
  <c r="C455" i="13"/>
  <c r="C454" i="13" l="1"/>
  <c r="V454" i="13" s="1"/>
  <c r="V696" i="13"/>
  <c r="D696" i="13"/>
  <c r="C696" i="13" s="1"/>
  <c r="E566" i="13" l="1"/>
  <c r="F566" i="13"/>
  <c r="G566" i="13"/>
  <c r="H566" i="13"/>
  <c r="I566" i="13"/>
  <c r="E432" i="13"/>
  <c r="E431" i="13" s="1"/>
  <c r="G432" i="13"/>
  <c r="G431" i="13" s="1"/>
  <c r="I432" i="13"/>
  <c r="I431" i="13" s="1"/>
  <c r="E770" i="13"/>
  <c r="F770" i="13"/>
  <c r="G770" i="13"/>
  <c r="I770" i="13"/>
  <c r="E735" i="13"/>
  <c r="F735" i="13"/>
  <c r="G735" i="13"/>
  <c r="H735" i="13"/>
  <c r="I735" i="13"/>
  <c r="E734" i="13"/>
  <c r="E733" i="13" s="1"/>
  <c r="F734" i="13"/>
  <c r="F733" i="13" s="1"/>
  <c r="G734" i="13"/>
  <c r="H734" i="13"/>
  <c r="I734" i="13"/>
  <c r="I733" i="13" s="1"/>
  <c r="E729" i="13"/>
  <c r="F729" i="13"/>
  <c r="G729" i="13"/>
  <c r="H729" i="13"/>
  <c r="I729" i="13"/>
  <c r="E728" i="13"/>
  <c r="F728" i="13"/>
  <c r="G728" i="13"/>
  <c r="H728" i="13"/>
  <c r="I728" i="13"/>
  <c r="E691" i="13"/>
  <c r="F691" i="13"/>
  <c r="G691" i="13"/>
  <c r="H691" i="13"/>
  <c r="I691" i="13"/>
  <c r="E690" i="13"/>
  <c r="F690" i="13"/>
  <c r="G690" i="13"/>
  <c r="H690" i="13"/>
  <c r="I690" i="13"/>
  <c r="E689" i="13"/>
  <c r="F689" i="13"/>
  <c r="G689" i="13"/>
  <c r="I689" i="13"/>
  <c r="H689" i="13"/>
  <c r="E688" i="13"/>
  <c r="F688" i="13"/>
  <c r="G688" i="13"/>
  <c r="H688" i="13"/>
  <c r="I688" i="13"/>
  <c r="E653" i="13"/>
  <c r="F653" i="13"/>
  <c r="G653" i="13"/>
  <c r="H653" i="13"/>
  <c r="I653" i="13"/>
  <c r="I651" i="13"/>
  <c r="H651" i="13"/>
  <c r="G651" i="13"/>
  <c r="F651" i="13"/>
  <c r="E651" i="13"/>
  <c r="V184" i="13"/>
  <c r="J184" i="13"/>
  <c r="D184" i="13" s="1"/>
  <c r="C184" i="13" s="1"/>
  <c r="G733" i="13" l="1"/>
  <c r="H733" i="13"/>
  <c r="V197" i="13"/>
  <c r="J197" i="13"/>
  <c r="D197" i="13" s="1"/>
  <c r="C197" i="13" s="1"/>
  <c r="R1029" i="13" l="1"/>
  <c r="N1029" i="13"/>
  <c r="V1029" i="13" s="1"/>
  <c r="D1029" i="13"/>
  <c r="V579" i="13"/>
  <c r="J579" i="13"/>
  <c r="I579" i="13"/>
  <c r="H579" i="13"/>
  <c r="G579" i="13"/>
  <c r="F579" i="13"/>
  <c r="E579" i="13"/>
  <c r="V578" i="13"/>
  <c r="J578" i="13"/>
  <c r="I578" i="13"/>
  <c r="H578" i="13"/>
  <c r="G578" i="13"/>
  <c r="F578" i="13"/>
  <c r="E578" i="13"/>
  <c r="V533" i="13"/>
  <c r="J533" i="13"/>
  <c r="I533" i="13"/>
  <c r="H533" i="13"/>
  <c r="G533" i="13"/>
  <c r="F533" i="13"/>
  <c r="E533" i="13"/>
  <c r="V529" i="13"/>
  <c r="J529" i="13"/>
  <c r="I529" i="13"/>
  <c r="H529" i="13"/>
  <c r="G529" i="13"/>
  <c r="F529" i="13"/>
  <c r="E529" i="13"/>
  <c r="V528" i="13"/>
  <c r="J528" i="13"/>
  <c r="I528" i="13"/>
  <c r="H528" i="13"/>
  <c r="G528" i="13"/>
  <c r="F528" i="13"/>
  <c r="E528" i="13"/>
  <c r="S394" i="13"/>
  <c r="R394" i="13"/>
  <c r="N394" i="13"/>
  <c r="V394" i="13" s="1"/>
  <c r="J394" i="13"/>
  <c r="H394" i="13"/>
  <c r="E394" i="13"/>
  <c r="N768" i="13"/>
  <c r="V768" i="13" s="1"/>
  <c r="D768" i="13"/>
  <c r="C1029" i="13" l="1"/>
  <c r="C768" i="13"/>
  <c r="D578" i="13"/>
  <c r="C578" i="13" s="1"/>
  <c r="D579" i="13"/>
  <c r="C579" i="13" s="1"/>
  <c r="D533" i="13"/>
  <c r="C533" i="13" s="1"/>
  <c r="D394" i="13"/>
  <c r="C394" i="13" s="1"/>
  <c r="D528" i="13"/>
  <c r="C528" i="13" s="1"/>
  <c r="D529" i="13"/>
  <c r="C529" i="13" s="1"/>
  <c r="V635" i="13"/>
  <c r="J635" i="13"/>
  <c r="I635" i="13"/>
  <c r="H635" i="13"/>
  <c r="G635" i="13"/>
  <c r="F635" i="13"/>
  <c r="E635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363" i="13"/>
  <c r="D363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363" i="13" l="1"/>
  <c r="C362" i="13" s="1"/>
  <c r="D362" i="13"/>
  <c r="V362" i="13"/>
  <c r="D635" i="13"/>
  <c r="C635" i="13" s="1"/>
  <c r="C198" i="13"/>
  <c r="V762" i="13"/>
  <c r="E762" i="13"/>
  <c r="N699" i="13"/>
  <c r="N577" i="13"/>
  <c r="N369" i="13"/>
  <c r="D369" i="13"/>
  <c r="I502" i="13"/>
  <c r="F502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R781" i="13"/>
  <c r="R775" i="13"/>
  <c r="N775" i="13"/>
  <c r="V775" i="13" s="1"/>
  <c r="R676" i="13"/>
  <c r="N676" i="13"/>
  <c r="R675" i="13"/>
  <c r="N675" i="13"/>
  <c r="I675" i="13"/>
  <c r="H675" i="13"/>
  <c r="F675" i="13"/>
  <c r="R674" i="13"/>
  <c r="N674" i="13"/>
  <c r="N663" i="13"/>
  <c r="N657" i="13"/>
  <c r="N629" i="13"/>
  <c r="R609" i="13"/>
  <c r="N609" i="13"/>
  <c r="N575" i="13"/>
  <c r="R570" i="13"/>
  <c r="N570" i="13"/>
  <c r="N468" i="13"/>
  <c r="N467" i="13"/>
  <c r="N466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762" i="13" l="1"/>
  <c r="D761" i="13" s="1"/>
  <c r="E761" i="13"/>
  <c r="V369" i="13"/>
  <c r="C762" i="13"/>
  <c r="C761" i="13" s="1"/>
  <c r="C369" i="13"/>
  <c r="R436" i="13"/>
  <c r="N436" i="13"/>
  <c r="D436" i="13"/>
  <c r="V782" i="13"/>
  <c r="D782" i="13"/>
  <c r="C782" i="13" s="1"/>
  <c r="V626" i="13"/>
  <c r="L626" i="13"/>
  <c r="D626" i="13"/>
  <c r="V600" i="13"/>
  <c r="L600" i="13"/>
  <c r="D600" i="13"/>
  <c r="N328" i="13"/>
  <c r="N683" i="13"/>
  <c r="N636" i="13"/>
  <c r="R620" i="13"/>
  <c r="N619" i="13"/>
  <c r="N608" i="13"/>
  <c r="N606" i="13"/>
  <c r="P519" i="13"/>
  <c r="P461" i="13" s="1"/>
  <c r="N400" i="13"/>
  <c r="I289" i="13"/>
  <c r="I288" i="13"/>
  <c r="F289" i="13"/>
  <c r="F288" i="13"/>
  <c r="I773" i="13"/>
  <c r="G773" i="13"/>
  <c r="F773" i="13"/>
  <c r="E773" i="13"/>
  <c r="I772" i="13"/>
  <c r="G772" i="13"/>
  <c r="F772" i="13"/>
  <c r="E772" i="13"/>
  <c r="I771" i="13"/>
  <c r="G771" i="13"/>
  <c r="F771" i="13"/>
  <c r="E771" i="13"/>
  <c r="I769" i="13"/>
  <c r="G769" i="13"/>
  <c r="F769" i="13"/>
  <c r="E769" i="13"/>
  <c r="D281" i="13"/>
  <c r="C281" i="13" s="1"/>
  <c r="U1131" i="13"/>
  <c r="T1131" i="13"/>
  <c r="S1131" i="13"/>
  <c r="Q1131" i="13"/>
  <c r="P1131" i="13"/>
  <c r="O1131" i="13"/>
  <c r="M1131" i="13"/>
  <c r="L1131" i="13"/>
  <c r="K1131" i="13"/>
  <c r="J1131" i="13"/>
  <c r="E1131" i="13"/>
  <c r="D1132" i="13"/>
  <c r="C1132" i="13" s="1"/>
  <c r="D1134" i="13"/>
  <c r="V436" i="13" l="1"/>
  <c r="V761" i="13"/>
  <c r="C626" i="13"/>
  <c r="C600" i="13"/>
  <c r="C436" i="13"/>
  <c r="C1134" i="13"/>
  <c r="V499" i="13"/>
  <c r="J499" i="13"/>
  <c r="H499" i="13"/>
  <c r="F499" i="13"/>
  <c r="V594" i="13"/>
  <c r="J594" i="13"/>
  <c r="I594" i="13"/>
  <c r="H594" i="13"/>
  <c r="G594" i="13"/>
  <c r="F594" i="13"/>
  <c r="U850" i="13"/>
  <c r="T850" i="13"/>
  <c r="S850" i="13"/>
  <c r="R850" i="13"/>
  <c r="Q850" i="13"/>
  <c r="P850" i="13"/>
  <c r="O850" i="13"/>
  <c r="M850" i="13"/>
  <c r="L850" i="13"/>
  <c r="K850" i="13"/>
  <c r="J850" i="13"/>
  <c r="I850" i="13"/>
  <c r="H850" i="13"/>
  <c r="G850" i="13"/>
  <c r="F850" i="13"/>
  <c r="E850" i="13"/>
  <c r="D853" i="13"/>
  <c r="C853" i="13" s="1"/>
  <c r="V303" i="13"/>
  <c r="L303" i="13"/>
  <c r="D303" i="13"/>
  <c r="U885" i="13"/>
  <c r="T885" i="13"/>
  <c r="S885" i="13"/>
  <c r="Q885" i="13"/>
  <c r="P885" i="13"/>
  <c r="O885" i="13"/>
  <c r="M885" i="13"/>
  <c r="L885" i="13"/>
  <c r="K885" i="13"/>
  <c r="J885" i="13"/>
  <c r="E887" i="13"/>
  <c r="D887" i="13" s="1"/>
  <c r="V887" i="13"/>
  <c r="I462" i="13"/>
  <c r="H462" i="13"/>
  <c r="G462" i="13"/>
  <c r="F462" i="13"/>
  <c r="E462" i="13"/>
  <c r="I611" i="13"/>
  <c r="H611" i="13"/>
  <c r="G611" i="13"/>
  <c r="F611" i="13"/>
  <c r="E611" i="13"/>
  <c r="I501" i="13"/>
  <c r="G501" i="13"/>
  <c r="F501" i="13"/>
  <c r="E501" i="13"/>
  <c r="D499" i="13" l="1"/>
  <c r="C499" i="13" s="1"/>
  <c r="D594" i="13"/>
  <c r="C594" i="13" s="1"/>
  <c r="C303" i="13"/>
  <c r="C887" i="13"/>
  <c r="I447" i="13" l="1"/>
  <c r="G447" i="13"/>
  <c r="F447" i="13"/>
  <c r="E447" i="13"/>
  <c r="I446" i="13"/>
  <c r="G446" i="13"/>
  <c r="F446" i="13"/>
  <c r="E446" i="13"/>
  <c r="I442" i="13"/>
  <c r="G442" i="13"/>
  <c r="F442" i="13"/>
  <c r="E442" i="13"/>
  <c r="I440" i="13"/>
  <c r="G440" i="13"/>
  <c r="F440" i="13"/>
  <c r="E440" i="13"/>
  <c r="N460" i="13"/>
  <c r="N459" i="13" s="1"/>
  <c r="E460" i="13"/>
  <c r="E459" i="13" s="1"/>
  <c r="I322" i="13"/>
  <c r="I321" i="13" s="1"/>
  <c r="G322" i="13"/>
  <c r="G321" i="13" s="1"/>
  <c r="E322" i="13"/>
  <c r="E321" i="13" s="1"/>
  <c r="E756" i="13"/>
  <c r="E755" i="13" s="1"/>
  <c r="G425" i="13"/>
  <c r="E425" i="13"/>
  <c r="I423" i="13"/>
  <c r="H423" i="13"/>
  <c r="G423" i="13"/>
  <c r="F423" i="13"/>
  <c r="E423" i="13"/>
  <c r="I422" i="13"/>
  <c r="I421" i="13" s="1"/>
  <c r="H422" i="13"/>
  <c r="G422" i="13"/>
  <c r="G421" i="13" s="1"/>
  <c r="F422" i="13"/>
  <c r="E422" i="13"/>
  <c r="E332" i="13"/>
  <c r="E331" i="13" s="1"/>
  <c r="E326" i="13"/>
  <c r="E325" i="13" s="1"/>
  <c r="I420" i="13"/>
  <c r="H420" i="13"/>
  <c r="G420" i="13"/>
  <c r="F420" i="13"/>
  <c r="E420" i="13"/>
  <c r="I419" i="13"/>
  <c r="H419" i="13"/>
  <c r="G419" i="13"/>
  <c r="F419" i="13"/>
  <c r="E419" i="13"/>
  <c r="I417" i="13"/>
  <c r="G417" i="13"/>
  <c r="F417" i="13"/>
  <c r="E417" i="13"/>
  <c r="I416" i="13"/>
  <c r="G416" i="13"/>
  <c r="F416" i="13"/>
  <c r="E416" i="13"/>
  <c r="G413" i="13"/>
  <c r="F413" i="13"/>
  <c r="E413" i="13"/>
  <c r="G412" i="13"/>
  <c r="F412" i="13"/>
  <c r="E412" i="13"/>
  <c r="E410" i="13"/>
  <c r="E409" i="13" s="1"/>
  <c r="I449" i="13"/>
  <c r="G449" i="13"/>
  <c r="F449" i="13"/>
  <c r="E449" i="13"/>
  <c r="I438" i="13"/>
  <c r="G438" i="13"/>
  <c r="F438" i="13"/>
  <c r="E438" i="13"/>
  <c r="I437" i="13"/>
  <c r="G437" i="13"/>
  <c r="F437" i="13"/>
  <c r="E437" i="13"/>
  <c r="I445" i="13"/>
  <c r="G445" i="13"/>
  <c r="F445" i="13"/>
  <c r="E445" i="13"/>
  <c r="I443" i="13"/>
  <c r="G443" i="13"/>
  <c r="F443" i="13"/>
  <c r="E443" i="13"/>
  <c r="I441" i="13"/>
  <c r="G441" i="13"/>
  <c r="F441" i="13"/>
  <c r="E441" i="13"/>
  <c r="I444" i="13"/>
  <c r="G444" i="13"/>
  <c r="F444" i="13"/>
  <c r="E444" i="13"/>
  <c r="I290" i="13"/>
  <c r="G290" i="13"/>
  <c r="E290" i="13"/>
  <c r="I287" i="13"/>
  <c r="I286" i="13" s="1"/>
  <c r="G287" i="13"/>
  <c r="E287" i="13"/>
  <c r="F433" i="13" l="1"/>
  <c r="G433" i="13"/>
  <c r="I433" i="13"/>
  <c r="E433" i="13"/>
  <c r="I845" i="13"/>
  <c r="H845" i="13"/>
  <c r="G845" i="13"/>
  <c r="F845" i="13"/>
  <c r="E845" i="13"/>
  <c r="N844" i="13"/>
  <c r="D844" i="13"/>
  <c r="P446" i="13"/>
  <c r="P440" i="13"/>
  <c r="P433" i="13" s="1"/>
  <c r="U1118" i="13"/>
  <c r="T1118" i="13"/>
  <c r="S1118" i="13"/>
  <c r="Q1118" i="13"/>
  <c r="P1118" i="13"/>
  <c r="O1118" i="13"/>
  <c r="M1118" i="13"/>
  <c r="L1118" i="13"/>
  <c r="K1118" i="13"/>
  <c r="J1118" i="13"/>
  <c r="I1137" i="13"/>
  <c r="I1136" i="13"/>
  <c r="I1133" i="13"/>
  <c r="I1131" i="13" s="1"/>
  <c r="I1130" i="13"/>
  <c r="I1129" i="13"/>
  <c r="I1128" i="13"/>
  <c r="I1127" i="13"/>
  <c r="I1126" i="13"/>
  <c r="I1121" i="13"/>
  <c r="I1120" i="13"/>
  <c r="I1119" i="13"/>
  <c r="I1125" i="13"/>
  <c r="I1124" i="13"/>
  <c r="I1123" i="13"/>
  <c r="I1122" i="13"/>
  <c r="I1117" i="13"/>
  <c r="I1112" i="13"/>
  <c r="I1110" i="13"/>
  <c r="I1103" i="13"/>
  <c r="I1099" i="13"/>
  <c r="I1096" i="13"/>
  <c r="I1094" i="13"/>
  <c r="I1092" i="13"/>
  <c r="I1090" i="13"/>
  <c r="I1080" i="13"/>
  <c r="I1079" i="13"/>
  <c r="I1078" i="13"/>
  <c r="I1058" i="13"/>
  <c r="I1038" i="13"/>
  <c r="I1027" i="13"/>
  <c r="I1024" i="13"/>
  <c r="I1001" i="13"/>
  <c r="I995" i="13"/>
  <c r="I994" i="13"/>
  <c r="I969" i="13"/>
  <c r="I966" i="13"/>
  <c r="I946" i="13"/>
  <c r="I938" i="13"/>
  <c r="I922" i="13"/>
  <c r="I913" i="13"/>
  <c r="I912" i="13"/>
  <c r="I910" i="13"/>
  <c r="I909" i="13"/>
  <c r="I907" i="13"/>
  <c r="I906" i="13"/>
  <c r="I905" i="13"/>
  <c r="I904" i="13"/>
  <c r="I903" i="13"/>
  <c r="I901" i="13"/>
  <c r="I900" i="13"/>
  <c r="I898" i="13"/>
  <c r="I896" i="13"/>
  <c r="I892" i="13"/>
  <c r="I893" i="13"/>
  <c r="I891" i="13"/>
  <c r="I889" i="13"/>
  <c r="I888" i="13"/>
  <c r="I886" i="13"/>
  <c r="I884" i="13"/>
  <c r="I883" i="13"/>
  <c r="I882" i="13"/>
  <c r="I880" i="13"/>
  <c r="I877" i="13"/>
  <c r="I876" i="13"/>
  <c r="I875" i="13"/>
  <c r="I874" i="13"/>
  <c r="I873" i="13"/>
  <c r="I872" i="13"/>
  <c r="I871" i="13"/>
  <c r="I865" i="13"/>
  <c r="I861" i="13"/>
  <c r="I857" i="13"/>
  <c r="I849" i="13"/>
  <c r="I829" i="13"/>
  <c r="I828" i="13"/>
  <c r="I827" i="13"/>
  <c r="I822" i="13"/>
  <c r="I821" i="13"/>
  <c r="I815" i="13"/>
  <c r="I814" i="13"/>
  <c r="I809" i="13"/>
  <c r="I808" i="13"/>
  <c r="I803" i="13"/>
  <c r="I797" i="13"/>
  <c r="I787" i="13"/>
  <c r="I786" i="13" s="1"/>
  <c r="I784" i="13"/>
  <c r="I783" i="13" s="1"/>
  <c r="I780" i="13"/>
  <c r="I779" i="13"/>
  <c r="I778" i="13"/>
  <c r="I777" i="13"/>
  <c r="I776" i="13"/>
  <c r="I775" i="13"/>
  <c r="I767" i="13"/>
  <c r="I756" i="13"/>
  <c r="I755" i="13" s="1"/>
  <c r="I754" i="13"/>
  <c r="I753" i="13" s="1"/>
  <c r="I743" i="13"/>
  <c r="I745" i="13"/>
  <c r="I744" i="13"/>
  <c r="I741" i="13"/>
  <c r="I736" i="13" s="1"/>
  <c r="I732" i="13"/>
  <c r="I731" i="13" s="1"/>
  <c r="I730" i="13"/>
  <c r="I727" i="13" s="1"/>
  <c r="I723" i="13"/>
  <c r="I697" i="13"/>
  <c r="I687" i="13"/>
  <c r="I681" i="13"/>
  <c r="I679" i="13"/>
  <c r="I678" i="13"/>
  <c r="I670" i="13"/>
  <c r="I646" i="13"/>
  <c r="I1034" i="13"/>
  <c r="I1033" i="13"/>
  <c r="I628" i="13"/>
  <c r="I622" i="13"/>
  <c r="I605" i="13"/>
  <c r="I604" i="13"/>
  <c r="I573" i="13"/>
  <c r="I552" i="13"/>
  <c r="I530" i="13"/>
  <c r="I526" i="13"/>
  <c r="I510" i="13"/>
  <c r="I937" i="13"/>
  <c r="I500" i="13"/>
  <c r="I488" i="13"/>
  <c r="I487" i="13"/>
  <c r="I482" i="13"/>
  <c r="I475" i="13"/>
  <c r="I471" i="13"/>
  <c r="I460" i="13"/>
  <c r="I459" i="13" s="1"/>
  <c r="I415" i="13"/>
  <c r="I414" i="13"/>
  <c r="I413" i="13"/>
  <c r="I412" i="13"/>
  <c r="I410" i="13"/>
  <c r="I409" i="13" s="1"/>
  <c r="I406" i="13"/>
  <c r="I404" i="13"/>
  <c r="I400" i="13"/>
  <c r="I403" i="13"/>
  <c r="I398" i="13"/>
  <c r="I399" i="13"/>
  <c r="I397" i="13"/>
  <c r="I396" i="13"/>
  <c r="I395" i="13"/>
  <c r="I392" i="13"/>
  <c r="I391" i="13"/>
  <c r="I356" i="13"/>
  <c r="I355" i="13" s="1"/>
  <c r="I343" i="13"/>
  <c r="I342" i="13"/>
  <c r="I339" i="13" s="1"/>
  <c r="I312" i="13"/>
  <c r="I296" i="13"/>
  <c r="I294" i="13"/>
  <c r="I291" i="13" s="1"/>
  <c r="H1136" i="13"/>
  <c r="H1133" i="13"/>
  <c r="H1131" i="13" s="1"/>
  <c r="H1130" i="13"/>
  <c r="H1129" i="13"/>
  <c r="H1128" i="13"/>
  <c r="H1127" i="13"/>
  <c r="H1126" i="13"/>
  <c r="H1121" i="13"/>
  <c r="H1120" i="13"/>
  <c r="H1119" i="13"/>
  <c r="H1125" i="13"/>
  <c r="H1124" i="13"/>
  <c r="H1123" i="13"/>
  <c r="H1122" i="13"/>
  <c r="H1117" i="13"/>
  <c r="H1112" i="13"/>
  <c r="H1110" i="13"/>
  <c r="H1103" i="13"/>
  <c r="H1099" i="13"/>
  <c r="H1096" i="13"/>
  <c r="H1094" i="13"/>
  <c r="H1092" i="13"/>
  <c r="H1090" i="13"/>
  <c r="H1080" i="13"/>
  <c r="H1079" i="13"/>
  <c r="H1078" i="13"/>
  <c r="H1058" i="13"/>
  <c r="H1038" i="13"/>
  <c r="H1027" i="13"/>
  <c r="H1024" i="13"/>
  <c r="H1001" i="13"/>
  <c r="H995" i="13"/>
  <c r="H994" i="13"/>
  <c r="H969" i="13"/>
  <c r="H966" i="13"/>
  <c r="H946" i="13"/>
  <c r="H938" i="13"/>
  <c r="H922" i="13"/>
  <c r="H913" i="13"/>
  <c r="H912" i="13"/>
  <c r="H910" i="13"/>
  <c r="H909" i="13"/>
  <c r="H907" i="13"/>
  <c r="H906" i="13"/>
  <c r="H905" i="13"/>
  <c r="H904" i="13"/>
  <c r="H903" i="13"/>
  <c r="H901" i="13"/>
  <c r="H900" i="13"/>
  <c r="H896" i="13"/>
  <c r="H894" i="13"/>
  <c r="H892" i="13"/>
  <c r="H893" i="13"/>
  <c r="H891" i="13"/>
  <c r="H889" i="13"/>
  <c r="H888" i="13"/>
  <c r="H886" i="13"/>
  <c r="H884" i="13"/>
  <c r="H883" i="13"/>
  <c r="H882" i="13"/>
  <c r="H880" i="13"/>
  <c r="H877" i="13"/>
  <c r="H876" i="13"/>
  <c r="H875" i="13"/>
  <c r="H872" i="13"/>
  <c r="H871" i="13"/>
  <c r="H865" i="13"/>
  <c r="H861" i="13"/>
  <c r="H857" i="13"/>
  <c r="H829" i="13"/>
  <c r="H828" i="13"/>
  <c r="H822" i="13"/>
  <c r="H821" i="13"/>
  <c r="H814" i="13"/>
  <c r="H808" i="13"/>
  <c r="H803" i="13"/>
  <c r="H797" i="13"/>
  <c r="H787" i="13"/>
  <c r="H786" i="13" s="1"/>
  <c r="H784" i="13"/>
  <c r="H783" i="13" s="1"/>
  <c r="H780" i="13"/>
  <c r="H779" i="13"/>
  <c r="H778" i="13"/>
  <c r="H777" i="13"/>
  <c r="H776" i="13"/>
  <c r="H775" i="13"/>
  <c r="H773" i="13"/>
  <c r="H772" i="13"/>
  <c r="H771" i="13"/>
  <c r="H770" i="13"/>
  <c r="H769" i="13"/>
  <c r="H767" i="13"/>
  <c r="H756" i="13"/>
  <c r="H755" i="13" s="1"/>
  <c r="H754" i="13"/>
  <c r="H753" i="13" s="1"/>
  <c r="H743" i="13"/>
  <c r="H745" i="13"/>
  <c r="H744" i="13"/>
  <c r="H741" i="13"/>
  <c r="H736" i="13" s="1"/>
  <c r="H730" i="13"/>
  <c r="H727" i="13" s="1"/>
  <c r="H723" i="13"/>
  <c r="H697" i="13"/>
  <c r="H687" i="13"/>
  <c r="H681" i="13"/>
  <c r="H679" i="13"/>
  <c r="H678" i="13"/>
  <c r="H670" i="13"/>
  <c r="H646" i="13"/>
  <c r="H1034" i="13"/>
  <c r="H1033" i="13"/>
  <c r="H628" i="13"/>
  <c r="H622" i="13"/>
  <c r="H605" i="13"/>
  <c r="H604" i="13"/>
  <c r="H573" i="13"/>
  <c r="H552" i="13"/>
  <c r="H530" i="13"/>
  <c r="H526" i="13"/>
  <c r="H510" i="13"/>
  <c r="H937" i="13"/>
  <c r="H488" i="13"/>
  <c r="H487" i="13"/>
  <c r="F487" i="13"/>
  <c r="G487" i="13"/>
  <c r="E487" i="13"/>
  <c r="H482" i="13"/>
  <c r="H475" i="13"/>
  <c r="H1137" i="13"/>
  <c r="F510" i="13"/>
  <c r="F475" i="13"/>
  <c r="F471" i="13"/>
  <c r="G475" i="13"/>
  <c r="E475" i="13"/>
  <c r="I386" i="13" l="1"/>
  <c r="I411" i="13"/>
  <c r="H766" i="13"/>
  <c r="I766" i="13"/>
  <c r="H885" i="13"/>
  <c r="I885" i="13"/>
  <c r="I1118" i="13"/>
  <c r="H1118" i="13"/>
  <c r="C844" i="13"/>
  <c r="D845" i="13"/>
  <c r="C845" i="13" s="1"/>
  <c r="H471" i="13"/>
  <c r="H460" i="13"/>
  <c r="H459" i="13" s="1"/>
  <c r="H449" i="13"/>
  <c r="H447" i="13"/>
  <c r="H446" i="13"/>
  <c r="H445" i="13"/>
  <c r="H443" i="13"/>
  <c r="H442" i="13"/>
  <c r="H441" i="13"/>
  <c r="H440" i="13"/>
  <c r="H444" i="13"/>
  <c r="H438" i="13"/>
  <c r="H437" i="13"/>
  <c r="H426" i="13"/>
  <c r="H421" i="13" s="1"/>
  <c r="H415" i="13"/>
  <c r="H414" i="13"/>
  <c r="H413" i="13"/>
  <c r="H412" i="13"/>
  <c r="H410" i="13"/>
  <c r="H409" i="13" s="1"/>
  <c r="H406" i="13"/>
  <c r="H404" i="13"/>
  <c r="H402" i="13"/>
  <c r="H401" i="13"/>
  <c r="H400" i="13"/>
  <c r="H398" i="13"/>
  <c r="H399" i="13"/>
  <c r="H397" i="13"/>
  <c r="H396" i="13"/>
  <c r="H395" i="13"/>
  <c r="H393" i="13"/>
  <c r="H392" i="13"/>
  <c r="H391" i="13"/>
  <c r="H356" i="13"/>
  <c r="H355" i="13" s="1"/>
  <c r="H343" i="13"/>
  <c r="H342" i="13"/>
  <c r="H339" i="13" s="1"/>
  <c r="H332" i="13"/>
  <c r="H331" i="13" s="1"/>
  <c r="H322" i="13"/>
  <c r="H321" i="13" s="1"/>
  <c r="H312" i="13"/>
  <c r="H296" i="13"/>
  <c r="H294" i="13"/>
  <c r="H290" i="13"/>
  <c r="H287" i="13"/>
  <c r="F1137" i="13"/>
  <c r="F1136" i="13"/>
  <c r="F1133" i="13"/>
  <c r="F1131" i="13" s="1"/>
  <c r="F1130" i="13"/>
  <c r="F1129" i="13"/>
  <c r="F1128" i="13"/>
  <c r="F1127" i="13"/>
  <c r="F1126" i="13"/>
  <c r="F1121" i="13"/>
  <c r="F1120" i="13"/>
  <c r="F1119" i="13"/>
  <c r="F1125" i="13"/>
  <c r="F1124" i="13"/>
  <c r="F1123" i="13"/>
  <c r="F1122" i="13"/>
  <c r="F1117" i="13"/>
  <c r="F1112" i="13"/>
  <c r="F1110" i="13"/>
  <c r="F1103" i="13"/>
  <c r="F1099" i="13"/>
  <c r="F1096" i="13"/>
  <c r="F1094" i="13"/>
  <c r="F1092" i="13"/>
  <c r="F1090" i="13"/>
  <c r="F1080" i="13"/>
  <c r="F1079" i="13"/>
  <c r="F1078" i="13"/>
  <c r="F1058" i="13"/>
  <c r="F1038" i="13"/>
  <c r="F1027" i="13"/>
  <c r="F1024" i="13"/>
  <c r="F1001" i="13"/>
  <c r="F995" i="13"/>
  <c r="F994" i="13"/>
  <c r="F969" i="13"/>
  <c r="F966" i="13"/>
  <c r="F946" i="13"/>
  <c r="F938" i="13"/>
  <c r="F922" i="13"/>
  <c r="F913" i="13"/>
  <c r="F912" i="13"/>
  <c r="F910" i="13"/>
  <c r="F909" i="13"/>
  <c r="F907" i="13"/>
  <c r="F906" i="13"/>
  <c r="F905" i="13"/>
  <c r="F904" i="13"/>
  <c r="F903" i="13"/>
  <c r="F901" i="13"/>
  <c r="F900" i="13"/>
  <c r="F898" i="13"/>
  <c r="F896" i="13"/>
  <c r="F889" i="13"/>
  <c r="F888" i="13"/>
  <c r="F886" i="13"/>
  <c r="F884" i="13"/>
  <c r="F883" i="13"/>
  <c r="F882" i="13"/>
  <c r="F880" i="13"/>
  <c r="F877" i="13"/>
  <c r="F876" i="13"/>
  <c r="F875" i="13"/>
  <c r="F874" i="13"/>
  <c r="F873" i="13"/>
  <c r="F872" i="13"/>
  <c r="F871" i="13"/>
  <c r="F865" i="13"/>
  <c r="F861" i="13"/>
  <c r="F857" i="13"/>
  <c r="F829" i="13"/>
  <c r="F828" i="13"/>
  <c r="F822" i="13"/>
  <c r="F821" i="13"/>
  <c r="F815" i="13"/>
  <c r="F814" i="13"/>
  <c r="F809" i="13"/>
  <c r="F808" i="13"/>
  <c r="F803" i="13"/>
  <c r="F797" i="13"/>
  <c r="F787" i="13"/>
  <c r="F786" i="13" s="1"/>
  <c r="F784" i="13"/>
  <c r="F783" i="13" s="1"/>
  <c r="F780" i="13"/>
  <c r="F779" i="13"/>
  <c r="F778" i="13"/>
  <c r="F777" i="13"/>
  <c r="F776" i="13"/>
  <c r="F775" i="13"/>
  <c r="F767" i="13"/>
  <c r="F754" i="13"/>
  <c r="F753" i="13" s="1"/>
  <c r="F743" i="13"/>
  <c r="F745" i="13"/>
  <c r="F744" i="13"/>
  <c r="F741" i="13"/>
  <c r="F736" i="13" s="1"/>
  <c r="F732" i="13"/>
  <c r="F731" i="13" s="1"/>
  <c r="F730" i="13"/>
  <c r="F727" i="13" s="1"/>
  <c r="F723" i="13"/>
  <c r="F697" i="13"/>
  <c r="F687" i="13"/>
  <c r="F681" i="13"/>
  <c r="F679" i="13"/>
  <c r="F678" i="13"/>
  <c r="F670" i="13"/>
  <c r="F646" i="13"/>
  <c r="F1034" i="13"/>
  <c r="F1033" i="13"/>
  <c r="F628" i="13"/>
  <c r="F622" i="13"/>
  <c r="F605" i="13"/>
  <c r="F604" i="13"/>
  <c r="F573" i="13"/>
  <c r="F552" i="13"/>
  <c r="F530" i="13"/>
  <c r="F526" i="13"/>
  <c r="F937" i="13"/>
  <c r="F500" i="13"/>
  <c r="F488" i="13"/>
  <c r="F482" i="13"/>
  <c r="F415" i="13"/>
  <c r="F414" i="13"/>
  <c r="F411" i="13" s="1"/>
  <c r="F410" i="13"/>
  <c r="F409" i="13" s="1"/>
  <c r="F406" i="13"/>
  <c r="F404" i="13"/>
  <c r="F402" i="13"/>
  <c r="F401" i="13"/>
  <c r="F400" i="13"/>
  <c r="F403" i="13"/>
  <c r="F398" i="13"/>
  <c r="F399" i="13"/>
  <c r="F397" i="13"/>
  <c r="F396" i="13"/>
  <c r="F395" i="13"/>
  <c r="F392" i="13"/>
  <c r="F343" i="13"/>
  <c r="F312" i="13"/>
  <c r="F296" i="13"/>
  <c r="F294" i="13"/>
  <c r="F291" i="13" s="1"/>
  <c r="F766" i="13" l="1"/>
  <c r="H411" i="13"/>
  <c r="H433" i="13"/>
  <c r="H291" i="13"/>
  <c r="H386" i="13"/>
  <c r="F885" i="13"/>
  <c r="F1118" i="13"/>
  <c r="G1133" i="13"/>
  <c r="G1131" i="13" s="1"/>
  <c r="G1136" i="13"/>
  <c r="G1137" i="13"/>
  <c r="G1130" i="13"/>
  <c r="G1129" i="13"/>
  <c r="G1128" i="13"/>
  <c r="G1127" i="13"/>
  <c r="G1126" i="13"/>
  <c r="G1121" i="13"/>
  <c r="G1120" i="13"/>
  <c r="G1119" i="13"/>
  <c r="G1125" i="13"/>
  <c r="G1124" i="13"/>
  <c r="G1123" i="13"/>
  <c r="G1122" i="13"/>
  <c r="G1117" i="13"/>
  <c r="G1112" i="13"/>
  <c r="G1110" i="13"/>
  <c r="G1103" i="13"/>
  <c r="G1099" i="13"/>
  <c r="G1096" i="13"/>
  <c r="G1094" i="13"/>
  <c r="G1080" i="13"/>
  <c r="G1079" i="13"/>
  <c r="G1078" i="13"/>
  <c r="G1058" i="13"/>
  <c r="G1038" i="13"/>
  <c r="G1027" i="13"/>
  <c r="G1024" i="13"/>
  <c r="G1001" i="13"/>
  <c r="G995" i="13"/>
  <c r="G994" i="13"/>
  <c r="G969" i="13"/>
  <c r="G966" i="13"/>
  <c r="G946" i="13"/>
  <c r="G938" i="13"/>
  <c r="G922" i="13"/>
  <c r="G913" i="13"/>
  <c r="G912" i="13"/>
  <c r="G898" i="13"/>
  <c r="G889" i="13"/>
  <c r="G888" i="13"/>
  <c r="G886" i="13"/>
  <c r="G884" i="13"/>
  <c r="G883" i="13"/>
  <c r="G882" i="13"/>
  <c r="G880" i="13"/>
  <c r="G877" i="13"/>
  <c r="G876" i="13"/>
  <c r="G875" i="13"/>
  <c r="G872" i="13"/>
  <c r="G871" i="13"/>
  <c r="G865" i="13"/>
  <c r="G861" i="13"/>
  <c r="G857" i="13"/>
  <c r="G849" i="13"/>
  <c r="G829" i="13"/>
  <c r="G828" i="13"/>
  <c r="G809" i="13"/>
  <c r="G808" i="13"/>
  <c r="G803" i="13"/>
  <c r="G797" i="13"/>
  <c r="G780" i="13"/>
  <c r="G779" i="13"/>
  <c r="G778" i="13"/>
  <c r="G777" i="13"/>
  <c r="G776" i="13"/>
  <c r="G775" i="13"/>
  <c r="G767" i="13"/>
  <c r="G743" i="13"/>
  <c r="G766" i="13" l="1"/>
  <c r="G885" i="13"/>
  <c r="G1118" i="13"/>
  <c r="G745" i="13"/>
  <c r="G744" i="13"/>
  <c r="G741" i="13"/>
  <c r="G732" i="13"/>
  <c r="G731" i="13" s="1"/>
  <c r="G730" i="13"/>
  <c r="G727" i="13" s="1"/>
  <c r="G697" i="13"/>
  <c r="G681" i="13"/>
  <c r="G670" i="13"/>
  <c r="G646" i="13"/>
  <c r="G1034" i="13"/>
  <c r="G1033" i="13"/>
  <c r="G628" i="13"/>
  <c r="G343" i="13"/>
  <c r="G312" i="13"/>
  <c r="E312" i="13"/>
  <c r="G296" i="13"/>
  <c r="E296" i="13"/>
  <c r="G294" i="13"/>
  <c r="N287" i="13"/>
  <c r="E356" i="13"/>
  <c r="E355" i="13" s="1"/>
  <c r="G573" i="13"/>
  <c r="E573" i="13"/>
  <c r="G500" i="13"/>
  <c r="E500" i="13"/>
  <c r="G937" i="13"/>
  <c r="E937" i="13"/>
  <c r="G526" i="13"/>
  <c r="E526" i="13"/>
  <c r="G552" i="13"/>
  <c r="E552" i="13"/>
  <c r="G736" i="13" l="1"/>
  <c r="G291" i="13"/>
  <c r="U914" i="13"/>
  <c r="T914" i="13"/>
  <c r="S914" i="13"/>
  <c r="Q914" i="13"/>
  <c r="P914" i="13"/>
  <c r="O914" i="13"/>
  <c r="M914" i="13"/>
  <c r="K914" i="13"/>
  <c r="I914" i="13"/>
  <c r="H914" i="13"/>
  <c r="G914" i="13"/>
  <c r="F914" i="13"/>
  <c r="V1076" i="13"/>
  <c r="D1076" i="13"/>
  <c r="U813" i="13"/>
  <c r="T813" i="13"/>
  <c r="S813" i="13"/>
  <c r="Q813" i="13"/>
  <c r="P813" i="13"/>
  <c r="O813" i="13"/>
  <c r="M813" i="13"/>
  <c r="L813" i="13"/>
  <c r="K813" i="13"/>
  <c r="J813" i="13"/>
  <c r="U816" i="13"/>
  <c r="T816" i="13"/>
  <c r="S816" i="13"/>
  <c r="Q816" i="13"/>
  <c r="P816" i="13"/>
  <c r="O816" i="13"/>
  <c r="M816" i="13"/>
  <c r="L816" i="13"/>
  <c r="K816" i="13"/>
  <c r="J816" i="13"/>
  <c r="I816" i="13"/>
  <c r="H816" i="13"/>
  <c r="G816" i="13"/>
  <c r="F816" i="13"/>
  <c r="E816" i="13"/>
  <c r="U820" i="13"/>
  <c r="T820" i="13"/>
  <c r="S820" i="13"/>
  <c r="Q820" i="13"/>
  <c r="P820" i="13"/>
  <c r="O820" i="13"/>
  <c r="N820" i="13"/>
  <c r="M820" i="13"/>
  <c r="L820" i="13"/>
  <c r="K820" i="13"/>
  <c r="U823" i="13"/>
  <c r="T823" i="13"/>
  <c r="S823" i="13"/>
  <c r="Q823" i="13"/>
  <c r="P823" i="13"/>
  <c r="O823" i="13"/>
  <c r="M823" i="13"/>
  <c r="L823" i="13"/>
  <c r="K823" i="13"/>
  <c r="J823" i="13"/>
  <c r="I823" i="13"/>
  <c r="H823" i="13"/>
  <c r="G823" i="13"/>
  <c r="F823" i="13"/>
  <c r="E823" i="13"/>
  <c r="U826" i="13"/>
  <c r="T826" i="13"/>
  <c r="S826" i="13"/>
  <c r="Q826" i="13"/>
  <c r="P826" i="13"/>
  <c r="O826" i="13"/>
  <c r="M826" i="13"/>
  <c r="L826" i="13"/>
  <c r="K826" i="13"/>
  <c r="U830" i="13"/>
  <c r="T830" i="13"/>
  <c r="S830" i="13"/>
  <c r="Q830" i="13"/>
  <c r="P830" i="13"/>
  <c r="O830" i="13"/>
  <c r="M830" i="13"/>
  <c r="L830" i="13"/>
  <c r="K830" i="13"/>
  <c r="J830" i="13"/>
  <c r="I830" i="13"/>
  <c r="H830" i="13"/>
  <c r="G830" i="13"/>
  <c r="F830" i="13"/>
  <c r="E830" i="13"/>
  <c r="U832" i="13"/>
  <c r="T832" i="13"/>
  <c r="S832" i="13"/>
  <c r="Q832" i="13"/>
  <c r="P832" i="13"/>
  <c r="O832" i="13"/>
  <c r="N832" i="13"/>
  <c r="M832" i="13"/>
  <c r="L832" i="13"/>
  <c r="K832" i="13"/>
  <c r="J832" i="13"/>
  <c r="I832" i="13"/>
  <c r="H832" i="13"/>
  <c r="G832" i="13"/>
  <c r="F832" i="13"/>
  <c r="E832" i="13"/>
  <c r="U835" i="13"/>
  <c r="T835" i="13"/>
  <c r="S835" i="13"/>
  <c r="Q835" i="13"/>
  <c r="P835" i="13"/>
  <c r="O835" i="13"/>
  <c r="M835" i="13"/>
  <c r="L835" i="13"/>
  <c r="K835" i="13"/>
  <c r="J835" i="13"/>
  <c r="I835" i="13"/>
  <c r="H835" i="13"/>
  <c r="G835" i="13"/>
  <c r="F835" i="13"/>
  <c r="E835" i="13"/>
  <c r="U840" i="13"/>
  <c r="T840" i="13"/>
  <c r="S840" i="13"/>
  <c r="Q840" i="13"/>
  <c r="P840" i="13"/>
  <c r="O840" i="13"/>
  <c r="M840" i="13"/>
  <c r="L840" i="13"/>
  <c r="K840" i="13"/>
  <c r="J840" i="13"/>
  <c r="I840" i="13"/>
  <c r="H840" i="13"/>
  <c r="G840" i="13"/>
  <c r="F840" i="13"/>
  <c r="E840" i="13"/>
  <c r="U842" i="13"/>
  <c r="T842" i="13"/>
  <c r="S842" i="13"/>
  <c r="Q842" i="13"/>
  <c r="P842" i="13"/>
  <c r="O842" i="13"/>
  <c r="M842" i="13"/>
  <c r="L842" i="13"/>
  <c r="K842" i="13"/>
  <c r="J842" i="13"/>
  <c r="I842" i="13"/>
  <c r="H842" i="13"/>
  <c r="G842" i="13"/>
  <c r="F842" i="13"/>
  <c r="E842" i="13"/>
  <c r="U848" i="13"/>
  <c r="T848" i="13"/>
  <c r="S848" i="13"/>
  <c r="R848" i="13"/>
  <c r="Q848" i="13"/>
  <c r="P848" i="13"/>
  <c r="O848" i="13"/>
  <c r="N848" i="13"/>
  <c r="M848" i="13"/>
  <c r="L848" i="13"/>
  <c r="K848" i="13"/>
  <c r="J848" i="13"/>
  <c r="H848" i="13"/>
  <c r="F848" i="13"/>
  <c r="U854" i="13"/>
  <c r="T854" i="13"/>
  <c r="S854" i="13"/>
  <c r="R854" i="13"/>
  <c r="Q854" i="13"/>
  <c r="P854" i="13"/>
  <c r="O854" i="13"/>
  <c r="M854" i="13"/>
  <c r="L854" i="13"/>
  <c r="K854" i="13"/>
  <c r="J854" i="13"/>
  <c r="I854" i="13"/>
  <c r="H854" i="13"/>
  <c r="G854" i="13"/>
  <c r="F854" i="13"/>
  <c r="E854" i="13"/>
  <c r="U856" i="13"/>
  <c r="T856" i="13"/>
  <c r="S856" i="13"/>
  <c r="Q856" i="13"/>
  <c r="P856" i="13"/>
  <c r="O856" i="13"/>
  <c r="M856" i="13"/>
  <c r="L856" i="13"/>
  <c r="K856" i="13"/>
  <c r="J856" i="13"/>
  <c r="U858" i="13"/>
  <c r="T858" i="13"/>
  <c r="S858" i="13"/>
  <c r="R858" i="13"/>
  <c r="Q858" i="13"/>
  <c r="P858" i="13"/>
  <c r="O858" i="13"/>
  <c r="M858" i="13"/>
  <c r="L858" i="13"/>
  <c r="K858" i="13"/>
  <c r="J858" i="13"/>
  <c r="I858" i="13"/>
  <c r="H858" i="13"/>
  <c r="G858" i="13"/>
  <c r="F858" i="13"/>
  <c r="E858" i="13"/>
  <c r="U860" i="13"/>
  <c r="T860" i="13"/>
  <c r="S860" i="13"/>
  <c r="Q860" i="13"/>
  <c r="P860" i="13"/>
  <c r="O860" i="13"/>
  <c r="M860" i="13"/>
  <c r="L860" i="13"/>
  <c r="K860" i="13"/>
  <c r="J860" i="13"/>
  <c r="U862" i="13"/>
  <c r="T862" i="13"/>
  <c r="S862" i="13"/>
  <c r="Q862" i="13"/>
  <c r="P862" i="13"/>
  <c r="O862" i="13"/>
  <c r="M862" i="13"/>
  <c r="L862" i="13"/>
  <c r="K862" i="13"/>
  <c r="J862" i="13"/>
  <c r="U867" i="13"/>
  <c r="T867" i="13"/>
  <c r="S867" i="13"/>
  <c r="R867" i="13"/>
  <c r="Q867" i="13"/>
  <c r="P867" i="13"/>
  <c r="O867" i="13"/>
  <c r="M867" i="13"/>
  <c r="L867" i="13"/>
  <c r="K867" i="13"/>
  <c r="J867" i="13"/>
  <c r="I867" i="13"/>
  <c r="H867" i="13"/>
  <c r="G867" i="13"/>
  <c r="F867" i="13"/>
  <c r="E867" i="13"/>
  <c r="U869" i="13"/>
  <c r="T869" i="13"/>
  <c r="Q869" i="13"/>
  <c r="O869" i="13"/>
  <c r="M869" i="13"/>
  <c r="L869" i="13"/>
  <c r="K869" i="13"/>
  <c r="U890" i="13"/>
  <c r="T890" i="13"/>
  <c r="S890" i="13"/>
  <c r="Q890" i="13"/>
  <c r="P890" i="13"/>
  <c r="O890" i="13"/>
  <c r="M890" i="13"/>
  <c r="L890" i="13"/>
  <c r="K890" i="13"/>
  <c r="F890" i="13"/>
  <c r="U895" i="13"/>
  <c r="T895" i="13"/>
  <c r="S895" i="13"/>
  <c r="Q895" i="13"/>
  <c r="P895" i="13"/>
  <c r="O895" i="13"/>
  <c r="M895" i="13"/>
  <c r="L895" i="13"/>
  <c r="K895" i="13"/>
  <c r="U897" i="13"/>
  <c r="T897" i="13"/>
  <c r="S897" i="13"/>
  <c r="Q897" i="13"/>
  <c r="P897" i="13"/>
  <c r="O897" i="13"/>
  <c r="M897" i="13"/>
  <c r="L897" i="13"/>
  <c r="K897" i="13"/>
  <c r="U908" i="13"/>
  <c r="T908" i="13"/>
  <c r="S908" i="13"/>
  <c r="Q908" i="13"/>
  <c r="P908" i="13"/>
  <c r="O908" i="13"/>
  <c r="M908" i="13"/>
  <c r="L908" i="13"/>
  <c r="K908" i="13"/>
  <c r="U911" i="13"/>
  <c r="T911" i="13"/>
  <c r="S911" i="13"/>
  <c r="Q911" i="13"/>
  <c r="P911" i="13"/>
  <c r="O911" i="13"/>
  <c r="M911" i="13"/>
  <c r="L911" i="13"/>
  <c r="K911" i="13"/>
  <c r="J911" i="13"/>
  <c r="U1089" i="13"/>
  <c r="T1089" i="13"/>
  <c r="S1089" i="13"/>
  <c r="Q1089" i="13"/>
  <c r="P1089" i="13"/>
  <c r="O1089" i="13"/>
  <c r="N1089" i="13"/>
  <c r="M1089" i="13"/>
  <c r="L1089" i="13"/>
  <c r="K1089" i="13"/>
  <c r="U1091" i="13"/>
  <c r="T1091" i="13"/>
  <c r="S1091" i="13"/>
  <c r="Q1091" i="13"/>
  <c r="P1091" i="13"/>
  <c r="O1091" i="13"/>
  <c r="M1091" i="13"/>
  <c r="L1091" i="13"/>
  <c r="K1091" i="13"/>
  <c r="U1093" i="13"/>
  <c r="T1093" i="13"/>
  <c r="S1093" i="13"/>
  <c r="R1093" i="13"/>
  <c r="Q1093" i="13"/>
  <c r="P1093" i="13"/>
  <c r="O1093" i="13"/>
  <c r="N1093" i="13"/>
  <c r="M1093" i="13"/>
  <c r="L1093" i="13"/>
  <c r="K1093" i="13"/>
  <c r="J1093" i="13"/>
  <c r="U1095" i="13"/>
  <c r="T1095" i="13"/>
  <c r="S1095" i="13"/>
  <c r="Q1095" i="13"/>
  <c r="P1095" i="13"/>
  <c r="O1095" i="13"/>
  <c r="M1095" i="13"/>
  <c r="L1095" i="13"/>
  <c r="K1095" i="13"/>
  <c r="J1095" i="13"/>
  <c r="U1097" i="13"/>
  <c r="T1097" i="13"/>
  <c r="S1097" i="13"/>
  <c r="Q1097" i="13"/>
  <c r="P1097" i="13"/>
  <c r="O1097" i="13"/>
  <c r="M1097" i="13"/>
  <c r="L1097" i="13"/>
  <c r="K1097" i="13"/>
  <c r="J1097" i="13"/>
  <c r="U1101" i="13"/>
  <c r="T1101" i="13"/>
  <c r="S1101" i="13"/>
  <c r="Q1101" i="13"/>
  <c r="P1101" i="13"/>
  <c r="O1101" i="13"/>
  <c r="M1101" i="13"/>
  <c r="L1101" i="13"/>
  <c r="K1101" i="13"/>
  <c r="J1101" i="13"/>
  <c r="U1104" i="13"/>
  <c r="T1104" i="13"/>
  <c r="S1104" i="13"/>
  <c r="Q1104" i="13"/>
  <c r="P1104" i="13"/>
  <c r="O1104" i="13"/>
  <c r="M1104" i="13"/>
  <c r="L1104" i="13"/>
  <c r="K1104" i="13"/>
  <c r="J1104" i="13"/>
  <c r="I1104" i="13"/>
  <c r="H1104" i="13"/>
  <c r="G1104" i="13"/>
  <c r="F1104" i="13"/>
  <c r="U1107" i="13"/>
  <c r="T1107" i="13"/>
  <c r="S1107" i="13"/>
  <c r="Q1107" i="13"/>
  <c r="P1107" i="13"/>
  <c r="O1107" i="13"/>
  <c r="M1107" i="13"/>
  <c r="L1107" i="13"/>
  <c r="K1107" i="13"/>
  <c r="J1107" i="13"/>
  <c r="I1107" i="13"/>
  <c r="H1107" i="13"/>
  <c r="G1107" i="13"/>
  <c r="F1107" i="13"/>
  <c r="E1107" i="13"/>
  <c r="U1109" i="13"/>
  <c r="T1109" i="13"/>
  <c r="S1109" i="13"/>
  <c r="R1109" i="13"/>
  <c r="Q1109" i="13"/>
  <c r="P1109" i="13"/>
  <c r="O1109" i="13"/>
  <c r="N1109" i="13"/>
  <c r="M1109" i="13"/>
  <c r="L1109" i="13"/>
  <c r="K1109" i="13"/>
  <c r="J1109" i="13"/>
  <c r="U1111" i="13"/>
  <c r="T1111" i="13"/>
  <c r="S1111" i="13"/>
  <c r="Q1111" i="13"/>
  <c r="P1111" i="13"/>
  <c r="O1111" i="13"/>
  <c r="M1111" i="13"/>
  <c r="L1111" i="13"/>
  <c r="K1111" i="13"/>
  <c r="J1111" i="13"/>
  <c r="U1113" i="13"/>
  <c r="T1113" i="13"/>
  <c r="S1113" i="13"/>
  <c r="Q1113" i="13"/>
  <c r="P1113" i="13"/>
  <c r="O1113" i="13"/>
  <c r="M1113" i="13"/>
  <c r="L1113" i="13"/>
  <c r="K1113" i="13"/>
  <c r="J1113" i="13"/>
  <c r="I1113" i="13"/>
  <c r="H1113" i="13"/>
  <c r="G1113" i="13"/>
  <c r="F1113" i="13"/>
  <c r="E1113" i="13"/>
  <c r="U1116" i="13"/>
  <c r="T1116" i="13"/>
  <c r="S1116" i="13"/>
  <c r="Q1116" i="13"/>
  <c r="P1116" i="13"/>
  <c r="O1116" i="13"/>
  <c r="N1116" i="13"/>
  <c r="M1116" i="13"/>
  <c r="L1116" i="13"/>
  <c r="K1116" i="13"/>
  <c r="J1116" i="13"/>
  <c r="U790" i="13"/>
  <c r="T790" i="13"/>
  <c r="S790" i="13"/>
  <c r="Q790" i="13"/>
  <c r="P790" i="13"/>
  <c r="O790" i="13"/>
  <c r="M790" i="13"/>
  <c r="L790" i="13"/>
  <c r="K790" i="13"/>
  <c r="J790" i="13"/>
  <c r="I790" i="13"/>
  <c r="H790" i="13"/>
  <c r="G790" i="13"/>
  <c r="F790" i="13"/>
  <c r="E790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U96" i="13"/>
  <c r="T96" i="13"/>
  <c r="S96" i="13"/>
  <c r="R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U68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Q10" i="13"/>
  <c r="U10" i="13"/>
  <c r="K10" i="13"/>
  <c r="T10" i="13"/>
  <c r="O10" i="13"/>
  <c r="C1076" i="13"/>
  <c r="V530" i="13"/>
  <c r="J530" i="13"/>
  <c r="G530" i="13"/>
  <c r="E530" i="13"/>
  <c r="N392" i="13"/>
  <c r="D530" i="13" l="1"/>
  <c r="C530" i="13" s="1"/>
  <c r="N1133" i="13"/>
  <c r="N1131" i="13" s="1"/>
  <c r="R1133" i="13"/>
  <c r="R1131" i="13" s="1"/>
  <c r="N787" i="13"/>
  <c r="N786" i="13" s="1"/>
  <c r="G787" i="13"/>
  <c r="G786" i="13" s="1"/>
  <c r="V1133" i="13" l="1"/>
  <c r="V787" i="13"/>
  <c r="D787" i="13"/>
  <c r="D786" i="13" s="1"/>
  <c r="D1133" i="13"/>
  <c r="D1131" i="13" s="1"/>
  <c r="N785" i="13"/>
  <c r="V785" i="13" s="1"/>
  <c r="D785" i="13"/>
  <c r="D13" i="13"/>
  <c r="C13" i="13" s="1"/>
  <c r="V13" i="13"/>
  <c r="N57" i="13"/>
  <c r="C787" i="13" l="1"/>
  <c r="C786" i="13" s="1"/>
  <c r="C1133" i="13"/>
  <c r="C1131" i="13" s="1"/>
  <c r="C785" i="13"/>
  <c r="N353" i="13"/>
  <c r="V353" i="13" s="1"/>
  <c r="R320" i="13"/>
  <c r="R319" i="13" s="1"/>
  <c r="P320" i="13"/>
  <c r="P319" i="13" s="1"/>
  <c r="N299" i="13"/>
  <c r="V299" i="13" s="1"/>
  <c r="N298" i="13"/>
  <c r="V298" i="13" s="1"/>
  <c r="N289" i="13"/>
  <c r="V289" i="13" s="1"/>
  <c r="N288" i="13"/>
  <c r="R289" i="13"/>
  <c r="R288" i="13"/>
  <c r="V781" i="13"/>
  <c r="V281" i="13"/>
  <c r="V278" i="13"/>
  <c r="V277" i="13"/>
  <c r="V276" i="13"/>
  <c r="V279" i="13"/>
  <c r="V275" i="13"/>
  <c r="V274" i="13"/>
  <c r="V273" i="13"/>
  <c r="V272" i="13"/>
  <c r="V271" i="13"/>
  <c r="V764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700" i="13"/>
  <c r="V231" i="13"/>
  <c r="V699" i="13"/>
  <c r="V229" i="13"/>
  <c r="V227" i="13"/>
  <c r="V226" i="13"/>
  <c r="V224" i="13"/>
  <c r="V223" i="13"/>
  <c r="V222" i="13"/>
  <c r="V683" i="13"/>
  <c r="V219" i="13"/>
  <c r="V218" i="13"/>
  <c r="V679" i="13"/>
  <c r="V678" i="13"/>
  <c r="V677" i="13"/>
  <c r="V676" i="13"/>
  <c r="V675" i="13"/>
  <c r="V674" i="13"/>
  <c r="V217" i="13"/>
  <c r="V216" i="13"/>
  <c r="V215" i="13"/>
  <c r="V663" i="13"/>
  <c r="V212" i="13"/>
  <c r="V657" i="13"/>
  <c r="V211" i="13"/>
  <c r="V210" i="13"/>
  <c r="V209" i="13"/>
  <c r="V636" i="13"/>
  <c r="V208" i="13"/>
  <c r="V207" i="13"/>
  <c r="V205" i="13"/>
  <c r="V204" i="13"/>
  <c r="V629" i="13"/>
  <c r="V627" i="13"/>
  <c r="V203" i="13"/>
  <c r="V202" i="13"/>
  <c r="V201" i="13"/>
  <c r="V622" i="13"/>
  <c r="V621" i="13"/>
  <c r="V200" i="13"/>
  <c r="V620" i="13"/>
  <c r="V619" i="13"/>
  <c r="V609" i="13"/>
  <c r="V608" i="13"/>
  <c r="V607" i="13"/>
  <c r="V606" i="13"/>
  <c r="V605" i="13"/>
  <c r="V604" i="13"/>
  <c r="V603" i="13"/>
  <c r="V196" i="13"/>
  <c r="V195" i="13"/>
  <c r="V194" i="13"/>
  <c r="V193" i="13"/>
  <c r="V192" i="13"/>
  <c r="V191" i="13"/>
  <c r="V190" i="13"/>
  <c r="V189" i="13"/>
  <c r="V577" i="13"/>
  <c r="V188" i="13"/>
  <c r="V576" i="13"/>
  <c r="V575" i="13"/>
  <c r="V186" i="13"/>
  <c r="V185" i="13"/>
  <c r="V570" i="13"/>
  <c r="V569" i="13"/>
  <c r="V183" i="13"/>
  <c r="V182" i="13"/>
  <c r="V181" i="13"/>
  <c r="V180" i="13"/>
  <c r="V179" i="13"/>
  <c r="V178" i="13"/>
  <c r="V177" i="13"/>
  <c r="V176" i="13"/>
  <c r="V534" i="13"/>
  <c r="V175" i="13"/>
  <c r="V532" i="13"/>
  <c r="V531" i="13"/>
  <c r="V174" i="13"/>
  <c r="V527" i="13"/>
  <c r="V173" i="13"/>
  <c r="V525" i="13"/>
  <c r="V524" i="13"/>
  <c r="V172" i="13"/>
  <c r="V171" i="13"/>
  <c r="V170" i="13"/>
  <c r="V169" i="13"/>
  <c r="V168" i="13"/>
  <c r="V519" i="13"/>
  <c r="V167" i="13"/>
  <c r="V166" i="13"/>
  <c r="V163" i="13"/>
  <c r="V162" i="13"/>
  <c r="V161" i="13"/>
  <c r="V160" i="13"/>
  <c r="V159" i="13"/>
  <c r="V158" i="13"/>
  <c r="V157" i="13"/>
  <c r="V502" i="13"/>
  <c r="V155" i="13"/>
  <c r="V154" i="13"/>
  <c r="V153" i="13"/>
  <c r="V152" i="13"/>
  <c r="V151" i="13"/>
  <c r="V150" i="13"/>
  <c r="V149" i="13"/>
  <c r="V148" i="13"/>
  <c r="V147" i="13"/>
  <c r="V142" i="13"/>
  <c r="V141" i="13"/>
  <c r="V485" i="13"/>
  <c r="V484" i="13"/>
  <c r="V140" i="13"/>
  <c r="V139" i="13"/>
  <c r="V138" i="13"/>
  <c r="V137" i="13"/>
  <c r="V136" i="13"/>
  <c r="V135" i="13"/>
  <c r="V134" i="13"/>
  <c r="V133" i="13"/>
  <c r="V132" i="13"/>
  <c r="V131" i="13"/>
  <c r="V468" i="13"/>
  <c r="V467" i="13"/>
  <c r="V466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89" i="13"/>
  <c r="V387" i="13"/>
  <c r="V63" i="13"/>
  <c r="V62" i="13"/>
  <c r="V376" i="13"/>
  <c r="V58" i="13"/>
  <c r="V56" i="13"/>
  <c r="V52" i="13"/>
  <c r="V50" i="13"/>
  <c r="V48" i="13"/>
  <c r="V44" i="13"/>
  <c r="V39" i="13"/>
  <c r="V338" i="13"/>
  <c r="V37" i="13"/>
  <c r="V36" i="13"/>
  <c r="V335" i="13"/>
  <c r="V328" i="13"/>
  <c r="V34" i="13"/>
  <c r="V32" i="13"/>
  <c r="V31" i="13"/>
  <c r="V320" i="13"/>
  <c r="V29" i="13"/>
  <c r="V20" i="13"/>
  <c r="V19" i="13"/>
  <c r="V18" i="13"/>
  <c r="V15" i="13"/>
  <c r="V14" i="13"/>
  <c r="V17" i="13"/>
  <c r="V12" i="13"/>
  <c r="V786" i="13" l="1"/>
  <c r="V1131" i="13"/>
  <c r="V288" i="13"/>
  <c r="N831" i="13"/>
  <c r="N1080" i="13"/>
  <c r="V1080" i="13" s="1"/>
  <c r="N1079" i="13"/>
  <c r="V1079" i="13" s="1"/>
  <c r="N1078" i="13"/>
  <c r="V1078" i="13" s="1"/>
  <c r="N1077" i="13"/>
  <c r="V1077" i="13" s="1"/>
  <c r="N1032" i="13"/>
  <c r="V1032" i="13" s="1"/>
  <c r="N1018" i="13"/>
  <c r="V1018" i="13" s="1"/>
  <c r="N1008" i="13"/>
  <c r="V1008" i="13" s="1"/>
  <c r="N945" i="13"/>
  <c r="V945" i="13" s="1"/>
  <c r="N904" i="13"/>
  <c r="V904" i="13" s="1"/>
  <c r="N903" i="13"/>
  <c r="V903" i="13" s="1"/>
  <c r="N879" i="13"/>
  <c r="V879" i="13" s="1"/>
  <c r="N838" i="13"/>
  <c r="V838" i="13" s="1"/>
  <c r="N806" i="13"/>
  <c r="V806" i="13" s="1"/>
  <c r="N802" i="13"/>
  <c r="V802" i="13" s="1"/>
  <c r="N800" i="13"/>
  <c r="V800" i="13" s="1"/>
  <c r="N794" i="13"/>
  <c r="V794" i="13" s="1"/>
  <c r="N712" i="13"/>
  <c r="V712" i="13" s="1"/>
  <c r="N628" i="13"/>
  <c r="V628" i="13" s="1"/>
  <c r="N618" i="13"/>
  <c r="V618" i="13" s="1"/>
  <c r="N451" i="13"/>
  <c r="V451" i="13" s="1"/>
  <c r="N450" i="13"/>
  <c r="V450" i="13" s="1"/>
  <c r="N449" i="13"/>
  <c r="V449" i="13" s="1"/>
  <c r="N446" i="13"/>
  <c r="V446" i="13" s="1"/>
  <c r="N441" i="13"/>
  <c r="V441" i="13" s="1"/>
  <c r="N444" i="13"/>
  <c r="V444" i="13" s="1"/>
  <c r="N427" i="13"/>
  <c r="V427" i="13" s="1"/>
  <c r="N388" i="13"/>
  <c r="N367" i="13"/>
  <c r="V367" i="13" s="1"/>
  <c r="N366" i="13"/>
  <c r="V366" i="13" s="1"/>
  <c r="N365" i="13"/>
  <c r="N334" i="13"/>
  <c r="N333" i="13" s="1"/>
  <c r="N312" i="13"/>
  <c r="V312" i="13" s="1"/>
  <c r="N309" i="13"/>
  <c r="V309" i="13" s="1"/>
  <c r="N308" i="13"/>
  <c r="V308" i="13" s="1"/>
  <c r="N307" i="13"/>
  <c r="V307" i="13" s="1"/>
  <c r="N304" i="13"/>
  <c r="V304" i="13" s="1"/>
  <c r="N302" i="13"/>
  <c r="V302" i="13" s="1"/>
  <c r="N294" i="13"/>
  <c r="V294" i="13" s="1"/>
  <c r="N290" i="13"/>
  <c r="V290" i="13" s="1"/>
  <c r="N293" i="13"/>
  <c r="V293" i="13" s="1"/>
  <c r="N292" i="13"/>
  <c r="N301" i="13"/>
  <c r="V301" i="13" s="1"/>
  <c r="N300" i="13"/>
  <c r="V300" i="13" s="1"/>
  <c r="N297" i="13"/>
  <c r="V297" i="13" s="1"/>
  <c r="N296" i="13"/>
  <c r="V296" i="13" s="1"/>
  <c r="N295" i="13"/>
  <c r="V295" i="13" s="1"/>
  <c r="N305" i="13"/>
  <c r="V305" i="13" s="1"/>
  <c r="N306" i="13"/>
  <c r="V306" i="13" s="1"/>
  <c r="N314" i="13"/>
  <c r="N313" i="13" s="1"/>
  <c r="N318" i="13"/>
  <c r="V318" i="13" s="1"/>
  <c r="N317" i="13"/>
  <c r="N324" i="13"/>
  <c r="V324" i="13" s="1"/>
  <c r="N323" i="13"/>
  <c r="V323" i="13" s="1"/>
  <c r="N322" i="13"/>
  <c r="N330" i="13"/>
  <c r="V330" i="13" s="1"/>
  <c r="N329" i="13"/>
  <c r="N327" i="13" s="1"/>
  <c r="N332" i="13"/>
  <c r="N331" i="13" s="1"/>
  <c r="N341" i="13"/>
  <c r="V341" i="13" s="1"/>
  <c r="N340" i="13"/>
  <c r="N346" i="13"/>
  <c r="V346" i="13" s="1"/>
  <c r="N345" i="13"/>
  <c r="V345" i="13" s="1"/>
  <c r="N344" i="13"/>
  <c r="V344" i="13" s="1"/>
  <c r="N348" i="13"/>
  <c r="N354" i="13"/>
  <c r="V354" i="13" s="1"/>
  <c r="N352" i="13"/>
  <c r="N351" i="13" s="1"/>
  <c r="N356" i="13"/>
  <c r="N355" i="13" s="1"/>
  <c r="N359" i="13"/>
  <c r="V359" i="13" s="1"/>
  <c r="N361" i="13"/>
  <c r="N360" i="13" s="1"/>
  <c r="N371" i="13"/>
  <c r="V371" i="13" s="1"/>
  <c r="N370" i="13"/>
  <c r="N374" i="13"/>
  <c r="V374" i="13" s="1"/>
  <c r="N373" i="13"/>
  <c r="N372" i="13" s="1"/>
  <c r="N380" i="13"/>
  <c r="V380" i="13" s="1"/>
  <c r="N379" i="13"/>
  <c r="V379" i="13" s="1"/>
  <c r="N378" i="13"/>
  <c r="N382" i="13"/>
  <c r="V382" i="13" s="1"/>
  <c r="N385" i="13"/>
  <c r="N384" i="13" s="1"/>
  <c r="N399" i="13"/>
  <c r="V399" i="13" s="1"/>
  <c r="N397" i="13"/>
  <c r="V397" i="13" s="1"/>
  <c r="N396" i="13"/>
  <c r="V396" i="13" s="1"/>
  <c r="N395" i="13"/>
  <c r="V395" i="13" s="1"/>
  <c r="N393" i="13"/>
  <c r="V393" i="13" s="1"/>
  <c r="V392" i="13"/>
  <c r="N391" i="13"/>
  <c r="V391" i="13" s="1"/>
  <c r="N403" i="13"/>
  <c r="V403" i="13" s="1"/>
  <c r="N408" i="13"/>
  <c r="V408" i="13" s="1"/>
  <c r="N407" i="13"/>
  <c r="V407" i="13" s="1"/>
  <c r="N406" i="13"/>
  <c r="V406" i="13" s="1"/>
  <c r="N405" i="13"/>
  <c r="V405" i="13" s="1"/>
  <c r="N404" i="13"/>
  <c r="V404" i="13" s="1"/>
  <c r="N402" i="13"/>
  <c r="V402" i="13" s="1"/>
  <c r="N401" i="13"/>
  <c r="V401" i="13" s="1"/>
  <c r="N410" i="13"/>
  <c r="N409" i="13" s="1"/>
  <c r="N418" i="13"/>
  <c r="V418" i="13" s="1"/>
  <c r="N417" i="13"/>
  <c r="V417" i="13" s="1"/>
  <c r="N416" i="13"/>
  <c r="V416" i="13" s="1"/>
  <c r="N415" i="13"/>
  <c r="V415" i="13" s="1"/>
  <c r="N414" i="13"/>
  <c r="V414" i="13" s="1"/>
  <c r="N413" i="13"/>
  <c r="V413" i="13" s="1"/>
  <c r="N412" i="13"/>
  <c r="N424" i="13"/>
  <c r="V424" i="13" s="1"/>
  <c r="N425" i="13"/>
  <c r="V425" i="13" s="1"/>
  <c r="N426" i="13"/>
  <c r="V426" i="13" s="1"/>
  <c r="N428" i="13"/>
  <c r="V428" i="13" s="1"/>
  <c r="N430" i="13"/>
  <c r="N429" i="13" s="1"/>
  <c r="N432" i="13"/>
  <c r="N431" i="13" s="1"/>
  <c r="N438" i="13"/>
  <c r="V438" i="13" s="1"/>
  <c r="N437" i="13"/>
  <c r="N443" i="13"/>
  <c r="V443" i="13" s="1"/>
  <c r="N442" i="13"/>
  <c r="V442" i="13" s="1"/>
  <c r="N448" i="13"/>
  <c r="V448" i="13" s="1"/>
  <c r="N447" i="13"/>
  <c r="V447" i="13" s="1"/>
  <c r="N458" i="13"/>
  <c r="V458" i="13" s="1"/>
  <c r="N457" i="13"/>
  <c r="N474" i="13"/>
  <c r="V474" i="13" s="1"/>
  <c r="N473" i="13"/>
  <c r="V473" i="13" s="1"/>
  <c r="N471" i="13"/>
  <c r="V471" i="13" s="1"/>
  <c r="N472" i="13"/>
  <c r="V472" i="13" s="1"/>
  <c r="N470" i="13"/>
  <c r="V470" i="13" s="1"/>
  <c r="N469" i="13"/>
  <c r="V469" i="13" s="1"/>
  <c r="N465" i="13"/>
  <c r="V465" i="13" s="1"/>
  <c r="N464" i="13"/>
  <c r="V464" i="13" s="1"/>
  <c r="N463" i="13"/>
  <c r="N483" i="13"/>
  <c r="V483" i="13" s="1"/>
  <c r="N482" i="13"/>
  <c r="V482" i="13" s="1"/>
  <c r="N481" i="13"/>
  <c r="V481" i="13" s="1"/>
  <c r="N480" i="13"/>
  <c r="V480" i="13" s="1"/>
  <c r="N479" i="13"/>
  <c r="V479" i="13" s="1"/>
  <c r="N478" i="13"/>
  <c r="V478" i="13" s="1"/>
  <c r="N477" i="13"/>
  <c r="V477" i="13" s="1"/>
  <c r="N476" i="13"/>
  <c r="V476" i="13" s="1"/>
  <c r="N498" i="13"/>
  <c r="V498" i="13" s="1"/>
  <c r="N497" i="13"/>
  <c r="V497" i="13" s="1"/>
  <c r="N496" i="13"/>
  <c r="V496" i="13" s="1"/>
  <c r="N495" i="13"/>
  <c r="V495" i="13" s="1"/>
  <c r="N494" i="13"/>
  <c r="V494" i="13" s="1"/>
  <c r="N493" i="13"/>
  <c r="V493" i="13" s="1"/>
  <c r="N492" i="13"/>
  <c r="V492" i="13" s="1"/>
  <c r="N491" i="13"/>
  <c r="V491" i="13" s="1"/>
  <c r="N490" i="13"/>
  <c r="V490" i="13" s="1"/>
  <c r="N489" i="13"/>
  <c r="V489" i="13" s="1"/>
  <c r="N508" i="13"/>
  <c r="V508" i="13" s="1"/>
  <c r="N507" i="13"/>
  <c r="V507" i="13" s="1"/>
  <c r="N506" i="13"/>
  <c r="V506" i="13" s="1"/>
  <c r="N505" i="13"/>
  <c r="V505" i="13" s="1"/>
  <c r="N504" i="13"/>
  <c r="V504" i="13" s="1"/>
  <c r="N503" i="13"/>
  <c r="V503" i="13" s="1"/>
  <c r="N518" i="13"/>
  <c r="V518" i="13" s="1"/>
  <c r="N517" i="13"/>
  <c r="V517" i="13" s="1"/>
  <c r="N516" i="13"/>
  <c r="V516" i="13" s="1"/>
  <c r="N515" i="13"/>
  <c r="V515" i="13" s="1"/>
  <c r="N514" i="13"/>
  <c r="V514" i="13" s="1"/>
  <c r="N513" i="13"/>
  <c r="V513" i="13" s="1"/>
  <c r="N512" i="13"/>
  <c r="V512" i="13" s="1"/>
  <c r="N511" i="13"/>
  <c r="V511" i="13" s="1"/>
  <c r="N510" i="13"/>
  <c r="V510" i="13" s="1"/>
  <c r="N536" i="13"/>
  <c r="V536" i="13" s="1"/>
  <c r="N535" i="13"/>
  <c r="V535" i="13" s="1"/>
  <c r="N552" i="13"/>
  <c r="V552" i="13" s="1"/>
  <c r="N551" i="13"/>
  <c r="V551" i="13" s="1"/>
  <c r="N550" i="13"/>
  <c r="V550" i="13" s="1"/>
  <c r="N549" i="13"/>
  <c r="V549" i="13" s="1"/>
  <c r="N548" i="13"/>
  <c r="V548" i="13" s="1"/>
  <c r="N547" i="13"/>
  <c r="V547" i="13" s="1"/>
  <c r="N546" i="13"/>
  <c r="V546" i="13" s="1"/>
  <c r="N545" i="13"/>
  <c r="V545" i="13" s="1"/>
  <c r="N544" i="13"/>
  <c r="V544" i="13" s="1"/>
  <c r="N543" i="13"/>
  <c r="V543" i="13" s="1"/>
  <c r="N542" i="13"/>
  <c r="V542" i="13" s="1"/>
  <c r="N541" i="13"/>
  <c r="V541" i="13" s="1"/>
  <c r="N540" i="13"/>
  <c r="V540" i="13" s="1"/>
  <c r="N539" i="13"/>
  <c r="V539" i="13" s="1"/>
  <c r="N538" i="13"/>
  <c r="V538" i="13" s="1"/>
  <c r="N564" i="13"/>
  <c r="V564" i="13" s="1"/>
  <c r="N563" i="13"/>
  <c r="V563" i="13" s="1"/>
  <c r="N558" i="13"/>
  <c r="V558" i="13" s="1"/>
  <c r="N557" i="13"/>
  <c r="V557" i="13" s="1"/>
  <c r="N556" i="13"/>
  <c r="V556" i="13" s="1"/>
  <c r="N562" i="13"/>
  <c r="V562" i="13" s="1"/>
  <c r="N561" i="13"/>
  <c r="V561" i="13" s="1"/>
  <c r="N560" i="13"/>
  <c r="V560" i="13" s="1"/>
  <c r="N559" i="13"/>
  <c r="V559" i="13" s="1"/>
  <c r="N555" i="13"/>
  <c r="V555" i="13" s="1"/>
  <c r="N554" i="13"/>
  <c r="V554" i="13" s="1"/>
  <c r="N553" i="13"/>
  <c r="V553" i="13" s="1"/>
  <c r="N537" i="13"/>
  <c r="V537" i="13" s="1"/>
  <c r="N581" i="13"/>
  <c r="V581" i="13" s="1"/>
  <c r="N580" i="13"/>
  <c r="V580" i="13" s="1"/>
  <c r="N585" i="13"/>
  <c r="V585" i="13" s="1"/>
  <c r="N584" i="13"/>
  <c r="V584" i="13" s="1"/>
  <c r="N574" i="13"/>
  <c r="V574" i="13" s="1"/>
  <c r="N573" i="13"/>
  <c r="V573" i="13" s="1"/>
  <c r="N572" i="13"/>
  <c r="V572" i="13" s="1"/>
  <c r="N571" i="13"/>
  <c r="V571" i="13" s="1"/>
  <c r="N568" i="13"/>
  <c r="V568" i="13" s="1"/>
  <c r="N567" i="13"/>
  <c r="V567" i="13" s="1"/>
  <c r="N599" i="13"/>
  <c r="V599" i="13" s="1"/>
  <c r="N598" i="13"/>
  <c r="V598" i="13" s="1"/>
  <c r="N597" i="13"/>
  <c r="V597" i="13" s="1"/>
  <c r="N596" i="13"/>
  <c r="V596" i="13" s="1"/>
  <c r="N595" i="13"/>
  <c r="V595" i="13" s="1"/>
  <c r="N593" i="13"/>
  <c r="V593" i="13" s="1"/>
  <c r="N592" i="13"/>
  <c r="V592" i="13" s="1"/>
  <c r="N591" i="13"/>
  <c r="V591" i="13" s="1"/>
  <c r="N590" i="13"/>
  <c r="V590" i="13" s="1"/>
  <c r="N589" i="13"/>
  <c r="V589" i="13" s="1"/>
  <c r="N588" i="13"/>
  <c r="V588" i="13" s="1"/>
  <c r="N587" i="13"/>
  <c r="V587" i="13" s="1"/>
  <c r="N586" i="13"/>
  <c r="V586" i="13" s="1"/>
  <c r="N583" i="13"/>
  <c r="V583" i="13" s="1"/>
  <c r="N582" i="13"/>
  <c r="V582" i="13" s="1"/>
  <c r="N617" i="13"/>
  <c r="V617" i="13" s="1"/>
  <c r="N616" i="13"/>
  <c r="V616" i="13" s="1"/>
  <c r="N615" i="13"/>
  <c r="V615" i="13" s="1"/>
  <c r="N614" i="13"/>
  <c r="V614" i="13" s="1"/>
  <c r="N613" i="13"/>
  <c r="V613" i="13" s="1"/>
  <c r="N612" i="13"/>
  <c r="V612" i="13" s="1"/>
  <c r="N611" i="13"/>
  <c r="V611" i="13" s="1"/>
  <c r="N610" i="13"/>
  <c r="V610" i="13" s="1"/>
  <c r="N602" i="13"/>
  <c r="V602" i="13" s="1"/>
  <c r="N601" i="13"/>
  <c r="V601" i="13" s="1"/>
  <c r="N625" i="13"/>
  <c r="V625" i="13" s="1"/>
  <c r="N624" i="13"/>
  <c r="V624" i="13" s="1"/>
  <c r="N623" i="13"/>
  <c r="V623" i="13" s="1"/>
  <c r="V640" i="13"/>
  <c r="N638" i="13"/>
  <c r="V638" i="13" s="1"/>
  <c r="N637" i="13"/>
  <c r="V637" i="13" s="1"/>
  <c r="N632" i="13"/>
  <c r="V632" i="13" s="1"/>
  <c r="N634" i="13"/>
  <c r="V634" i="13" s="1"/>
  <c r="N633" i="13"/>
  <c r="V633" i="13" s="1"/>
  <c r="N631" i="13"/>
  <c r="V631" i="13" s="1"/>
  <c r="N630" i="13"/>
  <c r="V630" i="13" s="1"/>
  <c r="N642" i="13"/>
  <c r="V642" i="13" s="1"/>
  <c r="N641" i="13"/>
  <c r="V641" i="13" s="1"/>
  <c r="N650" i="13"/>
  <c r="V650" i="13" s="1"/>
  <c r="N649" i="13"/>
  <c r="V649" i="13" s="1"/>
  <c r="N648" i="13"/>
  <c r="V648" i="13" s="1"/>
  <c r="N647" i="13"/>
  <c r="V647" i="13" s="1"/>
  <c r="N646" i="13"/>
  <c r="V646" i="13" s="1"/>
  <c r="N645" i="13"/>
  <c r="V645" i="13" s="1"/>
  <c r="V644" i="13"/>
  <c r="N643" i="13"/>
  <c r="V643" i="13" s="1"/>
  <c r="N652" i="13"/>
  <c r="V652" i="13" s="1"/>
  <c r="N673" i="13"/>
  <c r="V673" i="13" s="1"/>
  <c r="N672" i="13"/>
  <c r="V672" i="13" s="1"/>
  <c r="N671" i="13"/>
  <c r="V671" i="13" s="1"/>
  <c r="N670" i="13"/>
  <c r="V670" i="13" s="1"/>
  <c r="N669" i="13"/>
  <c r="V669" i="13" s="1"/>
  <c r="N668" i="13"/>
  <c r="V668" i="13" s="1"/>
  <c r="N664" i="13"/>
  <c r="V664" i="13" s="1"/>
  <c r="N667" i="13"/>
  <c r="V667" i="13" s="1"/>
  <c r="N666" i="13"/>
  <c r="V666" i="13" s="1"/>
  <c r="N665" i="13"/>
  <c r="V665" i="13" s="1"/>
  <c r="N661" i="13"/>
  <c r="V661" i="13" s="1"/>
  <c r="N660" i="13"/>
  <c r="V660" i="13" s="1"/>
  <c r="N659" i="13"/>
  <c r="V659" i="13" s="1"/>
  <c r="N658" i="13"/>
  <c r="V658" i="13" s="1"/>
  <c r="N656" i="13"/>
  <c r="V656" i="13" s="1"/>
  <c r="N655" i="13"/>
  <c r="V655" i="13" s="1"/>
  <c r="N654" i="13"/>
  <c r="V654" i="13" s="1"/>
  <c r="N687" i="13"/>
  <c r="V687" i="13" s="1"/>
  <c r="N686" i="13"/>
  <c r="V686" i="13" s="1"/>
  <c r="N684" i="13"/>
  <c r="V684" i="13" s="1"/>
  <c r="N685" i="13"/>
  <c r="V685" i="13" s="1"/>
  <c r="N692" i="13"/>
  <c r="V692" i="13" s="1"/>
  <c r="N711" i="13"/>
  <c r="V711" i="13" s="1"/>
  <c r="N710" i="13"/>
  <c r="V710" i="13" s="1"/>
  <c r="N709" i="13"/>
  <c r="V709" i="13" s="1"/>
  <c r="N708" i="13"/>
  <c r="V708" i="13" s="1"/>
  <c r="N707" i="13"/>
  <c r="V707" i="13" s="1"/>
  <c r="N701" i="13"/>
  <c r="V701" i="13" s="1"/>
  <c r="N704" i="13"/>
  <c r="V704" i="13" s="1"/>
  <c r="N703" i="13"/>
  <c r="V703" i="13" s="1"/>
  <c r="N702" i="13"/>
  <c r="V702" i="13" s="1"/>
  <c r="N698" i="13"/>
  <c r="V698" i="13" s="1"/>
  <c r="N697" i="13"/>
  <c r="V697" i="13" s="1"/>
  <c r="N695" i="13"/>
  <c r="V695" i="13" s="1"/>
  <c r="N694" i="13"/>
  <c r="V694" i="13" s="1"/>
  <c r="N693" i="13"/>
  <c r="V693" i="13" s="1"/>
  <c r="N726" i="13"/>
  <c r="V726" i="13" s="1"/>
  <c r="N725" i="13"/>
  <c r="V725" i="13" s="1"/>
  <c r="N724" i="13"/>
  <c r="V724" i="13" s="1"/>
  <c r="N723" i="13"/>
  <c r="V723" i="13" s="1"/>
  <c r="N722" i="13"/>
  <c r="V722" i="13" s="1"/>
  <c r="N721" i="13"/>
  <c r="V721" i="13" s="1"/>
  <c r="N720" i="13"/>
  <c r="V720" i="13" s="1"/>
  <c r="N706" i="13"/>
  <c r="V706" i="13" s="1"/>
  <c r="N705" i="13"/>
  <c r="V705" i="13" s="1"/>
  <c r="N719" i="13"/>
  <c r="V719" i="13" s="1"/>
  <c r="N718" i="13"/>
  <c r="V718" i="13" s="1"/>
  <c r="N717" i="13"/>
  <c r="V717" i="13" s="1"/>
  <c r="N716" i="13"/>
  <c r="V716" i="13" s="1"/>
  <c r="N715" i="13"/>
  <c r="V715" i="13" s="1"/>
  <c r="N714" i="13"/>
  <c r="V714" i="13" s="1"/>
  <c r="N713" i="13"/>
  <c r="V713" i="13" s="1"/>
  <c r="N730" i="13"/>
  <c r="V730" i="13" s="1"/>
  <c r="N729" i="13"/>
  <c r="V729" i="13" s="1"/>
  <c r="N728" i="13"/>
  <c r="N735" i="13"/>
  <c r="V735" i="13" s="1"/>
  <c r="N734" i="13"/>
  <c r="N733" i="13" s="1"/>
  <c r="N742" i="13"/>
  <c r="V742" i="13" s="1"/>
  <c r="N741" i="13"/>
  <c r="V741" i="13" s="1"/>
  <c r="N740" i="13"/>
  <c r="V740" i="13" s="1"/>
  <c r="N739" i="13"/>
  <c r="V739" i="13" s="1"/>
  <c r="N738" i="13"/>
  <c r="V738" i="13" s="1"/>
  <c r="N737" i="13"/>
  <c r="N746" i="13"/>
  <c r="V746" i="13" s="1"/>
  <c r="N748" i="13"/>
  <c r="N747" i="13" s="1"/>
  <c r="N752" i="13"/>
  <c r="V752" i="13" s="1"/>
  <c r="N751" i="13"/>
  <c r="V751" i="13" s="1"/>
  <c r="N750" i="13"/>
  <c r="N754" i="13"/>
  <c r="N753" i="13" s="1"/>
  <c r="N757" i="13"/>
  <c r="V757" i="13" s="1"/>
  <c r="N756" i="13"/>
  <c r="N758" i="13"/>
  <c r="V758" i="13" s="1"/>
  <c r="N760" i="13"/>
  <c r="N759" i="13" s="1"/>
  <c r="N765" i="13"/>
  <c r="N763" i="13" s="1"/>
  <c r="N774" i="13"/>
  <c r="V774" i="13" s="1"/>
  <c r="N773" i="13"/>
  <c r="V773" i="13" s="1"/>
  <c r="N772" i="13"/>
  <c r="V772" i="13" s="1"/>
  <c r="N771" i="13"/>
  <c r="V771" i="13" s="1"/>
  <c r="N770" i="13"/>
  <c r="V770" i="13" s="1"/>
  <c r="N769" i="13"/>
  <c r="V769" i="13" s="1"/>
  <c r="N767" i="13"/>
  <c r="N780" i="13"/>
  <c r="V780" i="13" s="1"/>
  <c r="N779" i="13"/>
  <c r="V779" i="13" s="1"/>
  <c r="N778" i="13"/>
  <c r="V778" i="13" s="1"/>
  <c r="N777" i="13"/>
  <c r="V777" i="13" s="1"/>
  <c r="N776" i="13"/>
  <c r="V776" i="13" s="1"/>
  <c r="N784" i="13"/>
  <c r="N783" i="13" s="1"/>
  <c r="N792" i="13"/>
  <c r="V792" i="13" s="1"/>
  <c r="N791" i="13"/>
  <c r="N796" i="13"/>
  <c r="V796" i="13" s="1"/>
  <c r="N798" i="13"/>
  <c r="V798" i="13" s="1"/>
  <c r="N801" i="13"/>
  <c r="V801" i="13" s="1"/>
  <c r="N805" i="13"/>
  <c r="V805" i="13" s="1"/>
  <c r="N804" i="13"/>
  <c r="V804" i="13" s="1"/>
  <c r="N803" i="13"/>
  <c r="V803" i="13" s="1"/>
  <c r="N812" i="13"/>
  <c r="V812" i="13" s="1"/>
  <c r="N811" i="13"/>
  <c r="V811" i="13" s="1"/>
  <c r="N810" i="13"/>
  <c r="V810" i="13" s="1"/>
  <c r="N807" i="13"/>
  <c r="V807" i="13" s="1"/>
  <c r="N809" i="13"/>
  <c r="V809" i="13" s="1"/>
  <c r="N815" i="13"/>
  <c r="V815" i="13" s="1"/>
  <c r="N814" i="13"/>
  <c r="N819" i="13"/>
  <c r="V819" i="13" s="1"/>
  <c r="N818" i="13"/>
  <c r="N825" i="13"/>
  <c r="V825" i="13" s="1"/>
  <c r="N824" i="13"/>
  <c r="N829" i="13"/>
  <c r="V829" i="13" s="1"/>
  <c r="N828" i="13"/>
  <c r="V828" i="13" s="1"/>
  <c r="N827" i="13"/>
  <c r="N837" i="13"/>
  <c r="V837" i="13" s="1"/>
  <c r="N836" i="13"/>
  <c r="N839" i="13"/>
  <c r="V839" i="13" s="1"/>
  <c r="N841" i="13"/>
  <c r="N852" i="13"/>
  <c r="V852" i="13" s="1"/>
  <c r="N851" i="13"/>
  <c r="N855" i="13"/>
  <c r="N857" i="13"/>
  <c r="N859" i="13"/>
  <c r="N861" i="13"/>
  <c r="N864" i="13"/>
  <c r="V864" i="13" s="1"/>
  <c r="N863" i="13"/>
  <c r="N866" i="13"/>
  <c r="V866" i="13" s="1"/>
  <c r="N868" i="13"/>
  <c r="N877" i="13"/>
  <c r="V877" i="13" s="1"/>
  <c r="N876" i="13"/>
  <c r="V876" i="13" s="1"/>
  <c r="N875" i="13"/>
  <c r="V875" i="13" s="1"/>
  <c r="N874" i="13"/>
  <c r="V874" i="13" s="1"/>
  <c r="N873" i="13"/>
  <c r="V873" i="13" s="1"/>
  <c r="N872" i="13"/>
  <c r="V872" i="13" s="1"/>
  <c r="N871" i="13"/>
  <c r="V871" i="13" s="1"/>
  <c r="N870" i="13"/>
  <c r="N884" i="13"/>
  <c r="V884" i="13" s="1"/>
  <c r="N883" i="13"/>
  <c r="V883" i="13" s="1"/>
  <c r="N882" i="13"/>
  <c r="V882" i="13" s="1"/>
  <c r="N881" i="13"/>
  <c r="V881" i="13" s="1"/>
  <c r="N880" i="13"/>
  <c r="V880" i="13" s="1"/>
  <c r="N889" i="13"/>
  <c r="V889" i="13" s="1"/>
  <c r="N888" i="13"/>
  <c r="V888" i="13" s="1"/>
  <c r="N886" i="13"/>
  <c r="N894" i="13"/>
  <c r="V894" i="13" s="1"/>
  <c r="N892" i="13"/>
  <c r="V892" i="13" s="1"/>
  <c r="N893" i="13"/>
  <c r="V893" i="13" s="1"/>
  <c r="N891" i="13"/>
  <c r="N896" i="13"/>
  <c r="N901" i="13"/>
  <c r="V901" i="13" s="1"/>
  <c r="N902" i="13"/>
  <c r="V902" i="13" s="1"/>
  <c r="N906" i="13"/>
  <c r="V906" i="13" s="1"/>
  <c r="N905" i="13"/>
  <c r="V905" i="13" s="1"/>
  <c r="N910" i="13"/>
  <c r="V910" i="13" s="1"/>
  <c r="N909" i="13"/>
  <c r="N913" i="13"/>
  <c r="V913" i="13" s="1"/>
  <c r="N912" i="13"/>
  <c r="N915" i="13"/>
  <c r="N921" i="13"/>
  <c r="V921" i="13" s="1"/>
  <c r="N920" i="13"/>
  <c r="V920" i="13" s="1"/>
  <c r="N919" i="13"/>
  <c r="V919" i="13" s="1"/>
  <c r="N918" i="13"/>
  <c r="V918" i="13" s="1"/>
  <c r="N917" i="13"/>
  <c r="V917" i="13" s="1"/>
  <c r="N926" i="13"/>
  <c r="V926" i="13" s="1"/>
  <c r="N925" i="13"/>
  <c r="V925" i="13" s="1"/>
  <c r="N924" i="13"/>
  <c r="V924" i="13" s="1"/>
  <c r="N923" i="13"/>
  <c r="V923" i="13" s="1"/>
  <c r="N936" i="13"/>
  <c r="V936" i="13" s="1"/>
  <c r="N935" i="13"/>
  <c r="V935" i="13" s="1"/>
  <c r="N934" i="13"/>
  <c r="V934" i="13" s="1"/>
  <c r="N933" i="13"/>
  <c r="V933" i="13" s="1"/>
  <c r="N932" i="13"/>
  <c r="V932" i="13" s="1"/>
  <c r="N931" i="13"/>
  <c r="V931" i="13" s="1"/>
  <c r="N930" i="13"/>
  <c r="V930" i="13" s="1"/>
  <c r="N929" i="13"/>
  <c r="V929" i="13" s="1"/>
  <c r="N928" i="13"/>
  <c r="V928" i="13" s="1"/>
  <c r="N927" i="13"/>
  <c r="V927" i="13" s="1"/>
  <c r="N944" i="13"/>
  <c r="V944" i="13" s="1"/>
  <c r="N943" i="13"/>
  <c r="V943" i="13" s="1"/>
  <c r="N942" i="13"/>
  <c r="V942" i="13" s="1"/>
  <c r="N941" i="13"/>
  <c r="V941" i="13" s="1"/>
  <c r="N940" i="13"/>
  <c r="V940" i="13" s="1"/>
  <c r="N939" i="13"/>
  <c r="V939" i="13" s="1"/>
  <c r="N938" i="13"/>
  <c r="V938" i="13" s="1"/>
  <c r="N948" i="13"/>
  <c r="V948" i="13" s="1"/>
  <c r="N947" i="13"/>
  <c r="V947" i="13" s="1"/>
  <c r="N958" i="13"/>
  <c r="V958" i="13" s="1"/>
  <c r="N946" i="13"/>
  <c r="V946" i="13" s="1"/>
  <c r="N962" i="13"/>
  <c r="V962" i="13" s="1"/>
  <c r="N961" i="13"/>
  <c r="V961" i="13" s="1"/>
  <c r="N960" i="13"/>
  <c r="V960" i="13" s="1"/>
  <c r="N959" i="13"/>
  <c r="V959" i="13" s="1"/>
  <c r="N957" i="13"/>
  <c r="V957" i="13" s="1"/>
  <c r="N956" i="13"/>
  <c r="V956" i="13" s="1"/>
  <c r="N955" i="13"/>
  <c r="V955" i="13" s="1"/>
  <c r="N954" i="13"/>
  <c r="V954" i="13" s="1"/>
  <c r="N953" i="13"/>
  <c r="V953" i="13" s="1"/>
  <c r="N952" i="13"/>
  <c r="V952" i="13" s="1"/>
  <c r="N951" i="13"/>
  <c r="V951" i="13" s="1"/>
  <c r="N950" i="13"/>
  <c r="V950" i="13" s="1"/>
  <c r="N949" i="13"/>
  <c r="V949" i="13" s="1"/>
  <c r="N967" i="13"/>
  <c r="V967" i="13" s="1"/>
  <c r="N966" i="13"/>
  <c r="V966" i="13" s="1"/>
  <c r="N965" i="13"/>
  <c r="V965" i="13" s="1"/>
  <c r="N964" i="13"/>
  <c r="V964" i="13" s="1"/>
  <c r="N976" i="13"/>
  <c r="V976" i="13" s="1"/>
  <c r="N975" i="13"/>
  <c r="V975" i="13" s="1"/>
  <c r="N974" i="13"/>
  <c r="V974" i="13" s="1"/>
  <c r="N973" i="13"/>
  <c r="V973" i="13" s="1"/>
  <c r="N972" i="13"/>
  <c r="V972" i="13" s="1"/>
  <c r="N971" i="13"/>
  <c r="V971" i="13" s="1"/>
  <c r="N970" i="13"/>
  <c r="V970" i="13" s="1"/>
  <c r="N969" i="13"/>
  <c r="V969" i="13" s="1"/>
  <c r="N968" i="13"/>
  <c r="V968" i="13" s="1"/>
  <c r="N983" i="13"/>
  <c r="V983" i="13" s="1"/>
  <c r="N990" i="13"/>
  <c r="V990" i="13" s="1"/>
  <c r="N984" i="13"/>
  <c r="V984" i="13" s="1"/>
  <c r="N982" i="13"/>
  <c r="V982" i="13" s="1"/>
  <c r="N981" i="13"/>
  <c r="V981" i="13" s="1"/>
  <c r="N980" i="13"/>
  <c r="V980" i="13" s="1"/>
  <c r="N978" i="13"/>
  <c r="V978" i="13" s="1"/>
  <c r="N979" i="13"/>
  <c r="V979" i="13" s="1"/>
  <c r="N977" i="13"/>
  <c r="V977" i="13" s="1"/>
  <c r="N993" i="13"/>
  <c r="V993" i="13" s="1"/>
  <c r="N989" i="13"/>
  <c r="V989" i="13" s="1"/>
  <c r="N988" i="13"/>
  <c r="V988" i="13" s="1"/>
  <c r="N987" i="13"/>
  <c r="V987" i="13" s="1"/>
  <c r="N986" i="13"/>
  <c r="V986" i="13" s="1"/>
  <c r="N992" i="13"/>
  <c r="V992" i="13" s="1"/>
  <c r="N991" i="13"/>
  <c r="V991" i="13" s="1"/>
  <c r="N985" i="13"/>
  <c r="V985" i="13" s="1"/>
  <c r="N1000" i="13"/>
  <c r="V1000" i="13" s="1"/>
  <c r="N999" i="13"/>
  <c r="V999" i="13" s="1"/>
  <c r="N998" i="13"/>
  <c r="V998" i="13" s="1"/>
  <c r="N997" i="13"/>
  <c r="V997" i="13" s="1"/>
  <c r="N996" i="13"/>
  <c r="V996" i="13" s="1"/>
  <c r="N1007" i="13"/>
  <c r="V1007" i="13" s="1"/>
  <c r="N1006" i="13"/>
  <c r="V1006" i="13" s="1"/>
  <c r="N1005" i="13"/>
  <c r="V1005" i="13" s="1"/>
  <c r="N1004" i="13"/>
  <c r="V1004" i="13" s="1"/>
  <c r="N1003" i="13"/>
  <c r="V1003" i="13" s="1"/>
  <c r="N1002" i="13"/>
  <c r="V1002" i="13" s="1"/>
  <c r="N1001" i="13"/>
  <c r="V1001" i="13" s="1"/>
  <c r="N1010" i="13"/>
  <c r="V1010" i="13" s="1"/>
  <c r="N1017" i="13"/>
  <c r="V1017" i="13" s="1"/>
  <c r="N1016" i="13"/>
  <c r="V1016" i="13" s="1"/>
  <c r="N1015" i="13"/>
  <c r="V1015" i="13" s="1"/>
  <c r="N1014" i="13"/>
  <c r="V1014" i="13" s="1"/>
  <c r="N1013" i="13"/>
  <c r="V1013" i="13" s="1"/>
  <c r="N1012" i="13"/>
  <c r="V1012" i="13" s="1"/>
  <c r="N1011" i="13"/>
  <c r="V1011" i="13" s="1"/>
  <c r="N1023" i="13"/>
  <c r="V1023" i="13" s="1"/>
  <c r="N1026" i="13"/>
  <c r="V1026" i="13" s="1"/>
  <c r="N1025" i="13"/>
  <c r="V1025" i="13" s="1"/>
  <c r="N1024" i="13"/>
  <c r="V1024" i="13" s="1"/>
  <c r="N1022" i="13"/>
  <c r="V1022" i="13" s="1"/>
  <c r="N1021" i="13"/>
  <c r="V1021" i="13" s="1"/>
  <c r="N1020" i="13"/>
  <c r="V1020" i="13" s="1"/>
  <c r="N1019" i="13"/>
  <c r="V1019" i="13" s="1"/>
  <c r="N1030" i="13"/>
  <c r="V1030" i="13" s="1"/>
  <c r="N1027" i="13"/>
  <c r="V1027" i="13" s="1"/>
  <c r="N1031" i="13"/>
  <c r="V1031" i="13" s="1"/>
  <c r="N1037" i="13"/>
  <c r="V1037" i="13" s="1"/>
  <c r="N1036" i="13"/>
  <c r="V1036" i="13" s="1"/>
  <c r="N1035" i="13"/>
  <c r="V1035" i="13" s="1"/>
  <c r="N1038" i="13"/>
  <c r="V1038" i="13" s="1"/>
  <c r="N1046" i="13"/>
  <c r="V1046" i="13" s="1"/>
  <c r="N1045" i="13"/>
  <c r="V1045" i="13" s="1"/>
  <c r="N1044" i="13"/>
  <c r="V1044" i="13" s="1"/>
  <c r="N1043" i="13"/>
  <c r="V1043" i="13" s="1"/>
  <c r="N1042" i="13"/>
  <c r="V1042" i="13" s="1"/>
  <c r="N1041" i="13"/>
  <c r="V1041" i="13" s="1"/>
  <c r="N1040" i="13"/>
  <c r="V1040" i="13" s="1"/>
  <c r="N1039" i="13"/>
  <c r="V1039" i="13" s="1"/>
  <c r="N1056" i="13"/>
  <c r="V1056" i="13" s="1"/>
  <c r="N1055" i="13"/>
  <c r="V1055" i="13" s="1"/>
  <c r="N1057" i="13"/>
  <c r="V1057" i="13" s="1"/>
  <c r="N1054" i="13"/>
  <c r="V1054" i="13" s="1"/>
  <c r="N1053" i="13"/>
  <c r="V1053" i="13" s="1"/>
  <c r="N1048" i="13"/>
  <c r="V1048" i="13" s="1"/>
  <c r="N1047" i="13"/>
  <c r="V1047" i="13" s="1"/>
  <c r="N1052" i="13"/>
  <c r="V1052" i="13" s="1"/>
  <c r="N1051" i="13"/>
  <c r="V1051" i="13" s="1"/>
  <c r="N1050" i="13"/>
  <c r="V1050" i="13" s="1"/>
  <c r="N1049" i="13"/>
  <c r="V1049" i="13" s="1"/>
  <c r="N1060" i="13"/>
  <c r="V1060" i="13" s="1"/>
  <c r="N1064" i="13"/>
  <c r="V1064" i="13" s="1"/>
  <c r="N1063" i="13"/>
  <c r="V1063" i="13" s="1"/>
  <c r="N1059" i="13"/>
  <c r="V1059" i="13" s="1"/>
  <c r="N1074" i="13"/>
  <c r="V1074" i="13" s="1"/>
  <c r="N1073" i="13"/>
  <c r="V1073" i="13" s="1"/>
  <c r="N1072" i="13"/>
  <c r="V1072" i="13" s="1"/>
  <c r="N1071" i="13"/>
  <c r="V1071" i="13" s="1"/>
  <c r="N1070" i="13"/>
  <c r="V1070" i="13" s="1"/>
  <c r="N1069" i="13"/>
  <c r="V1069" i="13" s="1"/>
  <c r="N1068" i="13"/>
  <c r="V1068" i="13" s="1"/>
  <c r="N1067" i="13"/>
  <c r="V1067" i="13" s="1"/>
  <c r="N1066" i="13"/>
  <c r="V1066" i="13" s="1"/>
  <c r="N1065" i="13"/>
  <c r="V1065" i="13" s="1"/>
  <c r="N1088" i="13"/>
  <c r="V1088" i="13" s="1"/>
  <c r="N1087" i="13"/>
  <c r="V1087" i="13" s="1"/>
  <c r="N1086" i="13"/>
  <c r="V1086" i="13" s="1"/>
  <c r="N1085" i="13"/>
  <c r="V1085" i="13" s="1"/>
  <c r="N1084" i="13"/>
  <c r="V1084" i="13" s="1"/>
  <c r="N1083" i="13"/>
  <c r="V1083" i="13" s="1"/>
  <c r="N1082" i="13"/>
  <c r="V1082" i="13" s="1"/>
  <c r="N1081" i="13"/>
  <c r="V1081" i="13" s="1"/>
  <c r="N1092" i="13"/>
  <c r="N1096" i="13"/>
  <c r="N1100" i="13"/>
  <c r="V1100" i="13" s="1"/>
  <c r="N1099" i="13"/>
  <c r="V1099" i="13" s="1"/>
  <c r="N1098" i="13"/>
  <c r="N743" i="13"/>
  <c r="V743" i="13" s="1"/>
  <c r="N1103" i="13"/>
  <c r="V1103" i="13" s="1"/>
  <c r="N1102" i="13"/>
  <c r="N1106" i="13"/>
  <c r="V1106" i="13" s="1"/>
  <c r="N1105" i="13"/>
  <c r="N1108" i="13"/>
  <c r="N1112" i="13"/>
  <c r="N1115" i="13"/>
  <c r="V1115" i="13" s="1"/>
  <c r="N1114" i="13"/>
  <c r="N1124" i="13"/>
  <c r="V1124" i="13" s="1"/>
  <c r="N1123" i="13"/>
  <c r="V1123" i="13" s="1"/>
  <c r="N1122" i="13"/>
  <c r="N1130" i="13"/>
  <c r="V1130" i="13" s="1"/>
  <c r="N1129" i="13"/>
  <c r="V1129" i="13" s="1"/>
  <c r="N1128" i="13"/>
  <c r="V1128" i="13" s="1"/>
  <c r="N1127" i="13"/>
  <c r="V1127" i="13" s="1"/>
  <c r="N1126" i="13"/>
  <c r="V1126" i="13" s="1"/>
  <c r="N1121" i="13"/>
  <c r="V1121" i="13" s="1"/>
  <c r="N1120" i="13"/>
  <c r="V1120" i="13" s="1"/>
  <c r="N1119" i="13"/>
  <c r="N1136" i="13"/>
  <c r="V1136" i="13" s="1"/>
  <c r="N1137" i="13"/>
  <c r="V1137" i="13" s="1"/>
  <c r="V1125" i="13"/>
  <c r="V1117" i="13"/>
  <c r="V1110" i="13"/>
  <c r="V1094" i="13"/>
  <c r="V1090" i="13"/>
  <c r="V1075" i="13"/>
  <c r="V1062" i="13"/>
  <c r="V1061" i="13"/>
  <c r="V1058" i="13"/>
  <c r="V1028" i="13"/>
  <c r="V995" i="13"/>
  <c r="V994" i="13"/>
  <c r="V963" i="13"/>
  <c r="V922" i="13"/>
  <c r="V916" i="13"/>
  <c r="V907" i="13"/>
  <c r="V900" i="13"/>
  <c r="V898" i="13"/>
  <c r="V878" i="13"/>
  <c r="V865" i="13"/>
  <c r="V849" i="13"/>
  <c r="V834" i="13"/>
  <c r="V833" i="13"/>
  <c r="V822" i="13"/>
  <c r="V821" i="13"/>
  <c r="V817" i="13"/>
  <c r="V808" i="13"/>
  <c r="V799" i="13"/>
  <c r="V797" i="13"/>
  <c r="V795" i="13"/>
  <c r="V745" i="13"/>
  <c r="V744" i="13"/>
  <c r="V691" i="13"/>
  <c r="V690" i="13"/>
  <c r="V689" i="13"/>
  <c r="V688" i="13"/>
  <c r="V681" i="13"/>
  <c r="V653" i="13"/>
  <c r="V651" i="13"/>
  <c r="V1034" i="13"/>
  <c r="V1033" i="13"/>
  <c r="V639" i="13"/>
  <c r="V566" i="13"/>
  <c r="V526" i="13"/>
  <c r="V509" i="13"/>
  <c r="V937" i="13"/>
  <c r="V501" i="13"/>
  <c r="V500" i="13"/>
  <c r="V488" i="13"/>
  <c r="V487" i="13"/>
  <c r="V475" i="13"/>
  <c r="V462" i="13"/>
  <c r="V453" i="13"/>
  <c r="V445" i="13"/>
  <c r="V440" i="13"/>
  <c r="V434" i="13"/>
  <c r="V420" i="13"/>
  <c r="V419" i="13"/>
  <c r="V390" i="13"/>
  <c r="V383" i="13"/>
  <c r="V381" i="13"/>
  <c r="V350" i="13"/>
  <c r="V343" i="13"/>
  <c r="V337" i="13"/>
  <c r="V336" i="13"/>
  <c r="V326" i="13"/>
  <c r="V316" i="13"/>
  <c r="V311" i="13"/>
  <c r="V310" i="13"/>
  <c r="R1137" i="13"/>
  <c r="R1136" i="13"/>
  <c r="R1130" i="13"/>
  <c r="R1129" i="13"/>
  <c r="R1128" i="13"/>
  <c r="R1127" i="13"/>
  <c r="R1126" i="13"/>
  <c r="R1121" i="13"/>
  <c r="R1120" i="13"/>
  <c r="R1119" i="13"/>
  <c r="R1125" i="13"/>
  <c r="R1124" i="13"/>
  <c r="R1123" i="13"/>
  <c r="R1122" i="13"/>
  <c r="R1117" i="13"/>
  <c r="R1116" i="13" s="1"/>
  <c r="R1114" i="13"/>
  <c r="R1113" i="13" s="1"/>
  <c r="R1112" i="13"/>
  <c r="R1111" i="13" s="1"/>
  <c r="R1108" i="13"/>
  <c r="R1107" i="13" s="1"/>
  <c r="R1106" i="13"/>
  <c r="R1105" i="13"/>
  <c r="R743" i="13"/>
  <c r="R1103" i="13"/>
  <c r="R1102" i="13"/>
  <c r="R1100" i="13"/>
  <c r="R1099" i="13"/>
  <c r="R1098" i="13"/>
  <c r="R1096" i="13"/>
  <c r="R1095" i="13" s="1"/>
  <c r="R1092" i="13"/>
  <c r="R1091" i="13" s="1"/>
  <c r="R1090" i="13"/>
  <c r="R1089" i="13" s="1"/>
  <c r="R1088" i="13"/>
  <c r="R1087" i="13"/>
  <c r="R1086" i="13"/>
  <c r="R1085" i="13"/>
  <c r="R1084" i="13"/>
  <c r="R1083" i="13"/>
  <c r="R1082" i="13"/>
  <c r="R1081" i="13"/>
  <c r="R1080" i="13"/>
  <c r="R1079" i="13"/>
  <c r="R1078" i="13"/>
  <c r="R1077" i="13"/>
  <c r="R1075" i="13"/>
  <c r="R1074" i="13"/>
  <c r="R1073" i="13"/>
  <c r="R1072" i="13"/>
  <c r="R1071" i="13"/>
  <c r="R1070" i="13"/>
  <c r="R1069" i="13"/>
  <c r="R1068" i="13"/>
  <c r="R1067" i="13"/>
  <c r="R1066" i="13"/>
  <c r="R1065" i="13"/>
  <c r="R1062" i="13"/>
  <c r="R1061" i="13"/>
  <c r="R1060" i="13"/>
  <c r="R1064" i="13"/>
  <c r="R1063" i="13"/>
  <c r="R1059" i="13"/>
  <c r="R1058" i="13"/>
  <c r="R1056" i="13"/>
  <c r="R1055" i="13"/>
  <c r="R1057" i="13"/>
  <c r="R1054" i="13"/>
  <c r="R1053" i="13"/>
  <c r="R1048" i="13"/>
  <c r="R1047" i="13"/>
  <c r="R1052" i="13"/>
  <c r="R1051" i="13"/>
  <c r="R1050" i="13"/>
  <c r="R1049" i="13"/>
  <c r="R1046" i="13"/>
  <c r="R1045" i="13"/>
  <c r="R1044" i="13"/>
  <c r="R1043" i="13"/>
  <c r="R1042" i="13"/>
  <c r="R1041" i="13"/>
  <c r="R1040" i="13"/>
  <c r="R1039" i="13"/>
  <c r="R1038" i="13"/>
  <c r="R1037" i="13"/>
  <c r="R1036" i="13"/>
  <c r="R1035" i="13"/>
  <c r="R1032" i="13"/>
  <c r="R1031" i="13"/>
  <c r="R1030" i="13"/>
  <c r="R1027" i="13"/>
  <c r="R1028" i="13"/>
  <c r="R1023" i="13"/>
  <c r="R1026" i="13"/>
  <c r="R1025" i="13"/>
  <c r="R1024" i="13"/>
  <c r="R1022" i="13"/>
  <c r="R1021" i="13"/>
  <c r="R1020" i="13"/>
  <c r="R1019" i="13"/>
  <c r="R1018" i="13"/>
  <c r="R1017" i="13"/>
  <c r="R1016" i="13"/>
  <c r="R1015" i="13"/>
  <c r="R1014" i="13"/>
  <c r="R1013" i="13"/>
  <c r="R1012" i="13"/>
  <c r="R1011" i="13"/>
  <c r="R1010" i="13"/>
  <c r="R1008" i="13"/>
  <c r="R1007" i="13"/>
  <c r="R1006" i="13"/>
  <c r="R1005" i="13"/>
  <c r="R1004" i="13"/>
  <c r="R1003" i="13"/>
  <c r="R1002" i="13"/>
  <c r="R1001" i="13"/>
  <c r="R1000" i="13"/>
  <c r="R999" i="13"/>
  <c r="R998" i="13"/>
  <c r="R997" i="13"/>
  <c r="R996" i="13"/>
  <c r="R995" i="13"/>
  <c r="R994" i="13"/>
  <c r="R993" i="13"/>
  <c r="R989" i="13"/>
  <c r="R988" i="13"/>
  <c r="R987" i="13"/>
  <c r="R986" i="13"/>
  <c r="R992" i="13"/>
  <c r="R991" i="13"/>
  <c r="R985" i="13"/>
  <c r="R983" i="13"/>
  <c r="R990" i="13"/>
  <c r="R984" i="13"/>
  <c r="R982" i="13"/>
  <c r="R981" i="13"/>
  <c r="R980" i="13"/>
  <c r="R978" i="13"/>
  <c r="R979" i="13"/>
  <c r="R977" i="13"/>
  <c r="R976" i="13"/>
  <c r="R975" i="13"/>
  <c r="R974" i="13"/>
  <c r="R973" i="13"/>
  <c r="R972" i="13"/>
  <c r="R971" i="13"/>
  <c r="R970" i="13"/>
  <c r="R969" i="13"/>
  <c r="R968" i="13"/>
  <c r="R967" i="13"/>
  <c r="R966" i="13"/>
  <c r="R965" i="13"/>
  <c r="R964" i="13"/>
  <c r="R963" i="13"/>
  <c r="R962" i="13"/>
  <c r="R961" i="13"/>
  <c r="R960" i="13"/>
  <c r="R959" i="13"/>
  <c r="R957" i="13"/>
  <c r="R956" i="13"/>
  <c r="R955" i="13"/>
  <c r="R954" i="13"/>
  <c r="R953" i="13"/>
  <c r="R952" i="13"/>
  <c r="R951" i="13"/>
  <c r="R950" i="13"/>
  <c r="R949" i="13"/>
  <c r="R948" i="13"/>
  <c r="R947" i="13"/>
  <c r="R958" i="13"/>
  <c r="R946" i="13"/>
  <c r="R945" i="13"/>
  <c r="R944" i="13"/>
  <c r="R943" i="13"/>
  <c r="R942" i="13"/>
  <c r="R941" i="13"/>
  <c r="R940" i="13"/>
  <c r="R939" i="13"/>
  <c r="R938" i="13"/>
  <c r="R936" i="13"/>
  <c r="R935" i="13"/>
  <c r="R934" i="13"/>
  <c r="R933" i="13"/>
  <c r="R932" i="13"/>
  <c r="R931" i="13"/>
  <c r="R930" i="13"/>
  <c r="R929" i="13"/>
  <c r="R928" i="13"/>
  <c r="R927" i="13"/>
  <c r="R926" i="13"/>
  <c r="R925" i="13"/>
  <c r="R924" i="13"/>
  <c r="R923" i="13"/>
  <c r="R922" i="13"/>
  <c r="R921" i="13"/>
  <c r="R920" i="13"/>
  <c r="R919" i="13"/>
  <c r="R918" i="13"/>
  <c r="R917" i="13"/>
  <c r="R916" i="13"/>
  <c r="R915" i="13"/>
  <c r="R913" i="13"/>
  <c r="R912" i="13"/>
  <c r="R910" i="13"/>
  <c r="R909" i="13"/>
  <c r="R907" i="13"/>
  <c r="R906" i="13"/>
  <c r="R905" i="13"/>
  <c r="R904" i="13"/>
  <c r="R903" i="13"/>
  <c r="R902" i="13"/>
  <c r="R901" i="13"/>
  <c r="R900" i="13"/>
  <c r="R899" i="13"/>
  <c r="R898" i="13"/>
  <c r="R896" i="13"/>
  <c r="R895" i="13" s="1"/>
  <c r="R894" i="13"/>
  <c r="R892" i="13"/>
  <c r="R893" i="13"/>
  <c r="R891" i="13"/>
  <c r="R889" i="13"/>
  <c r="R888" i="13"/>
  <c r="R886" i="13"/>
  <c r="R884" i="13"/>
  <c r="R883" i="13"/>
  <c r="R882" i="13"/>
  <c r="R881" i="13"/>
  <c r="R880" i="13"/>
  <c r="R879" i="13"/>
  <c r="R878" i="13"/>
  <c r="R877" i="13"/>
  <c r="R876" i="13"/>
  <c r="R875" i="13"/>
  <c r="R874" i="13"/>
  <c r="R873" i="13"/>
  <c r="R872" i="13"/>
  <c r="R871" i="13"/>
  <c r="R870" i="13"/>
  <c r="R863" i="13"/>
  <c r="R862" i="13" s="1"/>
  <c r="R861" i="13"/>
  <c r="R860" i="13" s="1"/>
  <c r="R857" i="13"/>
  <c r="R856" i="13" s="1"/>
  <c r="R847" i="13"/>
  <c r="R846" i="13"/>
  <c r="R843" i="13"/>
  <c r="R841" i="13"/>
  <c r="R840" i="13" s="1"/>
  <c r="R839" i="13"/>
  <c r="R838" i="13"/>
  <c r="R837" i="13"/>
  <c r="R836" i="13"/>
  <c r="R834" i="13"/>
  <c r="R833" i="13"/>
  <c r="R831" i="13"/>
  <c r="R830" i="13" s="1"/>
  <c r="R829" i="13"/>
  <c r="R828" i="13"/>
  <c r="R827" i="13"/>
  <c r="R825" i="13"/>
  <c r="R824" i="13"/>
  <c r="R822" i="13"/>
  <c r="R821" i="13"/>
  <c r="R819" i="13"/>
  <c r="R818" i="13"/>
  <c r="R817" i="13"/>
  <c r="R815" i="13"/>
  <c r="R814" i="13"/>
  <c r="R812" i="13"/>
  <c r="R811" i="13"/>
  <c r="R810" i="13"/>
  <c r="R807" i="13"/>
  <c r="R809" i="13"/>
  <c r="R808" i="13"/>
  <c r="R806" i="13"/>
  <c r="R805" i="13"/>
  <c r="R804" i="13"/>
  <c r="R803" i="13"/>
  <c r="R802" i="13"/>
  <c r="R801" i="13"/>
  <c r="R800" i="13"/>
  <c r="R799" i="13"/>
  <c r="R798" i="13"/>
  <c r="R797" i="13"/>
  <c r="R796" i="13"/>
  <c r="R795" i="13"/>
  <c r="R794" i="13"/>
  <c r="R792" i="13"/>
  <c r="R791" i="13"/>
  <c r="R784" i="13"/>
  <c r="R783" i="13" s="1"/>
  <c r="R780" i="13"/>
  <c r="R779" i="13"/>
  <c r="R778" i="13"/>
  <c r="R777" i="13"/>
  <c r="R776" i="13"/>
  <c r="R774" i="13"/>
  <c r="R773" i="13"/>
  <c r="R772" i="13"/>
  <c r="R771" i="13"/>
  <c r="R770" i="13"/>
  <c r="R769" i="13"/>
  <c r="R767" i="13"/>
  <c r="R765" i="13"/>
  <c r="R763" i="13" s="1"/>
  <c r="R760" i="13"/>
  <c r="R759" i="13" s="1"/>
  <c r="R758" i="13"/>
  <c r="R757" i="13"/>
  <c r="R756" i="13"/>
  <c r="R754" i="13"/>
  <c r="R753" i="13" s="1"/>
  <c r="R752" i="13"/>
  <c r="R751" i="13"/>
  <c r="R750" i="13"/>
  <c r="R748" i="13"/>
  <c r="R747" i="13" s="1"/>
  <c r="R745" i="13"/>
  <c r="R746" i="13"/>
  <c r="R744" i="13"/>
  <c r="R742" i="13"/>
  <c r="R741" i="13"/>
  <c r="R740" i="13"/>
  <c r="R739" i="13"/>
  <c r="R738" i="13"/>
  <c r="R737" i="13"/>
  <c r="R735" i="13"/>
  <c r="R734" i="13"/>
  <c r="R733" i="13" s="1"/>
  <c r="R732" i="13"/>
  <c r="R731" i="13" s="1"/>
  <c r="R730" i="13"/>
  <c r="R729" i="13"/>
  <c r="R728" i="13"/>
  <c r="R726" i="13"/>
  <c r="R725" i="13"/>
  <c r="R724" i="13"/>
  <c r="R723" i="13"/>
  <c r="R722" i="13"/>
  <c r="R721" i="13"/>
  <c r="R720" i="13"/>
  <c r="R706" i="13"/>
  <c r="R705" i="13"/>
  <c r="R719" i="13"/>
  <c r="R718" i="13"/>
  <c r="R717" i="13"/>
  <c r="R716" i="13"/>
  <c r="R715" i="13"/>
  <c r="R714" i="13"/>
  <c r="R713" i="13"/>
  <c r="R712" i="13"/>
  <c r="R711" i="13"/>
  <c r="R710" i="13"/>
  <c r="R709" i="13"/>
  <c r="R708" i="13"/>
  <c r="R707" i="13"/>
  <c r="R701" i="13"/>
  <c r="R704" i="13"/>
  <c r="R703" i="13"/>
  <c r="R702" i="13"/>
  <c r="R698" i="13"/>
  <c r="R697" i="13"/>
  <c r="R695" i="13"/>
  <c r="R694" i="13"/>
  <c r="R693" i="13"/>
  <c r="R692" i="13"/>
  <c r="R691" i="13"/>
  <c r="R690" i="13"/>
  <c r="R689" i="13"/>
  <c r="R688" i="13"/>
  <c r="R687" i="13"/>
  <c r="R686" i="13"/>
  <c r="R684" i="13"/>
  <c r="R685" i="13"/>
  <c r="R681" i="13"/>
  <c r="R673" i="13"/>
  <c r="R672" i="13"/>
  <c r="R671" i="13"/>
  <c r="R670" i="13"/>
  <c r="R669" i="13"/>
  <c r="R668" i="13"/>
  <c r="R664" i="13"/>
  <c r="R667" i="13"/>
  <c r="R666" i="13"/>
  <c r="R665" i="13"/>
  <c r="R661" i="13"/>
  <c r="R660" i="13"/>
  <c r="R659" i="13"/>
  <c r="R658" i="13"/>
  <c r="R656" i="13"/>
  <c r="R655" i="13"/>
  <c r="R654" i="13"/>
  <c r="R653" i="13"/>
  <c r="R652" i="13"/>
  <c r="R651" i="13"/>
  <c r="R650" i="13"/>
  <c r="R649" i="13"/>
  <c r="R648" i="13"/>
  <c r="R647" i="13"/>
  <c r="R646" i="13"/>
  <c r="R645" i="13"/>
  <c r="R644" i="13"/>
  <c r="R643" i="13"/>
  <c r="R1034" i="13"/>
  <c r="R1033" i="13"/>
  <c r="R642" i="13"/>
  <c r="R641" i="13"/>
  <c r="R639" i="13"/>
  <c r="R640" i="13"/>
  <c r="R638" i="13"/>
  <c r="R637" i="13"/>
  <c r="R632" i="13"/>
  <c r="R634" i="13"/>
  <c r="R633" i="13"/>
  <c r="R631" i="13"/>
  <c r="R630" i="13"/>
  <c r="R628" i="13"/>
  <c r="R625" i="13"/>
  <c r="R624" i="13"/>
  <c r="R623" i="13"/>
  <c r="R618" i="13"/>
  <c r="R617" i="13"/>
  <c r="R616" i="13"/>
  <c r="R615" i="13"/>
  <c r="R614" i="13"/>
  <c r="R613" i="13"/>
  <c r="R612" i="13"/>
  <c r="R611" i="13"/>
  <c r="R610" i="13"/>
  <c r="R602" i="13"/>
  <c r="R601" i="13"/>
  <c r="R599" i="13"/>
  <c r="R598" i="13"/>
  <c r="R597" i="13"/>
  <c r="R596" i="13"/>
  <c r="R595" i="13"/>
  <c r="R593" i="13"/>
  <c r="R592" i="13"/>
  <c r="R591" i="13"/>
  <c r="R590" i="13"/>
  <c r="R589" i="13"/>
  <c r="R588" i="13"/>
  <c r="R587" i="13"/>
  <c r="R586" i="13"/>
  <c r="R583" i="13"/>
  <c r="R582" i="13"/>
  <c r="R581" i="13"/>
  <c r="R580" i="13"/>
  <c r="R585" i="13"/>
  <c r="R584" i="13"/>
  <c r="R574" i="13"/>
  <c r="R573" i="13"/>
  <c r="R572" i="13"/>
  <c r="R571" i="13"/>
  <c r="R568" i="13"/>
  <c r="R567" i="13"/>
  <c r="R566" i="13"/>
  <c r="R564" i="13"/>
  <c r="R563" i="13"/>
  <c r="R558" i="13"/>
  <c r="R557" i="13"/>
  <c r="R556" i="13"/>
  <c r="R562" i="13"/>
  <c r="R561" i="13"/>
  <c r="R560" i="13"/>
  <c r="R559" i="13"/>
  <c r="R555" i="13"/>
  <c r="R554" i="13"/>
  <c r="R553" i="13"/>
  <c r="R537" i="13"/>
  <c r="R552" i="13"/>
  <c r="R551" i="13"/>
  <c r="R550" i="13"/>
  <c r="R549" i="13"/>
  <c r="R548" i="13"/>
  <c r="R547" i="13"/>
  <c r="R546" i="13"/>
  <c r="R545" i="13"/>
  <c r="R544" i="13"/>
  <c r="R543" i="13"/>
  <c r="R542" i="13"/>
  <c r="R541" i="13"/>
  <c r="R540" i="13"/>
  <c r="R539" i="13"/>
  <c r="R538" i="13"/>
  <c r="R536" i="13"/>
  <c r="R535" i="13"/>
  <c r="R526" i="13"/>
  <c r="R518" i="13"/>
  <c r="R517" i="13"/>
  <c r="R516" i="13"/>
  <c r="R515" i="13"/>
  <c r="R514" i="13"/>
  <c r="R513" i="13"/>
  <c r="R512" i="13"/>
  <c r="R511" i="13"/>
  <c r="R510" i="13"/>
  <c r="R509" i="13"/>
  <c r="R508" i="13"/>
  <c r="R507" i="13"/>
  <c r="R506" i="13"/>
  <c r="R505" i="13"/>
  <c r="R504" i="13"/>
  <c r="R503" i="13"/>
  <c r="R937" i="13"/>
  <c r="R501" i="13"/>
  <c r="R500" i="13"/>
  <c r="R498" i="13"/>
  <c r="R497" i="13"/>
  <c r="R496" i="13"/>
  <c r="R495" i="13"/>
  <c r="R494" i="13"/>
  <c r="R493" i="13"/>
  <c r="R492" i="13"/>
  <c r="R491" i="13"/>
  <c r="R490" i="13"/>
  <c r="R489" i="13"/>
  <c r="R488" i="13"/>
  <c r="R487" i="13"/>
  <c r="R483" i="13"/>
  <c r="R482" i="13"/>
  <c r="R481" i="13"/>
  <c r="R480" i="13"/>
  <c r="R479" i="13"/>
  <c r="R478" i="13"/>
  <c r="R477" i="13"/>
  <c r="R476" i="13"/>
  <c r="R475" i="13"/>
  <c r="R474" i="13"/>
  <c r="R473" i="13"/>
  <c r="R471" i="13"/>
  <c r="R472" i="13"/>
  <c r="R470" i="13"/>
  <c r="R469" i="13"/>
  <c r="R465" i="13"/>
  <c r="R464" i="13"/>
  <c r="R463" i="13"/>
  <c r="R462" i="13"/>
  <c r="R460" i="13"/>
  <c r="R459" i="13" s="1"/>
  <c r="R458" i="13"/>
  <c r="R457" i="13"/>
  <c r="R453" i="13"/>
  <c r="R452" i="13" s="1"/>
  <c r="R451" i="13"/>
  <c r="R450" i="13"/>
  <c r="R449" i="13"/>
  <c r="R448" i="13"/>
  <c r="R447" i="13"/>
  <c r="R446" i="13"/>
  <c r="R445" i="13"/>
  <c r="R443" i="13"/>
  <c r="R442" i="13"/>
  <c r="R441" i="13"/>
  <c r="R440" i="13"/>
  <c r="R444" i="13"/>
  <c r="R438" i="13"/>
  <c r="R437" i="13"/>
  <c r="R434" i="13"/>
  <c r="R432" i="13"/>
  <c r="R431" i="13" s="1"/>
  <c r="R430" i="13"/>
  <c r="R429" i="13" s="1"/>
  <c r="R428" i="13"/>
  <c r="R427" i="13"/>
  <c r="R426" i="13"/>
  <c r="R425" i="13"/>
  <c r="R424" i="13"/>
  <c r="R423" i="13"/>
  <c r="R422" i="13"/>
  <c r="R420" i="13"/>
  <c r="R419" i="13"/>
  <c r="R418" i="13"/>
  <c r="R417" i="13"/>
  <c r="R416" i="13"/>
  <c r="R415" i="13"/>
  <c r="R414" i="13"/>
  <c r="R413" i="13"/>
  <c r="R412" i="13"/>
  <c r="R411" i="13" s="1"/>
  <c r="R410" i="13"/>
  <c r="R409" i="13" s="1"/>
  <c r="R408" i="13"/>
  <c r="R407" i="13"/>
  <c r="R406" i="13"/>
  <c r="R405" i="13"/>
  <c r="R404" i="13"/>
  <c r="R402" i="13"/>
  <c r="R401" i="13"/>
  <c r="R400" i="13"/>
  <c r="R403" i="13"/>
  <c r="R399" i="13"/>
  <c r="R397" i="13"/>
  <c r="R396" i="13"/>
  <c r="R395" i="13"/>
  <c r="R393" i="13"/>
  <c r="R391" i="13"/>
  <c r="R390" i="13"/>
  <c r="R388" i="13"/>
  <c r="R383" i="13"/>
  <c r="R377" i="13" s="1"/>
  <c r="R356" i="13"/>
  <c r="R355" i="13" s="1"/>
  <c r="R343" i="13"/>
  <c r="R330" i="13"/>
  <c r="R327" i="13" s="1"/>
  <c r="R326" i="13"/>
  <c r="R325" i="13" s="1"/>
  <c r="R322" i="13"/>
  <c r="R321" i="13" s="1"/>
  <c r="R311" i="13"/>
  <c r="R308" i="13"/>
  <c r="R307" i="13"/>
  <c r="R296" i="13"/>
  <c r="R294" i="13"/>
  <c r="R290" i="13"/>
  <c r="R287" i="13"/>
  <c r="R286" i="13" s="1"/>
  <c r="D963" i="13"/>
  <c r="R291" i="13" l="1"/>
  <c r="R736" i="13"/>
  <c r="N755" i="13"/>
  <c r="N736" i="13"/>
  <c r="N727" i="13"/>
  <c r="N456" i="13"/>
  <c r="N368" i="13"/>
  <c r="N321" i="13"/>
  <c r="N364" i="13"/>
  <c r="N291" i="13"/>
  <c r="R727" i="13"/>
  <c r="R755" i="13"/>
  <c r="N766" i="13"/>
  <c r="N433" i="13"/>
  <c r="N411" i="13"/>
  <c r="R421" i="13"/>
  <c r="R749" i="13"/>
  <c r="R386" i="13"/>
  <c r="R433" i="13"/>
  <c r="R456" i="13"/>
  <c r="R766" i="13"/>
  <c r="N749" i="13"/>
  <c r="N377" i="13"/>
  <c r="V348" i="13"/>
  <c r="N347" i="13"/>
  <c r="N315" i="13"/>
  <c r="N286" i="13"/>
  <c r="N850" i="13"/>
  <c r="N885" i="13"/>
  <c r="R885" i="13"/>
  <c r="V1119" i="13"/>
  <c r="N1118" i="13"/>
  <c r="R1118" i="13"/>
  <c r="R914" i="13"/>
  <c r="R816" i="13"/>
  <c r="R869" i="13"/>
  <c r="R1097" i="13"/>
  <c r="R790" i="13"/>
  <c r="R823" i="13"/>
  <c r="R908" i="13"/>
  <c r="V430" i="13"/>
  <c r="V410" i="13"/>
  <c r="V385" i="13"/>
  <c r="V352" i="13"/>
  <c r="V332" i="13"/>
  <c r="V314" i="13"/>
  <c r="V292" i="13"/>
  <c r="V365" i="13"/>
  <c r="V1122" i="13"/>
  <c r="V1098" i="13"/>
  <c r="N1097" i="13"/>
  <c r="V1092" i="13"/>
  <c r="N1091" i="13"/>
  <c r="V891" i="13"/>
  <c r="N890" i="13"/>
  <c r="V886" i="13"/>
  <c r="V870" i="13"/>
  <c r="N869" i="13"/>
  <c r="V868" i="13"/>
  <c r="N867" i="13"/>
  <c r="V861" i="13"/>
  <c r="N860" i="13"/>
  <c r="V851" i="13"/>
  <c r="V836" i="13"/>
  <c r="N835" i="13"/>
  <c r="V784" i="13"/>
  <c r="V756" i="13"/>
  <c r="V728" i="13"/>
  <c r="V457" i="13"/>
  <c r="V432" i="13"/>
  <c r="V370" i="13"/>
  <c r="V356" i="13"/>
  <c r="V322" i="13"/>
  <c r="V287" i="13"/>
  <c r="V388" i="13"/>
  <c r="V460" i="13"/>
  <c r="V831" i="13"/>
  <c r="N830" i="13"/>
  <c r="R820" i="13"/>
  <c r="R826" i="13"/>
  <c r="R832" i="13"/>
  <c r="R897" i="13"/>
  <c r="R911" i="13"/>
  <c r="R1101" i="13"/>
  <c r="V1112" i="13"/>
  <c r="N1111" i="13"/>
  <c r="V859" i="13"/>
  <c r="N858" i="13"/>
  <c r="V824" i="13"/>
  <c r="N823" i="13"/>
  <c r="V1114" i="13"/>
  <c r="N1113" i="13"/>
  <c r="V1105" i="13"/>
  <c r="N1104" i="13"/>
  <c r="V1096" i="13"/>
  <c r="N1095" i="13"/>
  <c r="V912" i="13"/>
  <c r="N911" i="13"/>
  <c r="V896" i="13"/>
  <c r="N895" i="13"/>
  <c r="V855" i="13"/>
  <c r="N854" i="13"/>
  <c r="V818" i="13"/>
  <c r="N816" i="13"/>
  <c r="V750" i="13"/>
  <c r="V463" i="13"/>
  <c r="V378" i="13"/>
  <c r="V340" i="13"/>
  <c r="V317" i="13"/>
  <c r="R813" i="13"/>
  <c r="R842" i="13"/>
  <c r="R890" i="13"/>
  <c r="R1104" i="13"/>
  <c r="V1102" i="13"/>
  <c r="N1101" i="13"/>
  <c r="V909" i="13"/>
  <c r="N908" i="13"/>
  <c r="V814" i="13"/>
  <c r="N813" i="13"/>
  <c r="V765" i="13"/>
  <c r="V1108" i="13"/>
  <c r="N1107" i="13"/>
  <c r="V915" i="13"/>
  <c r="V863" i="13"/>
  <c r="N862" i="13"/>
  <c r="V857" i="13"/>
  <c r="N856" i="13"/>
  <c r="V841" i="13"/>
  <c r="N840" i="13"/>
  <c r="V827" i="13"/>
  <c r="N826" i="13"/>
  <c r="V791" i="13"/>
  <c r="N790" i="13"/>
  <c r="V767" i="13"/>
  <c r="V760" i="13"/>
  <c r="V754" i="13"/>
  <c r="V748" i="13"/>
  <c r="V734" i="13"/>
  <c r="V437" i="13"/>
  <c r="V412" i="13"/>
  <c r="V373" i="13"/>
  <c r="V361" i="13"/>
  <c r="V329" i="13"/>
  <c r="R835" i="13"/>
  <c r="V334" i="13"/>
  <c r="V737" i="13"/>
  <c r="C963" i="13"/>
  <c r="N423" i="13"/>
  <c r="V423" i="13" s="1"/>
  <c r="N422" i="13"/>
  <c r="N421" i="13" s="1"/>
  <c r="V282" i="13"/>
  <c r="V283" i="13"/>
  <c r="N264" i="13"/>
  <c r="D265" i="13"/>
  <c r="D264" i="13" s="1"/>
  <c r="V422" i="13" l="1"/>
  <c r="V280" i="13"/>
  <c r="N270" i="13"/>
  <c r="V27" i="13"/>
  <c r="N26" i="13"/>
  <c r="R270" i="13"/>
  <c r="V265" i="13"/>
  <c r="C265" i="13"/>
  <c r="C264" i="13" s="1"/>
  <c r="C20" i="13" l="1"/>
  <c r="C19" i="13"/>
  <c r="C298" i="13"/>
  <c r="C18" i="13"/>
  <c r="C15" i="13"/>
  <c r="C14" i="13"/>
  <c r="C17" i="13"/>
  <c r="U1135" i="13"/>
  <c r="T1135" i="13"/>
  <c r="S1135" i="13"/>
  <c r="R1135" i="13"/>
  <c r="Q1135" i="13"/>
  <c r="P1135" i="13"/>
  <c r="O1135" i="13"/>
  <c r="N1135" i="13"/>
  <c r="M1135" i="13"/>
  <c r="L1135" i="13"/>
  <c r="K1135" i="13"/>
  <c r="J1135" i="13"/>
  <c r="U793" i="13"/>
  <c r="U789" i="13" s="1"/>
  <c r="T793" i="13"/>
  <c r="T789" i="13" s="1"/>
  <c r="S793" i="13"/>
  <c r="Q793" i="13"/>
  <c r="P793" i="13"/>
  <c r="O793" i="13"/>
  <c r="O789" i="13" s="1"/>
  <c r="M793" i="13"/>
  <c r="L793" i="13"/>
  <c r="K793" i="13"/>
  <c r="J793" i="13"/>
  <c r="D1115" i="13"/>
  <c r="C1115" i="13" s="1"/>
  <c r="D1114" i="13"/>
  <c r="D1108" i="13"/>
  <c r="D1102" i="13"/>
  <c r="D1100" i="13"/>
  <c r="C1100" i="13" s="1"/>
  <c r="D1098" i="13"/>
  <c r="D1088" i="13"/>
  <c r="C1088" i="13" s="1"/>
  <c r="D1087" i="13"/>
  <c r="C1087" i="13" s="1"/>
  <c r="D1086" i="13"/>
  <c r="C1086" i="13" s="1"/>
  <c r="D1085" i="13"/>
  <c r="C1085" i="13" s="1"/>
  <c r="D1084" i="13"/>
  <c r="C1084" i="13" s="1"/>
  <c r="D1083" i="13"/>
  <c r="C1083" i="13" s="1"/>
  <c r="D1082" i="13"/>
  <c r="C1082" i="13" s="1"/>
  <c r="D1081" i="13"/>
  <c r="C1081" i="13" s="1"/>
  <c r="D1077" i="13"/>
  <c r="C1077" i="13" s="1"/>
  <c r="D1075" i="13"/>
  <c r="D1074" i="13"/>
  <c r="C1074" i="13" s="1"/>
  <c r="D1073" i="13"/>
  <c r="C1073" i="13" s="1"/>
  <c r="D1072" i="13"/>
  <c r="C1072" i="13" s="1"/>
  <c r="D1071" i="13"/>
  <c r="C1071" i="13" s="1"/>
  <c r="D1070" i="13"/>
  <c r="C1070" i="13" s="1"/>
  <c r="D1069" i="13"/>
  <c r="C1069" i="13" s="1"/>
  <c r="D1068" i="13"/>
  <c r="C1068" i="13" s="1"/>
  <c r="D1067" i="13"/>
  <c r="C1067" i="13" s="1"/>
  <c r="D1066" i="13"/>
  <c r="C1066" i="13" s="1"/>
  <c r="D1065" i="13"/>
  <c r="C1065" i="13" s="1"/>
  <c r="D1062" i="13"/>
  <c r="C1062" i="13" s="1"/>
  <c r="D1061" i="13"/>
  <c r="C1061" i="13" s="1"/>
  <c r="D1060" i="13"/>
  <c r="C1060" i="13" s="1"/>
  <c r="D1064" i="13"/>
  <c r="C1064" i="13" s="1"/>
  <c r="D1063" i="13"/>
  <c r="C1063" i="13" s="1"/>
  <c r="D1059" i="13"/>
  <c r="C1059" i="13" s="1"/>
  <c r="D1056" i="13"/>
  <c r="C1056" i="13" s="1"/>
  <c r="D1055" i="13"/>
  <c r="C1055" i="13" s="1"/>
  <c r="D1057" i="13"/>
  <c r="C1057" i="13" s="1"/>
  <c r="D1054" i="13"/>
  <c r="C1054" i="13" s="1"/>
  <c r="D1053" i="13"/>
  <c r="C1053" i="13" s="1"/>
  <c r="D1048" i="13"/>
  <c r="C1048" i="13" s="1"/>
  <c r="D1047" i="13"/>
  <c r="C1047" i="13" s="1"/>
  <c r="D1052" i="13"/>
  <c r="C1052" i="13" s="1"/>
  <c r="D1051" i="13"/>
  <c r="C1051" i="13" s="1"/>
  <c r="D1050" i="13"/>
  <c r="C1050" i="13" s="1"/>
  <c r="D1049" i="13"/>
  <c r="C1049" i="13" s="1"/>
  <c r="D1046" i="13"/>
  <c r="C1046" i="13" s="1"/>
  <c r="D1045" i="13"/>
  <c r="C1045" i="13" s="1"/>
  <c r="D1044" i="13"/>
  <c r="C1044" i="13" s="1"/>
  <c r="D1043" i="13"/>
  <c r="C1043" i="13" s="1"/>
  <c r="D1042" i="13"/>
  <c r="C1042" i="13" s="1"/>
  <c r="D1041" i="13"/>
  <c r="C1041" i="13" s="1"/>
  <c r="D1040" i="13"/>
  <c r="C1040" i="13" s="1"/>
  <c r="D1039" i="13"/>
  <c r="C1039" i="13" s="1"/>
  <c r="D1037" i="13"/>
  <c r="C1037" i="13" s="1"/>
  <c r="D1036" i="13"/>
  <c r="C1036" i="13" s="1"/>
  <c r="D1035" i="13"/>
  <c r="C1035" i="13" s="1"/>
  <c r="D1032" i="13"/>
  <c r="C1032" i="13" s="1"/>
  <c r="D1031" i="13"/>
  <c r="C1031" i="13" s="1"/>
  <c r="D1030" i="13"/>
  <c r="C1030" i="13" s="1"/>
  <c r="D1028" i="13"/>
  <c r="C1028" i="13" s="1"/>
  <c r="D1023" i="13"/>
  <c r="C1023" i="13" s="1"/>
  <c r="D1026" i="13"/>
  <c r="C1026" i="13" s="1"/>
  <c r="D1025" i="13"/>
  <c r="C1025" i="13" s="1"/>
  <c r="D1022" i="13"/>
  <c r="C1022" i="13" s="1"/>
  <c r="D1021" i="13"/>
  <c r="C1021" i="13" s="1"/>
  <c r="D1020" i="13"/>
  <c r="C1020" i="13" s="1"/>
  <c r="D1019" i="13"/>
  <c r="C1019" i="13" s="1"/>
  <c r="D1018" i="13"/>
  <c r="C1018" i="13" s="1"/>
  <c r="D1017" i="13"/>
  <c r="C1017" i="13" s="1"/>
  <c r="D1016" i="13"/>
  <c r="C1016" i="13" s="1"/>
  <c r="D1015" i="13"/>
  <c r="C1015" i="13" s="1"/>
  <c r="D1014" i="13"/>
  <c r="C1014" i="13" s="1"/>
  <c r="D1013" i="13"/>
  <c r="C1013" i="13" s="1"/>
  <c r="D1012" i="13"/>
  <c r="C1012" i="13" s="1"/>
  <c r="D1011" i="13"/>
  <c r="C1011" i="13" s="1"/>
  <c r="D1010" i="13"/>
  <c r="C1010" i="13" s="1"/>
  <c r="D1008" i="13"/>
  <c r="C1008" i="13" s="1"/>
  <c r="D1007" i="13"/>
  <c r="C1007" i="13" s="1"/>
  <c r="D1006" i="13"/>
  <c r="C1006" i="13" s="1"/>
  <c r="D1005" i="13"/>
  <c r="C1005" i="13" s="1"/>
  <c r="D1004" i="13"/>
  <c r="C1004" i="13" s="1"/>
  <c r="D1003" i="13"/>
  <c r="C1003" i="13" s="1"/>
  <c r="D1002" i="13"/>
  <c r="C1002" i="13" s="1"/>
  <c r="D1000" i="13"/>
  <c r="C1000" i="13" s="1"/>
  <c r="D999" i="13"/>
  <c r="C999" i="13" s="1"/>
  <c r="D998" i="13"/>
  <c r="C998" i="13" s="1"/>
  <c r="D997" i="13"/>
  <c r="C997" i="13" s="1"/>
  <c r="D996" i="13"/>
  <c r="C996" i="13" s="1"/>
  <c r="D993" i="13"/>
  <c r="C993" i="13" s="1"/>
  <c r="D989" i="13"/>
  <c r="C989" i="13" s="1"/>
  <c r="D988" i="13"/>
  <c r="C988" i="13" s="1"/>
  <c r="D987" i="13"/>
  <c r="C987" i="13" s="1"/>
  <c r="D986" i="13"/>
  <c r="C986" i="13" s="1"/>
  <c r="D992" i="13"/>
  <c r="C992" i="13" s="1"/>
  <c r="D991" i="13"/>
  <c r="C991" i="13" s="1"/>
  <c r="D985" i="13"/>
  <c r="C985" i="13" s="1"/>
  <c r="D983" i="13"/>
  <c r="C983" i="13" s="1"/>
  <c r="D990" i="13"/>
  <c r="C990" i="13" s="1"/>
  <c r="D984" i="13"/>
  <c r="C984" i="13" s="1"/>
  <c r="D982" i="13"/>
  <c r="C982" i="13" s="1"/>
  <c r="D981" i="13"/>
  <c r="C981" i="13" s="1"/>
  <c r="D980" i="13"/>
  <c r="D978" i="13"/>
  <c r="C978" i="13" s="1"/>
  <c r="D979" i="13"/>
  <c r="C979" i="13" s="1"/>
  <c r="D977" i="13"/>
  <c r="C977" i="13" s="1"/>
  <c r="D976" i="13"/>
  <c r="C976" i="13" s="1"/>
  <c r="D975" i="13"/>
  <c r="C975" i="13" s="1"/>
  <c r="D974" i="13"/>
  <c r="C974" i="13" s="1"/>
  <c r="D973" i="13"/>
  <c r="C973" i="13" s="1"/>
  <c r="D972" i="13"/>
  <c r="C972" i="13" s="1"/>
  <c r="D971" i="13"/>
  <c r="C971" i="13" s="1"/>
  <c r="D970" i="13"/>
  <c r="C970" i="13" s="1"/>
  <c r="D968" i="13"/>
  <c r="C968" i="13" s="1"/>
  <c r="D967" i="13"/>
  <c r="C967" i="13" s="1"/>
  <c r="D965" i="13"/>
  <c r="C965" i="13" s="1"/>
  <c r="D964" i="13"/>
  <c r="C964" i="13" s="1"/>
  <c r="D962" i="13"/>
  <c r="C962" i="13" s="1"/>
  <c r="D961" i="13"/>
  <c r="C961" i="13" s="1"/>
  <c r="D960" i="13"/>
  <c r="C960" i="13" s="1"/>
  <c r="D959" i="13"/>
  <c r="C959" i="13" s="1"/>
  <c r="D957" i="13"/>
  <c r="C957" i="13" s="1"/>
  <c r="D956" i="13"/>
  <c r="C956" i="13" s="1"/>
  <c r="D955" i="13"/>
  <c r="C955" i="13" s="1"/>
  <c r="D954" i="13"/>
  <c r="C954" i="13" s="1"/>
  <c r="D953" i="13"/>
  <c r="C953" i="13" s="1"/>
  <c r="D952" i="13"/>
  <c r="C952" i="13" s="1"/>
  <c r="D951" i="13"/>
  <c r="C951" i="13" s="1"/>
  <c r="D950" i="13"/>
  <c r="C950" i="13" s="1"/>
  <c r="D949" i="13"/>
  <c r="C949" i="13" s="1"/>
  <c r="D948" i="13"/>
  <c r="C948" i="13" s="1"/>
  <c r="D947" i="13"/>
  <c r="C947" i="13" s="1"/>
  <c r="D958" i="13"/>
  <c r="C958" i="13" s="1"/>
  <c r="D945" i="13"/>
  <c r="C945" i="13" s="1"/>
  <c r="D944" i="13"/>
  <c r="C944" i="13" s="1"/>
  <c r="D943" i="13"/>
  <c r="C943" i="13" s="1"/>
  <c r="D942" i="13"/>
  <c r="C942" i="13" s="1"/>
  <c r="D941" i="13"/>
  <c r="C941" i="13" s="1"/>
  <c r="D940" i="13"/>
  <c r="C940" i="13" s="1"/>
  <c r="D939" i="13"/>
  <c r="C939" i="13" s="1"/>
  <c r="D936" i="13"/>
  <c r="C936" i="13" s="1"/>
  <c r="D935" i="13"/>
  <c r="C935" i="13" s="1"/>
  <c r="D934" i="13"/>
  <c r="C934" i="13" s="1"/>
  <c r="D933" i="13"/>
  <c r="C933" i="13" s="1"/>
  <c r="D932" i="13"/>
  <c r="C932" i="13" s="1"/>
  <c r="D931" i="13"/>
  <c r="C931" i="13" s="1"/>
  <c r="D930" i="13"/>
  <c r="C930" i="13" s="1"/>
  <c r="D929" i="13"/>
  <c r="D928" i="13"/>
  <c r="C928" i="13" s="1"/>
  <c r="D927" i="13"/>
  <c r="C927" i="13" s="1"/>
  <c r="D926" i="13"/>
  <c r="C926" i="13" s="1"/>
  <c r="D925" i="13"/>
  <c r="C925" i="13" s="1"/>
  <c r="D924" i="13"/>
  <c r="C924" i="13" s="1"/>
  <c r="D923" i="13"/>
  <c r="C923" i="13" s="1"/>
  <c r="D921" i="13"/>
  <c r="C921" i="13" s="1"/>
  <c r="D920" i="13"/>
  <c r="C920" i="13" s="1"/>
  <c r="D919" i="13"/>
  <c r="C919" i="13" s="1"/>
  <c r="D918" i="13"/>
  <c r="C918" i="13" s="1"/>
  <c r="D917" i="13"/>
  <c r="C917" i="13" s="1"/>
  <c r="D916" i="13"/>
  <c r="D915" i="13"/>
  <c r="D902" i="13"/>
  <c r="C902" i="13" s="1"/>
  <c r="D899" i="13"/>
  <c r="D881" i="13"/>
  <c r="D879" i="13"/>
  <c r="D878" i="13"/>
  <c r="C878" i="13" s="1"/>
  <c r="D870" i="13"/>
  <c r="D868" i="13"/>
  <c r="D866" i="13"/>
  <c r="C866" i="13" s="1"/>
  <c r="D864" i="13"/>
  <c r="C864" i="13" s="1"/>
  <c r="D863" i="13"/>
  <c r="D859" i="13"/>
  <c r="D855" i="13"/>
  <c r="D852" i="13"/>
  <c r="C852" i="13" s="1"/>
  <c r="D851" i="13"/>
  <c r="D350" i="13"/>
  <c r="D349" i="13" s="1"/>
  <c r="D847" i="13"/>
  <c r="D846" i="13"/>
  <c r="D843" i="13"/>
  <c r="D841" i="13"/>
  <c r="D839" i="13"/>
  <c r="C839" i="13" s="1"/>
  <c r="D838" i="13"/>
  <c r="C838" i="13" s="1"/>
  <c r="D837" i="13"/>
  <c r="C837" i="13" s="1"/>
  <c r="D836" i="13"/>
  <c r="D834" i="13"/>
  <c r="C834" i="13" s="1"/>
  <c r="D833" i="13"/>
  <c r="D831" i="13"/>
  <c r="D825" i="13"/>
  <c r="C825" i="13" s="1"/>
  <c r="D824" i="13"/>
  <c r="D819" i="13"/>
  <c r="D818" i="13"/>
  <c r="C818" i="13" s="1"/>
  <c r="D817" i="13"/>
  <c r="D812" i="13"/>
  <c r="C812" i="13" s="1"/>
  <c r="D811" i="13"/>
  <c r="C811" i="13" s="1"/>
  <c r="D810" i="13"/>
  <c r="C810" i="13" s="1"/>
  <c r="D807" i="13"/>
  <c r="C807" i="13" s="1"/>
  <c r="D806" i="13"/>
  <c r="C806" i="13" s="1"/>
  <c r="D805" i="13"/>
  <c r="D804" i="13"/>
  <c r="C804" i="13" s="1"/>
  <c r="D802" i="13"/>
  <c r="C802" i="13" s="1"/>
  <c r="D801" i="13"/>
  <c r="C801" i="13" s="1"/>
  <c r="D800" i="13"/>
  <c r="C800" i="13" s="1"/>
  <c r="D799" i="13"/>
  <c r="C799" i="13" s="1"/>
  <c r="D798" i="13"/>
  <c r="D796" i="13"/>
  <c r="C796" i="13" s="1"/>
  <c r="D795" i="13"/>
  <c r="C795" i="13" s="1"/>
  <c r="D794" i="13"/>
  <c r="D792" i="13"/>
  <c r="C792" i="13" s="1"/>
  <c r="D791" i="13"/>
  <c r="D774" i="13"/>
  <c r="C774" i="13" s="1"/>
  <c r="D765" i="13"/>
  <c r="D760" i="13"/>
  <c r="D759" i="13" s="1"/>
  <c r="D758" i="13"/>
  <c r="D757" i="13"/>
  <c r="D746" i="13"/>
  <c r="C746" i="13" s="1"/>
  <c r="D742" i="13"/>
  <c r="D740" i="13"/>
  <c r="D739" i="13"/>
  <c r="D738" i="13"/>
  <c r="C738" i="13" s="1"/>
  <c r="D737" i="13"/>
  <c r="D726" i="13"/>
  <c r="C726" i="13" s="1"/>
  <c r="D725" i="13"/>
  <c r="C725" i="13" s="1"/>
  <c r="D724" i="13"/>
  <c r="C724" i="13" s="1"/>
  <c r="D722" i="13"/>
  <c r="C722" i="13" s="1"/>
  <c r="D721" i="13"/>
  <c r="C721" i="13" s="1"/>
  <c r="D720" i="13"/>
  <c r="C720" i="13" s="1"/>
  <c r="D706" i="13"/>
  <c r="C706" i="13" s="1"/>
  <c r="D705" i="13"/>
  <c r="C705" i="13" s="1"/>
  <c r="D719" i="13"/>
  <c r="C719" i="13" s="1"/>
  <c r="D718" i="13"/>
  <c r="C718" i="13" s="1"/>
  <c r="D717" i="13"/>
  <c r="C717" i="13" s="1"/>
  <c r="D716" i="13"/>
  <c r="C716" i="13" s="1"/>
  <c r="D715" i="13"/>
  <c r="C715" i="13" s="1"/>
  <c r="D714" i="13"/>
  <c r="C714" i="13" s="1"/>
  <c r="D713" i="13"/>
  <c r="C713" i="13" s="1"/>
  <c r="D712" i="13"/>
  <c r="D711" i="13"/>
  <c r="C711" i="13" s="1"/>
  <c r="D710" i="13"/>
  <c r="C710" i="13" s="1"/>
  <c r="D709" i="13"/>
  <c r="C709" i="13" s="1"/>
  <c r="D708" i="13"/>
  <c r="C708" i="13" s="1"/>
  <c r="D707" i="13"/>
  <c r="C707" i="13" s="1"/>
  <c r="D701" i="13"/>
  <c r="C701" i="13" s="1"/>
  <c r="D704" i="13"/>
  <c r="C704" i="13" s="1"/>
  <c r="D703" i="13"/>
  <c r="C703" i="13" s="1"/>
  <c r="D702" i="13"/>
  <c r="C702" i="13" s="1"/>
  <c r="D698" i="13"/>
  <c r="C698" i="13" s="1"/>
  <c r="D695" i="13"/>
  <c r="C695" i="13" s="1"/>
  <c r="D694" i="13"/>
  <c r="C694" i="13" s="1"/>
  <c r="D693" i="13"/>
  <c r="C693" i="13" s="1"/>
  <c r="D692" i="13"/>
  <c r="C692" i="13" s="1"/>
  <c r="D686" i="13"/>
  <c r="C686" i="13" s="1"/>
  <c r="D684" i="13"/>
  <c r="C684" i="13" s="1"/>
  <c r="D685" i="13"/>
  <c r="C685" i="13" s="1"/>
  <c r="D673" i="13"/>
  <c r="C673" i="13" s="1"/>
  <c r="D672" i="13"/>
  <c r="C672" i="13" s="1"/>
  <c r="D671" i="13"/>
  <c r="C671" i="13" s="1"/>
  <c r="D669" i="13"/>
  <c r="C669" i="13" s="1"/>
  <c r="D668" i="13"/>
  <c r="C668" i="13" s="1"/>
  <c r="D664" i="13"/>
  <c r="C664" i="13" s="1"/>
  <c r="D667" i="13"/>
  <c r="C667" i="13" s="1"/>
  <c r="D666" i="13"/>
  <c r="C666" i="13" s="1"/>
  <c r="D665" i="13"/>
  <c r="C665" i="13" s="1"/>
  <c r="D661" i="13"/>
  <c r="C661" i="13" s="1"/>
  <c r="D660" i="13"/>
  <c r="C660" i="13" s="1"/>
  <c r="D659" i="13"/>
  <c r="C659" i="13" s="1"/>
  <c r="D658" i="13"/>
  <c r="C658" i="13" s="1"/>
  <c r="D656" i="13"/>
  <c r="C656" i="13" s="1"/>
  <c r="D655" i="13"/>
  <c r="C655" i="13" s="1"/>
  <c r="D654" i="13"/>
  <c r="C654" i="13" s="1"/>
  <c r="D652" i="13"/>
  <c r="C652" i="13" s="1"/>
  <c r="D650" i="13"/>
  <c r="C650" i="13" s="1"/>
  <c r="D649" i="13"/>
  <c r="C649" i="13" s="1"/>
  <c r="D648" i="13"/>
  <c r="C648" i="13" s="1"/>
  <c r="D647" i="13"/>
  <c r="C647" i="13" s="1"/>
  <c r="D645" i="13"/>
  <c r="C645" i="13" s="1"/>
  <c r="D644" i="13"/>
  <c r="C644" i="13" s="1"/>
  <c r="D643" i="13"/>
  <c r="C643" i="13" s="1"/>
  <c r="D642" i="13"/>
  <c r="C642" i="13" s="1"/>
  <c r="D641" i="13"/>
  <c r="C641" i="13" s="1"/>
  <c r="D639" i="13"/>
  <c r="D640" i="13"/>
  <c r="C640" i="13" s="1"/>
  <c r="D638" i="13"/>
  <c r="C638" i="13" s="1"/>
  <c r="D637" i="13"/>
  <c r="C637" i="13" s="1"/>
  <c r="D632" i="13"/>
  <c r="C632" i="13" s="1"/>
  <c r="D634" i="13"/>
  <c r="C634" i="13" s="1"/>
  <c r="D633" i="13"/>
  <c r="C633" i="13" s="1"/>
  <c r="D631" i="13"/>
  <c r="C631" i="13" s="1"/>
  <c r="D630" i="13"/>
  <c r="C630" i="13" s="1"/>
  <c r="D625" i="13"/>
  <c r="C625" i="13" s="1"/>
  <c r="D624" i="13"/>
  <c r="C624" i="13" s="1"/>
  <c r="D623" i="13"/>
  <c r="C623" i="13" s="1"/>
  <c r="D618" i="13"/>
  <c r="C618" i="13" s="1"/>
  <c r="D617" i="13"/>
  <c r="C617" i="13" s="1"/>
  <c r="D616" i="13"/>
  <c r="C616" i="13" s="1"/>
  <c r="D615" i="13"/>
  <c r="C615" i="13" s="1"/>
  <c r="D614" i="13"/>
  <c r="C614" i="13" s="1"/>
  <c r="D613" i="13"/>
  <c r="C613" i="13" s="1"/>
  <c r="D612" i="13"/>
  <c r="C612" i="13" s="1"/>
  <c r="D610" i="13"/>
  <c r="C610" i="13" s="1"/>
  <c r="D602" i="13"/>
  <c r="C602" i="13" s="1"/>
  <c r="D601" i="13"/>
  <c r="C601" i="13" s="1"/>
  <c r="D599" i="13"/>
  <c r="C599" i="13" s="1"/>
  <c r="D598" i="13"/>
  <c r="C598" i="13" s="1"/>
  <c r="D597" i="13"/>
  <c r="C597" i="13" s="1"/>
  <c r="D596" i="13"/>
  <c r="C596" i="13" s="1"/>
  <c r="D595" i="13"/>
  <c r="C595" i="13" s="1"/>
  <c r="D593" i="13"/>
  <c r="C593" i="13" s="1"/>
  <c r="D592" i="13"/>
  <c r="C592" i="13" s="1"/>
  <c r="D591" i="13"/>
  <c r="C591" i="13" s="1"/>
  <c r="D590" i="13"/>
  <c r="C590" i="13" s="1"/>
  <c r="D589" i="13"/>
  <c r="C589" i="13" s="1"/>
  <c r="D588" i="13"/>
  <c r="C588" i="13" s="1"/>
  <c r="D587" i="13"/>
  <c r="C587" i="13" s="1"/>
  <c r="D586" i="13"/>
  <c r="C586" i="13" s="1"/>
  <c r="D583" i="13"/>
  <c r="C583" i="13" s="1"/>
  <c r="D582" i="13"/>
  <c r="C582" i="13" s="1"/>
  <c r="D581" i="13"/>
  <c r="C581" i="13" s="1"/>
  <c r="D580" i="13"/>
  <c r="C580" i="13" s="1"/>
  <c r="D585" i="13"/>
  <c r="C585" i="13" s="1"/>
  <c r="D584" i="13"/>
  <c r="C584" i="13" s="1"/>
  <c r="D574" i="13"/>
  <c r="C574" i="13" s="1"/>
  <c r="D572" i="13"/>
  <c r="C572" i="13" s="1"/>
  <c r="D571" i="13"/>
  <c r="C571" i="13" s="1"/>
  <c r="D568" i="13"/>
  <c r="C568" i="13" s="1"/>
  <c r="D567" i="13"/>
  <c r="C567" i="13" s="1"/>
  <c r="D564" i="13"/>
  <c r="C564" i="13" s="1"/>
  <c r="D563" i="13"/>
  <c r="C563" i="13" s="1"/>
  <c r="D558" i="13"/>
  <c r="C558" i="13" s="1"/>
  <c r="D557" i="13"/>
  <c r="C557" i="13" s="1"/>
  <c r="D556" i="13"/>
  <c r="C556" i="13" s="1"/>
  <c r="D562" i="13"/>
  <c r="C562" i="13" s="1"/>
  <c r="D561" i="13"/>
  <c r="C561" i="13" s="1"/>
  <c r="D560" i="13"/>
  <c r="C560" i="13" s="1"/>
  <c r="D559" i="13"/>
  <c r="C559" i="13" s="1"/>
  <c r="D555" i="13"/>
  <c r="C555" i="13" s="1"/>
  <c r="D554" i="13"/>
  <c r="C554" i="13" s="1"/>
  <c r="D553" i="13"/>
  <c r="C553" i="13" s="1"/>
  <c r="D537" i="13"/>
  <c r="C537" i="13" s="1"/>
  <c r="D551" i="13"/>
  <c r="C551" i="13" s="1"/>
  <c r="D550" i="13"/>
  <c r="C550" i="13" s="1"/>
  <c r="D549" i="13"/>
  <c r="C549" i="13" s="1"/>
  <c r="D548" i="13"/>
  <c r="C548" i="13" s="1"/>
  <c r="D547" i="13"/>
  <c r="C547" i="13" s="1"/>
  <c r="D546" i="13"/>
  <c r="C546" i="13" s="1"/>
  <c r="D545" i="13"/>
  <c r="C545" i="13" s="1"/>
  <c r="D544" i="13"/>
  <c r="C544" i="13" s="1"/>
  <c r="D543" i="13"/>
  <c r="C543" i="13" s="1"/>
  <c r="D542" i="13"/>
  <c r="C542" i="13" s="1"/>
  <c r="D541" i="13"/>
  <c r="C541" i="13" s="1"/>
  <c r="D540" i="13"/>
  <c r="C540" i="13" s="1"/>
  <c r="D539" i="13"/>
  <c r="C539" i="13" s="1"/>
  <c r="D538" i="13"/>
  <c r="C538" i="13" s="1"/>
  <c r="D536" i="13"/>
  <c r="C536" i="13" s="1"/>
  <c r="D535" i="13"/>
  <c r="C535" i="13" s="1"/>
  <c r="D518" i="13"/>
  <c r="C518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1" i="13"/>
  <c r="C511" i="13" s="1"/>
  <c r="D509" i="13"/>
  <c r="C509" i="13" s="1"/>
  <c r="D508" i="13"/>
  <c r="C508" i="13" s="1"/>
  <c r="D507" i="13"/>
  <c r="D506" i="13"/>
  <c r="C506" i="13" s="1"/>
  <c r="D505" i="13"/>
  <c r="D504" i="13"/>
  <c r="D503" i="13"/>
  <c r="D498" i="13"/>
  <c r="C498" i="13" s="1"/>
  <c r="D497" i="13"/>
  <c r="C497" i="13" s="1"/>
  <c r="D496" i="13"/>
  <c r="C496" i="13" s="1"/>
  <c r="D495" i="13"/>
  <c r="C495" i="13" s="1"/>
  <c r="D494" i="13"/>
  <c r="C494" i="13" s="1"/>
  <c r="D493" i="13"/>
  <c r="C493" i="13" s="1"/>
  <c r="D492" i="13"/>
  <c r="D491" i="13"/>
  <c r="C491" i="13" s="1"/>
  <c r="D490" i="13"/>
  <c r="C490" i="13" s="1"/>
  <c r="D489" i="13"/>
  <c r="C489" i="13" s="1"/>
  <c r="D483" i="13"/>
  <c r="C483" i="13" s="1"/>
  <c r="D481" i="13"/>
  <c r="C481" i="13" s="1"/>
  <c r="D480" i="13"/>
  <c r="C480" i="13" s="1"/>
  <c r="D479" i="13"/>
  <c r="C479" i="13" s="1"/>
  <c r="D478" i="13"/>
  <c r="C478" i="13" s="1"/>
  <c r="D477" i="13"/>
  <c r="C477" i="13" s="1"/>
  <c r="D476" i="13"/>
  <c r="C476" i="13" s="1"/>
  <c r="D474" i="13"/>
  <c r="D473" i="13"/>
  <c r="C473" i="13" s="1"/>
  <c r="D472" i="13"/>
  <c r="C472" i="13" s="1"/>
  <c r="D470" i="13"/>
  <c r="D469" i="13"/>
  <c r="C469" i="13" s="1"/>
  <c r="D465" i="13"/>
  <c r="C465" i="13" s="1"/>
  <c r="D464" i="13"/>
  <c r="C464" i="13" s="1"/>
  <c r="D463" i="13"/>
  <c r="C463" i="13" s="1"/>
  <c r="D458" i="13"/>
  <c r="C458" i="13" s="1"/>
  <c r="D457" i="13"/>
  <c r="D453" i="13"/>
  <c r="D452" i="13" s="1"/>
  <c r="D451" i="13"/>
  <c r="C451" i="13" s="1"/>
  <c r="D450" i="13"/>
  <c r="C450" i="13" s="1"/>
  <c r="D448" i="13"/>
  <c r="D434" i="13"/>
  <c r="D430" i="13"/>
  <c r="D429" i="13" s="1"/>
  <c r="D428" i="13"/>
  <c r="D427" i="13"/>
  <c r="D424" i="13"/>
  <c r="D418" i="13"/>
  <c r="D408" i="13"/>
  <c r="D407" i="13"/>
  <c r="D405" i="13"/>
  <c r="D390" i="13"/>
  <c r="D388" i="13"/>
  <c r="D385" i="13"/>
  <c r="D384" i="13" s="1"/>
  <c r="D383" i="13"/>
  <c r="C383" i="13" s="1"/>
  <c r="D382" i="13"/>
  <c r="C382" i="13" s="1"/>
  <c r="D381" i="13"/>
  <c r="C381" i="13" s="1"/>
  <c r="D380" i="13"/>
  <c r="C380" i="13" s="1"/>
  <c r="D379" i="13"/>
  <c r="C379" i="13" s="1"/>
  <c r="D378" i="13"/>
  <c r="D377" i="13" s="1"/>
  <c r="D374" i="13"/>
  <c r="C374" i="13" s="1"/>
  <c r="D373" i="13"/>
  <c r="D371" i="13"/>
  <c r="D370" i="13"/>
  <c r="D368" i="13" s="1"/>
  <c r="D367" i="13"/>
  <c r="C367" i="13" s="1"/>
  <c r="D366" i="13"/>
  <c r="C366" i="13" s="1"/>
  <c r="D365" i="13"/>
  <c r="D361" i="13"/>
  <c r="D360" i="13" s="1"/>
  <c r="D359" i="13"/>
  <c r="C359" i="13" s="1"/>
  <c r="D358" i="13"/>
  <c r="D354" i="13"/>
  <c r="C354" i="13" s="1"/>
  <c r="D352" i="13"/>
  <c r="D351" i="13" s="1"/>
  <c r="D348" i="13"/>
  <c r="D346" i="13"/>
  <c r="C346" i="13" s="1"/>
  <c r="D345" i="13"/>
  <c r="C345" i="13" s="1"/>
  <c r="D344" i="13"/>
  <c r="C344" i="13" s="1"/>
  <c r="D341" i="13"/>
  <c r="C341" i="13" s="1"/>
  <c r="D340" i="13"/>
  <c r="D337" i="13"/>
  <c r="C337" i="13" s="1"/>
  <c r="D336" i="13"/>
  <c r="C336" i="13" s="1"/>
  <c r="D334" i="13"/>
  <c r="D330" i="13"/>
  <c r="C330" i="13" s="1"/>
  <c r="D329" i="13"/>
  <c r="D324" i="13"/>
  <c r="C324" i="13" s="1"/>
  <c r="D323" i="13"/>
  <c r="C323" i="13" s="1"/>
  <c r="D318" i="13"/>
  <c r="C318" i="13" s="1"/>
  <c r="D317" i="13"/>
  <c r="C317" i="13" s="1"/>
  <c r="D316" i="13"/>
  <c r="D315" i="13" s="1"/>
  <c r="D314" i="13"/>
  <c r="D313" i="13" s="1"/>
  <c r="D311" i="13"/>
  <c r="C311" i="13" s="1"/>
  <c r="D310" i="13"/>
  <c r="D309" i="13"/>
  <c r="C309" i="13" s="1"/>
  <c r="D308" i="13"/>
  <c r="C308" i="13" s="1"/>
  <c r="D307" i="13"/>
  <c r="C307" i="13" s="1"/>
  <c r="D305" i="13"/>
  <c r="C305" i="13" s="1"/>
  <c r="D306" i="13"/>
  <c r="C306" i="13" s="1"/>
  <c r="D304" i="13"/>
  <c r="C304" i="13" s="1"/>
  <c r="D302" i="13"/>
  <c r="C302" i="13" s="1"/>
  <c r="D301" i="13"/>
  <c r="C301" i="13" s="1"/>
  <c r="D300" i="13"/>
  <c r="C300" i="13" s="1"/>
  <c r="D297" i="13"/>
  <c r="C297" i="13" s="1"/>
  <c r="D295" i="13"/>
  <c r="C295" i="13" s="1"/>
  <c r="D293" i="13"/>
  <c r="D292" i="13"/>
  <c r="D283" i="13"/>
  <c r="C283" i="13" s="1"/>
  <c r="D781" i="13"/>
  <c r="C781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99" i="13"/>
  <c r="C699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683" i="13"/>
  <c r="C683" i="13" s="1"/>
  <c r="D677" i="13"/>
  <c r="C677" i="13" s="1"/>
  <c r="D676" i="13"/>
  <c r="C676" i="13" s="1"/>
  <c r="D674" i="13"/>
  <c r="C674" i="13" s="1"/>
  <c r="D217" i="13"/>
  <c r="C217" i="13" s="1"/>
  <c r="D216" i="13"/>
  <c r="C216" i="13" s="1"/>
  <c r="D215" i="13"/>
  <c r="C215" i="13" s="1"/>
  <c r="D663" i="13"/>
  <c r="C663" i="13" s="1"/>
  <c r="D214" i="13"/>
  <c r="D213" i="13"/>
  <c r="D657" i="13"/>
  <c r="C657" i="13" s="1"/>
  <c r="D210" i="13"/>
  <c r="C210" i="13" s="1"/>
  <c r="D209" i="13"/>
  <c r="C209" i="13" s="1"/>
  <c r="D636" i="13"/>
  <c r="C636" i="13" s="1"/>
  <c r="D204" i="13"/>
  <c r="C204" i="13" s="1"/>
  <c r="D629" i="13"/>
  <c r="C629" i="13" s="1"/>
  <c r="D627" i="13"/>
  <c r="C627" i="13" s="1"/>
  <c r="D203" i="13"/>
  <c r="D202" i="13"/>
  <c r="C202" i="13" s="1"/>
  <c r="D201" i="13"/>
  <c r="C201" i="13" s="1"/>
  <c r="D621" i="13"/>
  <c r="C621" i="13" s="1"/>
  <c r="D200" i="13"/>
  <c r="C200" i="13" s="1"/>
  <c r="D620" i="13"/>
  <c r="C620" i="13" s="1"/>
  <c r="D619" i="13"/>
  <c r="C619" i="13" s="1"/>
  <c r="D199" i="13"/>
  <c r="D1009" i="13"/>
  <c r="D609" i="13"/>
  <c r="C609" i="13" s="1"/>
  <c r="D608" i="13"/>
  <c r="C608" i="13" s="1"/>
  <c r="D606" i="13"/>
  <c r="C606" i="13" s="1"/>
  <c r="D196" i="13"/>
  <c r="D195" i="13"/>
  <c r="C195" i="13" s="1"/>
  <c r="D193" i="13"/>
  <c r="C193" i="13" s="1"/>
  <c r="D577" i="13"/>
  <c r="C577" i="13" s="1"/>
  <c r="D575" i="13"/>
  <c r="C575" i="13" s="1"/>
  <c r="D186" i="13"/>
  <c r="C186" i="13" s="1"/>
  <c r="D185" i="13"/>
  <c r="C185" i="13" s="1"/>
  <c r="D570" i="13"/>
  <c r="C570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527" i="13"/>
  <c r="C527" i="13" s="1"/>
  <c r="D525" i="13"/>
  <c r="C525" i="13" s="1"/>
  <c r="D519" i="13"/>
  <c r="C519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484" i="13"/>
  <c r="C484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468" i="13"/>
  <c r="C468" i="13" s="1"/>
  <c r="D467" i="13"/>
  <c r="C467" i="13" s="1"/>
  <c r="D466" i="13"/>
  <c r="C466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89" i="13"/>
  <c r="C389" i="13" s="1"/>
  <c r="D71" i="13"/>
  <c r="D73" i="13"/>
  <c r="D69" i="13"/>
  <c r="D70" i="13"/>
  <c r="D387" i="13"/>
  <c r="D67" i="13"/>
  <c r="D66" i="13" s="1"/>
  <c r="D65" i="13"/>
  <c r="D64" i="13" s="1"/>
  <c r="D63" i="13"/>
  <c r="C63" i="13" s="1"/>
  <c r="D62" i="13"/>
  <c r="D376" i="13"/>
  <c r="D375" i="13" s="1"/>
  <c r="D58" i="13"/>
  <c r="C58" i="13" s="1"/>
  <c r="C57" i="13" s="1"/>
  <c r="D56" i="13"/>
  <c r="D54" i="13"/>
  <c r="D53" i="13" s="1"/>
  <c r="D52" i="13"/>
  <c r="D51" i="13"/>
  <c r="D50" i="13"/>
  <c r="D48" i="13"/>
  <c r="D353" i="13"/>
  <c r="C353" i="13" s="1"/>
  <c r="D46" i="13"/>
  <c r="D45" i="13" s="1"/>
  <c r="D44" i="13"/>
  <c r="D43" i="13" s="1"/>
  <c r="D42" i="13"/>
  <c r="D41" i="13"/>
  <c r="D40" i="13"/>
  <c r="D39" i="13"/>
  <c r="D338" i="13"/>
  <c r="C338" i="13" s="1"/>
  <c r="D37" i="13"/>
  <c r="C37" i="13" s="1"/>
  <c r="D36" i="13"/>
  <c r="C36" i="13" s="1"/>
  <c r="D328" i="13"/>
  <c r="D327" i="13" s="1"/>
  <c r="D34" i="13"/>
  <c r="D33" i="13" s="1"/>
  <c r="D32" i="13"/>
  <c r="C32" i="13" s="1"/>
  <c r="D31" i="13"/>
  <c r="D320" i="13"/>
  <c r="D319" i="13" s="1"/>
  <c r="D27" i="13"/>
  <c r="D26" i="13" s="1"/>
  <c r="D25" i="13"/>
  <c r="D24" i="13" s="1"/>
  <c r="D364" i="13" l="1"/>
  <c r="D357" i="13"/>
  <c r="D372" i="13"/>
  <c r="D456" i="13"/>
  <c r="C348" i="13"/>
  <c r="C347" i="13" s="1"/>
  <c r="D347" i="13"/>
  <c r="Q789" i="13"/>
  <c r="Q8" i="13" s="1"/>
  <c r="U8" i="13"/>
  <c r="M789" i="13"/>
  <c r="M8" i="13" s="1"/>
  <c r="T8" i="13"/>
  <c r="O8" i="13"/>
  <c r="K789" i="13"/>
  <c r="K8" i="13" s="1"/>
  <c r="C35" i="13"/>
  <c r="D850" i="13"/>
  <c r="D1113" i="13"/>
  <c r="C292" i="13"/>
  <c r="C316" i="13"/>
  <c r="C315" i="13" s="1"/>
  <c r="C352" i="13"/>
  <c r="C351" i="13" s="1"/>
  <c r="C370" i="13"/>
  <c r="C1108" i="13"/>
  <c r="C1107" i="13" s="1"/>
  <c r="D1107" i="13"/>
  <c r="C314" i="13"/>
  <c r="C313" i="13" s="1"/>
  <c r="C765" i="13"/>
  <c r="C831" i="13"/>
  <c r="C830" i="13" s="1"/>
  <c r="D830" i="13"/>
  <c r="C851" i="13"/>
  <c r="C850" i="13" s="1"/>
  <c r="C863" i="13"/>
  <c r="C1102" i="13"/>
  <c r="D842" i="13"/>
  <c r="C361" i="13"/>
  <c r="C360" i="13" s="1"/>
  <c r="C378" i="13"/>
  <c r="C377" i="13" s="1"/>
  <c r="C340" i="13"/>
  <c r="C373" i="13"/>
  <c r="C372" i="13" s="1"/>
  <c r="C385" i="13"/>
  <c r="C384" i="13" s="1"/>
  <c r="C457" i="13"/>
  <c r="C456" i="13" s="1"/>
  <c r="C760" i="13"/>
  <c r="C759" i="13" s="1"/>
  <c r="C817" i="13"/>
  <c r="D816" i="13"/>
  <c r="C836" i="13"/>
  <c r="C835" i="13" s="1"/>
  <c r="D835" i="13"/>
  <c r="C841" i="13"/>
  <c r="C840" i="13" s="1"/>
  <c r="D840" i="13"/>
  <c r="C859" i="13"/>
  <c r="C858" i="13" s="1"/>
  <c r="D858" i="13"/>
  <c r="C868" i="13"/>
  <c r="C867" i="13" s="1"/>
  <c r="D867" i="13"/>
  <c r="C833" i="13"/>
  <c r="C832" i="13" s="1"/>
  <c r="D832" i="13"/>
  <c r="C329" i="13"/>
  <c r="C434" i="13"/>
  <c r="C453" i="13"/>
  <c r="C452" i="13" s="1"/>
  <c r="C791" i="13"/>
  <c r="C790" i="13" s="1"/>
  <c r="D790" i="13"/>
  <c r="C824" i="13"/>
  <c r="C823" i="13" s="1"/>
  <c r="D823" i="13"/>
  <c r="C855" i="13"/>
  <c r="C854" i="13" s="1"/>
  <c r="D854" i="13"/>
  <c r="C915" i="13"/>
  <c r="C1098" i="13"/>
  <c r="C50" i="13"/>
  <c r="D49" i="13"/>
  <c r="C62" i="13"/>
  <c r="C61" i="13" s="1"/>
  <c r="D61" i="13"/>
  <c r="C387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376" i="13"/>
  <c r="C375" i="13" s="1"/>
  <c r="C256" i="13"/>
  <c r="C255" i="13" s="1"/>
  <c r="D255" i="13"/>
  <c r="C334" i="13"/>
  <c r="C350" i="13"/>
  <c r="C349" i="13" s="1"/>
  <c r="C737" i="13"/>
  <c r="C44" i="13"/>
  <c r="C43" i="13" s="1"/>
  <c r="C320" i="13"/>
  <c r="C319" i="13" s="1"/>
  <c r="E1137" i="13" l="1"/>
  <c r="E1136" i="13"/>
  <c r="E1130" i="13"/>
  <c r="E1129" i="13"/>
  <c r="E1128" i="13"/>
  <c r="E1127" i="13"/>
  <c r="E1126" i="13"/>
  <c r="E1121" i="13"/>
  <c r="E1120" i="13"/>
  <c r="E1119" i="13"/>
  <c r="E1125" i="13"/>
  <c r="E1124" i="13"/>
  <c r="E1123" i="13"/>
  <c r="E1122" i="13"/>
  <c r="I1111" i="13"/>
  <c r="G1111" i="13"/>
  <c r="F1111" i="13"/>
  <c r="E1112" i="13"/>
  <c r="E1111" i="13" s="1"/>
  <c r="H1111" i="13"/>
  <c r="I1109" i="13"/>
  <c r="G1109" i="13"/>
  <c r="F1109" i="13"/>
  <c r="E1110" i="13"/>
  <c r="E1109" i="13" s="1"/>
  <c r="H1109" i="13"/>
  <c r="E743" i="13"/>
  <c r="I1101" i="13"/>
  <c r="H1101" i="13"/>
  <c r="G1101" i="13"/>
  <c r="F1101" i="13"/>
  <c r="E1103" i="13"/>
  <c r="E1101" i="13" s="1"/>
  <c r="I1097" i="13"/>
  <c r="H1097" i="13"/>
  <c r="G1097" i="13"/>
  <c r="F1097" i="13"/>
  <c r="E1099" i="13"/>
  <c r="E1097" i="13" s="1"/>
  <c r="I1095" i="13"/>
  <c r="H1095" i="13"/>
  <c r="G1095" i="13"/>
  <c r="F1095" i="13"/>
  <c r="E1096" i="13"/>
  <c r="E1095" i="13" s="1"/>
  <c r="E1080" i="13"/>
  <c r="E1079" i="13"/>
  <c r="E1078" i="13"/>
  <c r="E1058" i="13"/>
  <c r="E1038" i="13"/>
  <c r="E1027" i="13"/>
  <c r="E1024" i="13"/>
  <c r="E1001" i="13"/>
  <c r="E995" i="13"/>
  <c r="E994" i="13"/>
  <c r="E969" i="13"/>
  <c r="E966" i="13"/>
  <c r="E946" i="13"/>
  <c r="E938" i="13"/>
  <c r="E922" i="13"/>
  <c r="E913" i="13"/>
  <c r="E912" i="13"/>
  <c r="E889" i="13"/>
  <c r="E888" i="13"/>
  <c r="E886" i="13"/>
  <c r="E884" i="13"/>
  <c r="E883" i="13"/>
  <c r="E882" i="13"/>
  <c r="E880" i="13"/>
  <c r="E877" i="13"/>
  <c r="E876" i="13"/>
  <c r="E875" i="13"/>
  <c r="E872" i="13"/>
  <c r="E871" i="13"/>
  <c r="I862" i="13"/>
  <c r="G862" i="13"/>
  <c r="F862" i="13"/>
  <c r="E865" i="13"/>
  <c r="E862" i="13" s="1"/>
  <c r="H862" i="13"/>
  <c r="I860" i="13"/>
  <c r="H860" i="13"/>
  <c r="G860" i="13"/>
  <c r="F860" i="13"/>
  <c r="E861" i="13"/>
  <c r="E860" i="13" s="1"/>
  <c r="I856" i="13"/>
  <c r="H856" i="13"/>
  <c r="G856" i="13"/>
  <c r="F856" i="13"/>
  <c r="E857" i="13"/>
  <c r="E856" i="13" s="1"/>
  <c r="E829" i="13"/>
  <c r="F826" i="13"/>
  <c r="E828" i="13"/>
  <c r="E815" i="13"/>
  <c r="H815" i="13"/>
  <c r="G815" i="13"/>
  <c r="I813" i="13"/>
  <c r="G814" i="13"/>
  <c r="E814" i="13"/>
  <c r="E809" i="13"/>
  <c r="H809" i="13"/>
  <c r="E808" i="13"/>
  <c r="E803" i="13"/>
  <c r="E797" i="13"/>
  <c r="G784" i="13"/>
  <c r="G783" i="13" s="1"/>
  <c r="E784" i="13"/>
  <c r="E783" i="13" s="1"/>
  <c r="E780" i="13"/>
  <c r="E779" i="13"/>
  <c r="E778" i="13"/>
  <c r="E777" i="13"/>
  <c r="E776" i="13"/>
  <c r="E767" i="13"/>
  <c r="G756" i="13"/>
  <c r="G755" i="13" s="1"/>
  <c r="G754" i="13"/>
  <c r="G753" i="13" s="1"/>
  <c r="E754" i="13"/>
  <c r="E753" i="13" s="1"/>
  <c r="E745" i="13"/>
  <c r="E744" i="13"/>
  <c r="E741" i="13"/>
  <c r="E736" i="13" s="1"/>
  <c r="E730" i="13"/>
  <c r="E727" i="13" s="1"/>
  <c r="E697" i="13"/>
  <c r="E681" i="13"/>
  <c r="E670" i="13"/>
  <c r="E646" i="13"/>
  <c r="E1034" i="13"/>
  <c r="E1033" i="13"/>
  <c r="E628" i="13"/>
  <c r="J573" i="13"/>
  <c r="J566" i="13"/>
  <c r="J552" i="13"/>
  <c r="J526" i="13"/>
  <c r="G510" i="13"/>
  <c r="E510" i="13"/>
  <c r="J510" i="13"/>
  <c r="J937" i="13"/>
  <c r="J914" i="13" s="1"/>
  <c r="J501" i="13"/>
  <c r="J500" i="13"/>
  <c r="G488" i="13"/>
  <c r="E488" i="13"/>
  <c r="J488" i="13"/>
  <c r="J487" i="13"/>
  <c r="G482" i="13"/>
  <c r="E482" i="13"/>
  <c r="J482" i="13"/>
  <c r="J475" i="13"/>
  <c r="G471" i="13"/>
  <c r="E471" i="13"/>
  <c r="J471" i="13"/>
  <c r="F426" i="13"/>
  <c r="F421" i="13" s="1"/>
  <c r="E426" i="13"/>
  <c r="E421" i="13" s="1"/>
  <c r="G356" i="13"/>
  <c r="G355" i="13" s="1"/>
  <c r="F356" i="13"/>
  <c r="F355" i="13" s="1"/>
  <c r="J312" i="13"/>
  <c r="J296" i="13"/>
  <c r="E294" i="13"/>
  <c r="E291" i="13" s="1"/>
  <c r="J294" i="13"/>
  <c r="J291" i="13" s="1"/>
  <c r="E885" i="13" l="1"/>
  <c r="E1118" i="13"/>
  <c r="E911" i="13"/>
  <c r="E914" i="13"/>
  <c r="I911" i="13"/>
  <c r="E813" i="13"/>
  <c r="G911" i="13"/>
  <c r="F813" i="13"/>
  <c r="H813" i="13"/>
  <c r="H826" i="13"/>
  <c r="F911" i="13"/>
  <c r="G813" i="13"/>
  <c r="H869" i="13"/>
  <c r="H911" i="13"/>
  <c r="I1135" i="13"/>
  <c r="H1135" i="13"/>
  <c r="D1033" i="13"/>
  <c r="C1033" i="13" s="1"/>
  <c r="D730" i="13"/>
  <c r="D777" i="13"/>
  <c r="C777" i="13" s="1"/>
  <c r="H793" i="13"/>
  <c r="D809" i="13"/>
  <c r="C809" i="13" s="1"/>
  <c r="D1001" i="13"/>
  <c r="C1001" i="13" s="1"/>
  <c r="D743" i="13"/>
  <c r="C743" i="13" s="1"/>
  <c r="D1123" i="13"/>
  <c r="C1123" i="13" s="1"/>
  <c r="D1119" i="13"/>
  <c r="D426" i="13"/>
  <c r="D681" i="13"/>
  <c r="C681" i="13" s="1"/>
  <c r="D691" i="13"/>
  <c r="C691" i="13" s="1"/>
  <c r="D771" i="13"/>
  <c r="C771" i="13" s="1"/>
  <c r="D778" i="13"/>
  <c r="C778" i="13" s="1"/>
  <c r="I793" i="13"/>
  <c r="D877" i="13"/>
  <c r="D884" i="13"/>
  <c r="C884" i="13" s="1"/>
  <c r="D966" i="13"/>
  <c r="C966" i="13" s="1"/>
  <c r="D1058" i="13"/>
  <c r="C1058" i="13" s="1"/>
  <c r="D1137" i="13"/>
  <c r="C1137" i="13" s="1"/>
  <c r="G1135" i="13"/>
  <c r="D1096" i="13"/>
  <c r="D741" i="13"/>
  <c r="D754" i="13"/>
  <c r="D753" i="13" s="1"/>
  <c r="D865" i="13"/>
  <c r="D1103" i="13"/>
  <c r="D1112" i="13"/>
  <c r="D1122" i="13"/>
  <c r="D510" i="13"/>
  <c r="C510" i="13" s="1"/>
  <c r="D628" i="13"/>
  <c r="D670" i="13"/>
  <c r="C670" i="13" s="1"/>
  <c r="D690" i="13"/>
  <c r="C690" i="13" s="1"/>
  <c r="D729" i="13"/>
  <c r="C729" i="13" s="1"/>
  <c r="D770" i="13"/>
  <c r="C770" i="13" s="1"/>
  <c r="D776" i="13"/>
  <c r="C776" i="13" s="1"/>
  <c r="G793" i="13"/>
  <c r="D808" i="13"/>
  <c r="C808" i="13" s="1"/>
  <c r="D829" i="13"/>
  <c r="C829" i="13" s="1"/>
  <c r="D876" i="13"/>
  <c r="D883" i="13"/>
  <c r="D889" i="13"/>
  <c r="C889" i="13" s="1"/>
  <c r="D946" i="13"/>
  <c r="C946" i="13" s="1"/>
  <c r="D995" i="13"/>
  <c r="C995" i="13" s="1"/>
  <c r="D1038" i="13"/>
  <c r="C1038" i="13" s="1"/>
  <c r="D1080" i="13"/>
  <c r="C1080" i="13" s="1"/>
  <c r="D1125" i="13"/>
  <c r="C1125" i="13" s="1"/>
  <c r="D1127" i="13"/>
  <c r="C1127" i="13" s="1"/>
  <c r="D1130" i="13"/>
  <c r="C1130" i="13" s="1"/>
  <c r="D857" i="13"/>
  <c r="D871" i="13"/>
  <c r="D912" i="13"/>
  <c r="D356" i="13"/>
  <c r="D355" i="13" s="1"/>
  <c r="D728" i="13"/>
  <c r="D727" i="13" s="1"/>
  <c r="D756" i="13"/>
  <c r="D755" i="13" s="1"/>
  <c r="D814" i="13"/>
  <c r="D922" i="13"/>
  <c r="D1099" i="13"/>
  <c r="D1110" i="13"/>
  <c r="D913" i="13"/>
  <c r="C913" i="13" s="1"/>
  <c r="D482" i="13"/>
  <c r="C482" i="13" s="1"/>
  <c r="D471" i="13"/>
  <c r="C471" i="13" s="1"/>
  <c r="D488" i="13"/>
  <c r="C488" i="13" s="1"/>
  <c r="D646" i="13"/>
  <c r="C646" i="13" s="1"/>
  <c r="D689" i="13"/>
  <c r="C689" i="13" s="1"/>
  <c r="D735" i="13"/>
  <c r="C735" i="13" s="1"/>
  <c r="D745" i="13"/>
  <c r="C745" i="13" s="1"/>
  <c r="D769" i="13"/>
  <c r="C769" i="13" s="1"/>
  <c r="D773" i="13"/>
  <c r="C773" i="13" s="1"/>
  <c r="D780" i="13"/>
  <c r="C780" i="13" s="1"/>
  <c r="F793" i="13"/>
  <c r="D803" i="13"/>
  <c r="C803" i="13" s="1"/>
  <c r="D828" i="13"/>
  <c r="C828" i="13" s="1"/>
  <c r="D882" i="13"/>
  <c r="D888" i="13"/>
  <c r="C888" i="13" s="1"/>
  <c r="D938" i="13"/>
  <c r="D994" i="13"/>
  <c r="C994" i="13" s="1"/>
  <c r="D1027" i="13"/>
  <c r="C1027" i="13" s="1"/>
  <c r="D1079" i="13"/>
  <c r="C1079" i="13" s="1"/>
  <c r="D1124" i="13"/>
  <c r="C1124" i="13" s="1"/>
  <c r="D1121" i="13"/>
  <c r="C1121" i="13" s="1"/>
  <c r="D1126" i="13"/>
  <c r="C1126" i="13" s="1"/>
  <c r="D1129" i="13"/>
  <c r="C1129" i="13" s="1"/>
  <c r="D784" i="13"/>
  <c r="D783" i="13" s="1"/>
  <c r="E1135" i="13"/>
  <c r="D1136" i="13"/>
  <c r="C1136" i="13" s="1"/>
  <c r="D734" i="13"/>
  <c r="D767" i="13"/>
  <c r="D797" i="13"/>
  <c r="C797" i="13" s="1"/>
  <c r="E793" i="13"/>
  <c r="D861" i="13"/>
  <c r="D886" i="13"/>
  <c r="D1034" i="13"/>
  <c r="C1034" i="13" s="1"/>
  <c r="D688" i="13"/>
  <c r="C688" i="13" s="1"/>
  <c r="D697" i="13"/>
  <c r="C697" i="13" s="1"/>
  <c r="D744" i="13"/>
  <c r="C744" i="13" s="1"/>
  <c r="D772" i="13"/>
  <c r="C772" i="13" s="1"/>
  <c r="D779" i="13"/>
  <c r="C779" i="13" s="1"/>
  <c r="D815" i="13"/>
  <c r="D872" i="13"/>
  <c r="D875" i="13"/>
  <c r="D880" i="13"/>
  <c r="D969" i="13"/>
  <c r="C969" i="13" s="1"/>
  <c r="D1024" i="13"/>
  <c r="C1024" i="13" s="1"/>
  <c r="D1078" i="13"/>
  <c r="C1078" i="13" s="1"/>
  <c r="D1120" i="13"/>
  <c r="C1120" i="13" s="1"/>
  <c r="D1128" i="13"/>
  <c r="C1128" i="13" s="1"/>
  <c r="F1135" i="13"/>
  <c r="D475" i="13"/>
  <c r="C475" i="13" s="1"/>
  <c r="D566" i="13"/>
  <c r="C566" i="13" s="1"/>
  <c r="D294" i="13"/>
  <c r="D296" i="13"/>
  <c r="C296" i="13" s="1"/>
  <c r="D487" i="13"/>
  <c r="C487" i="13" s="1"/>
  <c r="D500" i="13"/>
  <c r="C500" i="13" s="1"/>
  <c r="D937" i="13"/>
  <c r="C937" i="13" s="1"/>
  <c r="D526" i="13"/>
  <c r="C526" i="13" s="1"/>
  <c r="D312" i="13"/>
  <c r="C312" i="13" s="1"/>
  <c r="D501" i="13"/>
  <c r="C501" i="13" s="1"/>
  <c r="D552" i="13"/>
  <c r="D573" i="13"/>
  <c r="C573" i="13" s="1"/>
  <c r="E1106" i="13"/>
  <c r="D1106" i="13" s="1"/>
  <c r="C1106" i="13" s="1"/>
  <c r="E1105" i="13"/>
  <c r="J1092" i="13"/>
  <c r="J1091" i="13" s="1"/>
  <c r="I1091" i="13"/>
  <c r="H1091" i="13"/>
  <c r="G1092" i="13"/>
  <c r="G1091" i="13" s="1"/>
  <c r="F1091" i="13"/>
  <c r="E1092" i="13"/>
  <c r="E1091" i="13" s="1"/>
  <c r="J1090" i="13"/>
  <c r="J1089" i="13" s="1"/>
  <c r="I1089" i="13"/>
  <c r="H1089" i="13"/>
  <c r="G1090" i="13"/>
  <c r="G1089" i="13" s="1"/>
  <c r="F1089" i="13"/>
  <c r="E1090" i="13"/>
  <c r="E1089" i="13" s="1"/>
  <c r="J910" i="13"/>
  <c r="G910" i="13"/>
  <c r="E910" i="13"/>
  <c r="J909" i="13"/>
  <c r="G909" i="13"/>
  <c r="E909" i="13"/>
  <c r="J907" i="13"/>
  <c r="G907" i="13"/>
  <c r="E907" i="13"/>
  <c r="J906" i="13"/>
  <c r="G906" i="13"/>
  <c r="E906" i="13"/>
  <c r="J905" i="13"/>
  <c r="G905" i="13"/>
  <c r="E905" i="13"/>
  <c r="J904" i="13"/>
  <c r="G904" i="13"/>
  <c r="E904" i="13"/>
  <c r="J903" i="13"/>
  <c r="G903" i="13"/>
  <c r="E903" i="13"/>
  <c r="J901" i="13"/>
  <c r="G901" i="13"/>
  <c r="E901" i="13"/>
  <c r="J900" i="13"/>
  <c r="G900" i="13"/>
  <c r="E900" i="13"/>
  <c r="J896" i="13"/>
  <c r="J895" i="13" s="1"/>
  <c r="I895" i="13"/>
  <c r="H895" i="13"/>
  <c r="G896" i="13"/>
  <c r="G895" i="13" s="1"/>
  <c r="F895" i="13"/>
  <c r="E896" i="13"/>
  <c r="E895" i="13" s="1"/>
  <c r="J894" i="13"/>
  <c r="E894" i="13"/>
  <c r="J892" i="13"/>
  <c r="G892" i="13"/>
  <c r="E892" i="13"/>
  <c r="J893" i="13"/>
  <c r="G893" i="13"/>
  <c r="E893" i="13"/>
  <c r="J891" i="13"/>
  <c r="G891" i="13"/>
  <c r="E891" i="13"/>
  <c r="J874" i="13"/>
  <c r="G874" i="13"/>
  <c r="E874" i="13"/>
  <c r="J873" i="13"/>
  <c r="G873" i="13"/>
  <c r="E873" i="13"/>
  <c r="J827" i="13"/>
  <c r="J826" i="13" s="1"/>
  <c r="I826" i="13"/>
  <c r="G827" i="13"/>
  <c r="G826" i="13" s="1"/>
  <c r="E827" i="13"/>
  <c r="E826" i="13" s="1"/>
  <c r="J822" i="13"/>
  <c r="G822" i="13"/>
  <c r="E822" i="13"/>
  <c r="J821" i="13"/>
  <c r="G821" i="13"/>
  <c r="E821" i="13"/>
  <c r="E752" i="13"/>
  <c r="D752" i="13" s="1"/>
  <c r="E751" i="13"/>
  <c r="D751" i="13" s="1"/>
  <c r="C751" i="13" s="1"/>
  <c r="E750" i="13"/>
  <c r="E749" i="13" s="1"/>
  <c r="E748" i="13"/>
  <c r="E747" i="13" s="1"/>
  <c r="J723" i="13"/>
  <c r="G723" i="13"/>
  <c r="E723" i="13"/>
  <c r="J687" i="13"/>
  <c r="G687" i="13"/>
  <c r="E687" i="13"/>
  <c r="J653" i="13"/>
  <c r="J651" i="13"/>
  <c r="J462" i="13"/>
  <c r="J460" i="13"/>
  <c r="J459" i="13" s="1"/>
  <c r="G460" i="13"/>
  <c r="G459" i="13" s="1"/>
  <c r="F460" i="13"/>
  <c r="F459" i="13" s="1"/>
  <c r="J449" i="13"/>
  <c r="J447" i="13"/>
  <c r="J446" i="13"/>
  <c r="J445" i="13"/>
  <c r="J443" i="13"/>
  <c r="J442" i="13"/>
  <c r="J441" i="13"/>
  <c r="J440" i="13"/>
  <c r="J444" i="13"/>
  <c r="J438" i="13"/>
  <c r="J437" i="13"/>
  <c r="J432" i="13"/>
  <c r="J431" i="13" s="1"/>
  <c r="J425" i="13"/>
  <c r="J423" i="13"/>
  <c r="J422" i="13"/>
  <c r="J421" i="13" s="1"/>
  <c r="J417" i="13"/>
  <c r="J416" i="13"/>
  <c r="J415" i="13"/>
  <c r="G415" i="13"/>
  <c r="E415" i="13"/>
  <c r="J414" i="13"/>
  <c r="G414" i="13"/>
  <c r="E414" i="13"/>
  <c r="J413" i="13"/>
  <c r="J412" i="13"/>
  <c r="J410" i="13"/>
  <c r="J409" i="13" s="1"/>
  <c r="G410" i="13"/>
  <c r="G409" i="13" s="1"/>
  <c r="J406" i="13"/>
  <c r="G406" i="13"/>
  <c r="E406" i="13"/>
  <c r="J404" i="13"/>
  <c r="G404" i="13"/>
  <c r="E404" i="13"/>
  <c r="J402" i="13"/>
  <c r="E402" i="13"/>
  <c r="J401" i="13"/>
  <c r="E401" i="13"/>
  <c r="J400" i="13"/>
  <c r="G400" i="13"/>
  <c r="E400" i="13"/>
  <c r="J403" i="13"/>
  <c r="G403" i="13"/>
  <c r="E403" i="13"/>
  <c r="J398" i="13"/>
  <c r="G398" i="13"/>
  <c r="E398" i="13"/>
  <c r="J399" i="13"/>
  <c r="G399" i="13"/>
  <c r="E399" i="13"/>
  <c r="J397" i="13"/>
  <c r="G397" i="13"/>
  <c r="E397" i="13"/>
  <c r="J396" i="13"/>
  <c r="G396" i="13"/>
  <c r="E396" i="13"/>
  <c r="J395" i="13"/>
  <c r="G395" i="13"/>
  <c r="E395" i="13"/>
  <c r="J393" i="13"/>
  <c r="F393" i="13"/>
  <c r="E393" i="13"/>
  <c r="J392" i="13"/>
  <c r="G392" i="13"/>
  <c r="E392" i="13"/>
  <c r="J391" i="13"/>
  <c r="G391" i="13"/>
  <c r="F391" i="13"/>
  <c r="E391" i="13"/>
  <c r="E386" i="13" s="1"/>
  <c r="J332" i="13"/>
  <c r="J331" i="13" s="1"/>
  <c r="J326" i="13"/>
  <c r="J325" i="13" s="1"/>
  <c r="J322" i="13"/>
  <c r="J321" i="13" s="1"/>
  <c r="F322" i="13"/>
  <c r="F321" i="13" s="1"/>
  <c r="J290" i="13"/>
  <c r="F290" i="13"/>
  <c r="J287" i="13"/>
  <c r="F287" i="13"/>
  <c r="F286" i="13" s="1"/>
  <c r="J764" i="13"/>
  <c r="J763" i="13" s="1"/>
  <c r="I764" i="13"/>
  <c r="I763" i="13" s="1"/>
  <c r="H764" i="13"/>
  <c r="H763" i="13" s="1"/>
  <c r="G764" i="13"/>
  <c r="G763" i="13" s="1"/>
  <c r="F764" i="13"/>
  <c r="F763" i="13" s="1"/>
  <c r="E764" i="13"/>
  <c r="E763" i="13" s="1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700" i="13"/>
  <c r="I700" i="13"/>
  <c r="G700" i="13"/>
  <c r="F700" i="13"/>
  <c r="E700" i="13"/>
  <c r="J229" i="13"/>
  <c r="H229" i="13"/>
  <c r="J220" i="13"/>
  <c r="J219" i="13"/>
  <c r="J218" i="13"/>
  <c r="J679" i="13"/>
  <c r="G679" i="13"/>
  <c r="E679" i="13"/>
  <c r="J678" i="13"/>
  <c r="G678" i="13"/>
  <c r="E678" i="13"/>
  <c r="J675" i="13"/>
  <c r="G675" i="13"/>
  <c r="E675" i="13"/>
  <c r="J212" i="13"/>
  <c r="H212" i="13"/>
  <c r="F212" i="13"/>
  <c r="J211" i="13"/>
  <c r="J208" i="13"/>
  <c r="H208" i="13"/>
  <c r="J207" i="13"/>
  <c r="J206" i="13"/>
  <c r="J205" i="13"/>
  <c r="J622" i="13"/>
  <c r="G622" i="13"/>
  <c r="E622" i="13"/>
  <c r="J607" i="13"/>
  <c r="I607" i="13"/>
  <c r="H607" i="13"/>
  <c r="G607" i="13"/>
  <c r="F607" i="13"/>
  <c r="E607" i="13"/>
  <c r="J605" i="13"/>
  <c r="G605" i="13"/>
  <c r="E605" i="13"/>
  <c r="J604" i="13"/>
  <c r="G604" i="13"/>
  <c r="E604" i="13"/>
  <c r="J603" i="13"/>
  <c r="I603" i="13"/>
  <c r="H603" i="13"/>
  <c r="G603" i="13"/>
  <c r="F603" i="13"/>
  <c r="E603" i="13"/>
  <c r="J194" i="13"/>
  <c r="H194" i="13"/>
  <c r="J192" i="13"/>
  <c r="J191" i="13"/>
  <c r="J190" i="13"/>
  <c r="J189" i="13"/>
  <c r="J188" i="13"/>
  <c r="H188" i="13"/>
  <c r="J576" i="13"/>
  <c r="I576" i="13"/>
  <c r="H576" i="13"/>
  <c r="G576" i="13"/>
  <c r="F576" i="13"/>
  <c r="E576" i="13"/>
  <c r="J569" i="13"/>
  <c r="I569" i="13"/>
  <c r="J182" i="13"/>
  <c r="J181" i="13"/>
  <c r="J534" i="13"/>
  <c r="I534" i="13"/>
  <c r="H534" i="13"/>
  <c r="G534" i="13"/>
  <c r="F534" i="13"/>
  <c r="E534" i="13"/>
  <c r="J175" i="13"/>
  <c r="J532" i="13"/>
  <c r="I532" i="13"/>
  <c r="H532" i="13"/>
  <c r="G532" i="13"/>
  <c r="F532" i="13"/>
  <c r="E532" i="13"/>
  <c r="J531" i="13"/>
  <c r="I531" i="13"/>
  <c r="H531" i="13"/>
  <c r="G531" i="13"/>
  <c r="F531" i="13"/>
  <c r="E531" i="13"/>
  <c r="J174" i="13"/>
  <c r="J173" i="13"/>
  <c r="J524" i="13"/>
  <c r="I524" i="13"/>
  <c r="H524" i="13"/>
  <c r="G524" i="13"/>
  <c r="E524" i="13"/>
  <c r="J172" i="13"/>
  <c r="J171" i="13"/>
  <c r="J170" i="13"/>
  <c r="J169" i="13"/>
  <c r="J168" i="13"/>
  <c r="J167" i="13"/>
  <c r="J164" i="13"/>
  <c r="J156" i="13"/>
  <c r="H156" i="13"/>
  <c r="J502" i="13"/>
  <c r="G502" i="13"/>
  <c r="E502" i="13"/>
  <c r="J155" i="13"/>
  <c r="H155" i="13"/>
  <c r="J153" i="13"/>
  <c r="J152" i="13"/>
  <c r="J151" i="13"/>
  <c r="J485" i="13"/>
  <c r="I485" i="13"/>
  <c r="H485" i="13"/>
  <c r="G485" i="13"/>
  <c r="F485" i="13"/>
  <c r="E485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F386" i="13" l="1"/>
  <c r="E411" i="13"/>
  <c r="J433" i="13"/>
  <c r="D736" i="13"/>
  <c r="G386" i="13"/>
  <c r="G411" i="13"/>
  <c r="J386" i="13"/>
  <c r="J411" i="13"/>
  <c r="D291" i="13"/>
  <c r="D733" i="13"/>
  <c r="C1135" i="13"/>
  <c r="D885" i="13"/>
  <c r="C1119" i="13"/>
  <c r="D1118" i="13"/>
  <c r="D914" i="13"/>
  <c r="G869" i="13"/>
  <c r="E68" i="13"/>
  <c r="E104" i="13"/>
  <c r="F820" i="13"/>
  <c r="J820" i="13"/>
  <c r="H897" i="13"/>
  <c r="F908" i="13"/>
  <c r="J908" i="13"/>
  <c r="I68" i="13"/>
  <c r="E96" i="13"/>
  <c r="I96" i="13"/>
  <c r="I104" i="13"/>
  <c r="H89" i="13"/>
  <c r="G244" i="13"/>
  <c r="E820" i="13"/>
  <c r="I820" i="13"/>
  <c r="E869" i="13"/>
  <c r="E908" i="13"/>
  <c r="I908" i="13"/>
  <c r="F869" i="13"/>
  <c r="I890" i="13"/>
  <c r="H96" i="13"/>
  <c r="H104" i="13"/>
  <c r="I869" i="13"/>
  <c r="C754" i="13"/>
  <c r="C753" i="13" s="1"/>
  <c r="C1099" i="13"/>
  <c r="C1097" i="13" s="1"/>
  <c r="D1097" i="13"/>
  <c r="C728" i="13"/>
  <c r="C857" i="13"/>
  <c r="C856" i="13" s="1"/>
  <c r="D856" i="13"/>
  <c r="C865" i="13"/>
  <c r="C862" i="13" s="1"/>
  <c r="D862" i="13"/>
  <c r="J237" i="13"/>
  <c r="F244" i="13"/>
  <c r="J244" i="13"/>
  <c r="J869" i="13"/>
  <c r="H890" i="13"/>
  <c r="E1104" i="13"/>
  <c r="C922" i="13"/>
  <c r="C1122" i="13"/>
  <c r="C294" i="13"/>
  <c r="C861" i="13"/>
  <c r="C860" i="13" s="1"/>
  <c r="D860" i="13"/>
  <c r="C734" i="13"/>
  <c r="C733" i="13" s="1"/>
  <c r="C1110" i="13"/>
  <c r="C1109" i="13" s="1"/>
  <c r="D1109" i="13"/>
  <c r="C1103" i="13"/>
  <c r="C1101" i="13" s="1"/>
  <c r="D1101" i="13"/>
  <c r="C1096" i="13"/>
  <c r="C1095" i="13" s="1"/>
  <c r="D1095" i="13"/>
  <c r="F89" i="13"/>
  <c r="H820" i="13"/>
  <c r="G890" i="13"/>
  <c r="J897" i="13"/>
  <c r="H908" i="13"/>
  <c r="C356" i="13"/>
  <c r="C355" i="13" s="1"/>
  <c r="C886" i="13"/>
  <c r="C885" i="13" s="1"/>
  <c r="C767" i="13"/>
  <c r="C784" i="13"/>
  <c r="C783" i="13" s="1"/>
  <c r="C814" i="13"/>
  <c r="D813" i="13"/>
  <c r="C912" i="13"/>
  <c r="C911" i="13" s="1"/>
  <c r="D911" i="13"/>
  <c r="C1112" i="13"/>
  <c r="C1111" i="13" s="1"/>
  <c r="D1111" i="13"/>
  <c r="J89" i="13"/>
  <c r="G237" i="13"/>
  <c r="G820" i="13"/>
  <c r="E890" i="13"/>
  <c r="J890" i="13"/>
  <c r="G908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741" i="13"/>
  <c r="D576" i="13"/>
  <c r="C576" i="13" s="1"/>
  <c r="D189" i="13"/>
  <c r="C189" i="13" s="1"/>
  <c r="D219" i="13"/>
  <c r="C219" i="13" s="1"/>
  <c r="D229" i="13"/>
  <c r="C229" i="13" s="1"/>
  <c r="D239" i="13"/>
  <c r="C239" i="13" s="1"/>
  <c r="D290" i="13"/>
  <c r="C290" i="13" s="1"/>
  <c r="D438" i="13"/>
  <c r="D440" i="13"/>
  <c r="C440" i="13" s="1"/>
  <c r="D442" i="13"/>
  <c r="C442" i="13" s="1"/>
  <c r="D445" i="13"/>
  <c r="C445" i="13" s="1"/>
  <c r="D447" i="13"/>
  <c r="C447" i="13" s="1"/>
  <c r="D651" i="13"/>
  <c r="C651" i="13" s="1"/>
  <c r="D687" i="13"/>
  <c r="D873" i="13"/>
  <c r="D892" i="13"/>
  <c r="C892" i="13" s="1"/>
  <c r="D901" i="13"/>
  <c r="C901" i="13" s="1"/>
  <c r="D904" i="13"/>
  <c r="C904" i="13" s="1"/>
  <c r="D906" i="13"/>
  <c r="C906" i="13" s="1"/>
  <c r="D322" i="13"/>
  <c r="D321" i="13" s="1"/>
  <c r="D332" i="13"/>
  <c r="D331" i="13" s="1"/>
  <c r="D460" i="13"/>
  <c r="D459" i="13" s="1"/>
  <c r="D748" i="13"/>
  <c r="D747" i="13" s="1"/>
  <c r="D827" i="13"/>
  <c r="D105" i="13"/>
  <c r="D238" i="13"/>
  <c r="D245" i="13"/>
  <c r="D254" i="13"/>
  <c r="D251" i="13" s="1"/>
  <c r="D391" i="13"/>
  <c r="D410" i="13"/>
  <c r="D409" i="13" s="1"/>
  <c r="D76" i="13"/>
  <c r="D485" i="13"/>
  <c r="D156" i="13"/>
  <c r="D169" i="13"/>
  <c r="C169" i="13" s="1"/>
  <c r="D171" i="13"/>
  <c r="C171" i="13" s="1"/>
  <c r="D534" i="13"/>
  <c r="C534" i="13" s="1"/>
  <c r="D181" i="13"/>
  <c r="C181" i="13" s="1"/>
  <c r="D192" i="13"/>
  <c r="C192" i="13" s="1"/>
  <c r="D205" i="13"/>
  <c r="C205" i="13" s="1"/>
  <c r="D211" i="13"/>
  <c r="C211" i="13" s="1"/>
  <c r="D678" i="13"/>
  <c r="C678" i="13" s="1"/>
  <c r="D218" i="13"/>
  <c r="C218" i="13" s="1"/>
  <c r="D393" i="13"/>
  <c r="D396" i="13"/>
  <c r="D399" i="13"/>
  <c r="D403" i="13"/>
  <c r="D401" i="13"/>
  <c r="D404" i="13"/>
  <c r="D413" i="13"/>
  <c r="C413" i="13" s="1"/>
  <c r="D415" i="13"/>
  <c r="C415" i="13" s="1"/>
  <c r="D417" i="13"/>
  <c r="C417" i="13" s="1"/>
  <c r="D423" i="13"/>
  <c r="C423" i="13" s="1"/>
  <c r="D893" i="13"/>
  <c r="C893" i="13" s="1"/>
  <c r="D909" i="13"/>
  <c r="D1090" i="13"/>
  <c r="D98" i="13"/>
  <c r="D117" i="13"/>
  <c r="D116" i="13" s="1"/>
  <c r="D287" i="13"/>
  <c r="D326" i="13"/>
  <c r="D325" i="13" s="1"/>
  <c r="D437" i="13"/>
  <c r="D462" i="13"/>
  <c r="D891" i="13"/>
  <c r="D1092" i="13"/>
  <c r="D1135" i="13"/>
  <c r="D79" i="13"/>
  <c r="D107" i="13"/>
  <c r="D124" i="13"/>
  <c r="C124" i="13" s="1"/>
  <c r="D152" i="13"/>
  <c r="C152" i="13" s="1"/>
  <c r="D155" i="13"/>
  <c r="C155" i="13" s="1"/>
  <c r="D167" i="13"/>
  <c r="C167" i="13" s="1"/>
  <c r="D524" i="13"/>
  <c r="D531" i="13"/>
  <c r="C531" i="13" s="1"/>
  <c r="D569" i="13"/>
  <c r="C569" i="13" s="1"/>
  <c r="D603" i="13"/>
  <c r="C603" i="13" s="1"/>
  <c r="D605" i="13"/>
  <c r="C605" i="13" s="1"/>
  <c r="D207" i="13"/>
  <c r="C207" i="13" s="1"/>
  <c r="D188" i="13"/>
  <c r="D190" i="13"/>
  <c r="C190" i="13" s="1"/>
  <c r="D220" i="13"/>
  <c r="D700" i="13"/>
  <c r="D241" i="13"/>
  <c r="C241" i="13" s="1"/>
  <c r="D444" i="13"/>
  <c r="C444" i="13" s="1"/>
  <c r="D441" i="13"/>
  <c r="C441" i="13" s="1"/>
  <c r="D443" i="13"/>
  <c r="C443" i="13" s="1"/>
  <c r="D446" i="13"/>
  <c r="C446" i="13" s="1"/>
  <c r="D449" i="13"/>
  <c r="C449" i="13" s="1"/>
  <c r="D653" i="13"/>
  <c r="C653" i="13" s="1"/>
  <c r="D723" i="13"/>
  <c r="C723" i="13" s="1"/>
  <c r="D822" i="13"/>
  <c r="C822" i="13" s="1"/>
  <c r="D900" i="13"/>
  <c r="C900" i="13" s="1"/>
  <c r="D903" i="13"/>
  <c r="C903" i="13" s="1"/>
  <c r="D905" i="13"/>
  <c r="C905" i="13" s="1"/>
  <c r="D907" i="13"/>
  <c r="C907" i="13" s="1"/>
  <c r="D910" i="13"/>
  <c r="C910" i="13" s="1"/>
  <c r="D764" i="13"/>
  <c r="D763" i="13" s="1"/>
  <c r="D432" i="13"/>
  <c r="D431" i="13" s="1"/>
  <c r="D821" i="13"/>
  <c r="D896" i="13"/>
  <c r="D1105" i="13"/>
  <c r="D60" i="13"/>
  <c r="D59" i="13" s="1"/>
  <c r="D94" i="13"/>
  <c r="D74" i="13"/>
  <c r="D87" i="13"/>
  <c r="D119" i="13"/>
  <c r="D258" i="13"/>
  <c r="D257" i="13" s="1"/>
  <c r="D412" i="13"/>
  <c r="D422" i="13"/>
  <c r="D750" i="13"/>
  <c r="D749" i="13" s="1"/>
  <c r="D793" i="13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502" i="13"/>
  <c r="C502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532" i="13"/>
  <c r="C532" i="13" s="1"/>
  <c r="D175" i="13"/>
  <c r="C175" i="13" s="1"/>
  <c r="D182" i="13"/>
  <c r="D191" i="13"/>
  <c r="C191" i="13" s="1"/>
  <c r="D194" i="13"/>
  <c r="D604" i="13"/>
  <c r="C604" i="13" s="1"/>
  <c r="D607" i="13"/>
  <c r="C607" i="13" s="1"/>
  <c r="D622" i="13"/>
  <c r="C622" i="13" s="1"/>
  <c r="D206" i="13"/>
  <c r="D208" i="13"/>
  <c r="D212" i="13"/>
  <c r="C212" i="13" s="1"/>
  <c r="D675" i="13"/>
  <c r="C675" i="13" s="1"/>
  <c r="D679" i="13"/>
  <c r="C679" i="13" s="1"/>
  <c r="D240" i="13"/>
  <c r="C240" i="13" s="1"/>
  <c r="D246" i="13"/>
  <c r="D392" i="13"/>
  <c r="D395" i="13"/>
  <c r="D397" i="13"/>
  <c r="D398" i="13"/>
  <c r="D400" i="13"/>
  <c r="D402" i="13"/>
  <c r="D406" i="13"/>
  <c r="D414" i="13"/>
  <c r="C414" i="13" s="1"/>
  <c r="D416" i="13"/>
  <c r="C416" i="13" s="1"/>
  <c r="D425" i="13"/>
  <c r="C425" i="13" s="1"/>
  <c r="D874" i="13"/>
  <c r="D894" i="13"/>
  <c r="C894" i="13" s="1"/>
  <c r="J335" i="13"/>
  <c r="J333" i="13" s="1"/>
  <c r="I35" i="13"/>
  <c r="H335" i="13"/>
  <c r="H333" i="13" s="1"/>
  <c r="G335" i="13"/>
  <c r="G333" i="13" s="1"/>
  <c r="F335" i="13"/>
  <c r="F333" i="13" s="1"/>
  <c r="E335" i="13"/>
  <c r="E333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289" i="13"/>
  <c r="H289" i="13"/>
  <c r="G289" i="13"/>
  <c r="E289" i="13"/>
  <c r="J288" i="13"/>
  <c r="J286" i="13" s="1"/>
  <c r="H288" i="13"/>
  <c r="H286" i="13" s="1"/>
  <c r="G288" i="13"/>
  <c r="G286" i="13" s="1"/>
  <c r="E288" i="13"/>
  <c r="E286" i="13" s="1"/>
  <c r="J486" i="13"/>
  <c r="J120" i="13" s="1"/>
  <c r="I486" i="13"/>
  <c r="I120" i="13" s="1"/>
  <c r="H486" i="13"/>
  <c r="H120" i="13" s="1"/>
  <c r="G486" i="13"/>
  <c r="G120" i="13" s="1"/>
  <c r="F486" i="13"/>
  <c r="F120" i="13" s="1"/>
  <c r="E486" i="13"/>
  <c r="E120" i="13" s="1"/>
  <c r="D421" i="13" l="1"/>
  <c r="D386" i="13"/>
  <c r="F461" i="13"/>
  <c r="H461" i="13"/>
  <c r="H285" i="13" s="1"/>
  <c r="E461" i="13"/>
  <c r="D433" i="13"/>
  <c r="J461" i="13"/>
  <c r="J285" i="13" s="1"/>
  <c r="I461" i="13"/>
  <c r="I285" i="13" s="1"/>
  <c r="G461" i="13"/>
  <c r="J789" i="13"/>
  <c r="C1118" i="13"/>
  <c r="I10" i="13"/>
  <c r="F35" i="13"/>
  <c r="F10" i="13" s="1"/>
  <c r="H35" i="13"/>
  <c r="H10" i="13" s="1"/>
  <c r="J35" i="13"/>
  <c r="J10" i="13" s="1"/>
  <c r="E35" i="13"/>
  <c r="E10" i="13" s="1"/>
  <c r="G35" i="13"/>
  <c r="G10" i="13" s="1"/>
  <c r="D869" i="13"/>
  <c r="C287" i="13"/>
  <c r="C412" i="13"/>
  <c r="C896" i="13"/>
  <c r="C895" i="13" s="1"/>
  <c r="D895" i="13"/>
  <c r="C1092" i="13"/>
  <c r="C1091" i="13" s="1"/>
  <c r="D1091" i="13"/>
  <c r="C326" i="13"/>
  <c r="C325" i="13" s="1"/>
  <c r="C332" i="13"/>
  <c r="C331" i="13" s="1"/>
  <c r="C821" i="13"/>
  <c r="C820" i="13" s="1"/>
  <c r="D820" i="13"/>
  <c r="C410" i="13"/>
  <c r="C409" i="13" s="1"/>
  <c r="C460" i="13"/>
  <c r="C459" i="13" s="1"/>
  <c r="C891" i="13"/>
  <c r="C890" i="13" s="1"/>
  <c r="D890" i="13"/>
  <c r="C1090" i="13"/>
  <c r="C1089" i="13" s="1"/>
  <c r="D1089" i="13"/>
  <c r="C827" i="13"/>
  <c r="C826" i="13" s="1"/>
  <c r="D826" i="13"/>
  <c r="C322" i="13"/>
  <c r="C321" i="13" s="1"/>
  <c r="C422" i="13"/>
  <c r="C1105" i="13"/>
  <c r="C1104" i="13" s="1"/>
  <c r="D1104" i="13"/>
  <c r="C750" i="13"/>
  <c r="C432" i="13"/>
  <c r="C431" i="13" s="1"/>
  <c r="C909" i="13"/>
  <c r="C908" i="13" s="1"/>
  <c r="D908" i="13"/>
  <c r="C748" i="13"/>
  <c r="C747" i="13" s="1"/>
  <c r="C98" i="13"/>
  <c r="D96" i="13"/>
  <c r="C94" i="13"/>
  <c r="C89" i="13" s="1"/>
  <c r="D89" i="13"/>
  <c r="D266" i="13"/>
  <c r="C87" i="13"/>
  <c r="C86" i="13" s="1"/>
  <c r="D86" i="13"/>
  <c r="C764" i="13"/>
  <c r="C763" i="13" s="1"/>
  <c r="D104" i="13"/>
  <c r="D68" i="13"/>
  <c r="D244" i="13"/>
  <c r="C119" i="13"/>
  <c r="C118" i="13" s="1"/>
  <c r="D118" i="13"/>
  <c r="C238" i="13"/>
  <c r="C237" i="13" s="1"/>
  <c r="D237" i="13"/>
  <c r="C524" i="13"/>
  <c r="D12" i="13"/>
  <c r="D11" i="13" s="1"/>
  <c r="D29" i="13"/>
  <c r="D28" i="13" s="1"/>
  <c r="D486" i="13"/>
  <c r="D120" i="13" s="1"/>
  <c r="D335" i="13"/>
  <c r="D333" i="13" s="1"/>
  <c r="D288" i="13"/>
  <c r="D286" i="13" s="1"/>
  <c r="D289" i="13"/>
  <c r="C289" i="13" s="1"/>
  <c r="N486" i="13"/>
  <c r="N461" i="13" s="1"/>
  <c r="I1116" i="13"/>
  <c r="H1116" i="13"/>
  <c r="G1116" i="13"/>
  <c r="F1116" i="13"/>
  <c r="E1117" i="13"/>
  <c r="E1116" i="13" s="1"/>
  <c r="J8" i="13" l="1"/>
  <c r="V264" i="13"/>
  <c r="V486" i="13"/>
  <c r="C335" i="13"/>
  <c r="C333" i="13" s="1"/>
  <c r="D35" i="13"/>
  <c r="D10" i="13" s="1"/>
  <c r="C12" i="13"/>
  <c r="C288" i="13"/>
  <c r="C286" i="13" s="1"/>
  <c r="C267" i="13"/>
  <c r="C266" i="13" s="1"/>
  <c r="V267" i="13"/>
  <c r="C486" i="13"/>
  <c r="D1117" i="13"/>
  <c r="E343" i="13"/>
  <c r="N342" i="13"/>
  <c r="N339" i="13" s="1"/>
  <c r="G342" i="13"/>
  <c r="G339" i="13" s="1"/>
  <c r="G285" i="13" s="1"/>
  <c r="F342" i="13"/>
  <c r="F339" i="13" s="1"/>
  <c r="F285" i="13" s="1"/>
  <c r="E342" i="13"/>
  <c r="E339" i="13" s="1"/>
  <c r="R342" i="13"/>
  <c r="R339" i="13" s="1"/>
  <c r="I1093" i="13"/>
  <c r="H1093" i="13"/>
  <c r="H789" i="13" s="1"/>
  <c r="G1093" i="13"/>
  <c r="F1093" i="13"/>
  <c r="E1094" i="13"/>
  <c r="E1093" i="13" s="1"/>
  <c r="C1117" i="13" l="1"/>
  <c r="C1116" i="13" s="1"/>
  <c r="D1116" i="13"/>
  <c r="V342" i="13"/>
  <c r="D342" i="13"/>
  <c r="D339" i="13" s="1"/>
  <c r="D611" i="13"/>
  <c r="D461" i="13" s="1"/>
  <c r="D1094" i="13"/>
  <c r="D343" i="13"/>
  <c r="I897" i="13"/>
  <c r="G897" i="13"/>
  <c r="F897" i="13"/>
  <c r="F789" i="13" s="1"/>
  <c r="E898" i="13"/>
  <c r="E897" i="13" s="1"/>
  <c r="C343" i="13" l="1"/>
  <c r="C611" i="13"/>
  <c r="C1094" i="13"/>
  <c r="C1093" i="13" s="1"/>
  <c r="D1093" i="13"/>
  <c r="C342" i="13"/>
  <c r="C339" i="13" s="1"/>
  <c r="D898" i="13"/>
  <c r="N732" i="13"/>
  <c r="N731" i="13" s="1"/>
  <c r="E732" i="13"/>
  <c r="E731" i="13" s="1"/>
  <c r="N358" i="13"/>
  <c r="N357" i="13" s="1"/>
  <c r="N847" i="13"/>
  <c r="N846" i="13"/>
  <c r="N843" i="13"/>
  <c r="I848" i="13"/>
  <c r="I789" i="13" s="1"/>
  <c r="G848" i="13"/>
  <c r="G789" i="13" s="1"/>
  <c r="E849" i="13"/>
  <c r="E848" i="13" s="1"/>
  <c r="E789" i="13" s="1"/>
  <c r="C898" i="13" l="1"/>
  <c r="D897" i="13"/>
  <c r="N842" i="13"/>
  <c r="C847" i="13"/>
  <c r="V847" i="13"/>
  <c r="C846" i="13"/>
  <c r="V846" i="13"/>
  <c r="C843" i="13"/>
  <c r="V843" i="13"/>
  <c r="V732" i="13"/>
  <c r="C358" i="13"/>
  <c r="C357" i="13" s="1"/>
  <c r="V358" i="13"/>
  <c r="D849" i="13"/>
  <c r="D848" i="13" s="1"/>
  <c r="D732" i="13"/>
  <c r="D731" i="13" s="1"/>
  <c r="C842" i="13" l="1"/>
  <c r="V842" i="13" s="1"/>
  <c r="D789" i="13"/>
  <c r="C732" i="13"/>
  <c r="C731" i="13" s="1"/>
  <c r="C849" i="13"/>
  <c r="C848" i="13" s="1"/>
  <c r="L639" i="13"/>
  <c r="L461" i="13" s="1"/>
  <c r="C639" i="13" l="1"/>
  <c r="D420" i="13"/>
  <c r="C420" i="13" s="1"/>
  <c r="D419" i="13"/>
  <c r="N899" i="13"/>
  <c r="N897" i="13" s="1"/>
  <c r="E775" i="13"/>
  <c r="E766" i="13" s="1"/>
  <c r="E285" i="13" s="1"/>
  <c r="S82" i="13"/>
  <c r="C203" i="13"/>
  <c r="C552" i="13"/>
  <c r="C188" i="13"/>
  <c r="R485" i="13"/>
  <c r="C426" i="13"/>
  <c r="C424" i="13"/>
  <c r="C29" i="13"/>
  <c r="C28" i="13" s="1"/>
  <c r="N268" i="13"/>
  <c r="C758" i="13"/>
  <c r="R257" i="13"/>
  <c r="V254" i="13"/>
  <c r="V253" i="13"/>
  <c r="C742" i="13"/>
  <c r="C740" i="13"/>
  <c r="C739" i="13"/>
  <c r="V246" i="13"/>
  <c r="C227" i="13"/>
  <c r="C194" i="13"/>
  <c r="V156" i="13"/>
  <c r="C507" i="13"/>
  <c r="C504" i="13"/>
  <c r="R116" i="13"/>
  <c r="C448" i="13"/>
  <c r="C111" i="13"/>
  <c r="C438" i="13"/>
  <c r="V106" i="13"/>
  <c r="N66" i="13"/>
  <c r="N49" i="13"/>
  <c r="C34" i="13"/>
  <c r="C33" i="13" s="1"/>
  <c r="C328" i="13"/>
  <c r="C327" i="13" s="1"/>
  <c r="C299" i="13"/>
  <c r="C293" i="13"/>
  <c r="C208" i="13"/>
  <c r="N1009" i="13"/>
  <c r="N914" i="13" s="1"/>
  <c r="C712" i="13"/>
  <c r="C182" i="13"/>
  <c r="V220" i="13"/>
  <c r="R700" i="13"/>
  <c r="C700" i="13" s="1"/>
  <c r="S396" i="13"/>
  <c r="S395" i="13"/>
  <c r="P391" i="13"/>
  <c r="P393" i="13"/>
  <c r="C282" i="13"/>
  <c r="C280" i="13"/>
  <c r="P164" i="13"/>
  <c r="V164" i="13"/>
  <c r="C462" i="13"/>
  <c r="C938" i="13"/>
  <c r="C916" i="13"/>
  <c r="C365" i="13"/>
  <c r="C364" i="13" s="1"/>
  <c r="R793" i="13"/>
  <c r="R789" i="13" s="1"/>
  <c r="L310" i="13"/>
  <c r="L291" i="13" s="1"/>
  <c r="L285" i="13" s="1"/>
  <c r="C805" i="13"/>
  <c r="C794" i="13"/>
  <c r="C371" i="13"/>
  <c r="C368" i="13" s="1"/>
  <c r="C27" i="13"/>
  <c r="C26" i="13" s="1"/>
  <c r="C819" i="13"/>
  <c r="C816" i="13" s="1"/>
  <c r="C492" i="13"/>
  <c r="L1075" i="13"/>
  <c r="L914" i="13" s="1"/>
  <c r="L789" i="13" s="1"/>
  <c r="C756" i="13"/>
  <c r="C755" i="13" s="1"/>
  <c r="C757" i="13"/>
  <c r="C474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90" i="13"/>
  <c r="P392" i="13"/>
  <c r="S392" i="13"/>
  <c r="N398" i="13"/>
  <c r="N386" i="13" s="1"/>
  <c r="N285" i="13" s="1"/>
  <c r="P403" i="13"/>
  <c r="V400" i="13"/>
  <c r="S401" i="13"/>
  <c r="P404" i="13"/>
  <c r="P405" i="13"/>
  <c r="S405" i="13"/>
  <c r="P406" i="13"/>
  <c r="S406" i="13"/>
  <c r="C407" i="13"/>
  <c r="C408" i="13"/>
  <c r="P870" i="13"/>
  <c r="S870" i="13"/>
  <c r="P871" i="13"/>
  <c r="S871" i="13"/>
  <c r="P872" i="13"/>
  <c r="S872" i="13"/>
  <c r="P873" i="13"/>
  <c r="S873" i="13"/>
  <c r="P874" i="13"/>
  <c r="S874" i="13"/>
  <c r="S875" i="13"/>
  <c r="S876" i="13"/>
  <c r="P877" i="13"/>
  <c r="C879" i="13"/>
  <c r="S880" i="13"/>
  <c r="S881" i="13"/>
  <c r="S882" i="13"/>
  <c r="S883" i="13"/>
  <c r="P386" i="13" l="1"/>
  <c r="P285" i="13" s="1"/>
  <c r="D411" i="13"/>
  <c r="R461" i="13"/>
  <c r="R285" i="13" s="1"/>
  <c r="C736" i="13"/>
  <c r="E8" i="13"/>
  <c r="I8" i="13"/>
  <c r="F8" i="13"/>
  <c r="H8" i="13"/>
  <c r="G8" i="13"/>
  <c r="C270" i="13"/>
  <c r="N96" i="13"/>
  <c r="C419" i="13"/>
  <c r="V398" i="13"/>
  <c r="C1075" i="13"/>
  <c r="P869" i="13"/>
  <c r="P789" i="13" s="1"/>
  <c r="C310" i="13"/>
  <c r="C291" i="13" s="1"/>
  <c r="S869" i="13"/>
  <c r="S789" i="13" s="1"/>
  <c r="R104" i="13"/>
  <c r="V46" i="13"/>
  <c r="C52" i="13"/>
  <c r="R49" i="13"/>
  <c r="C485" i="13"/>
  <c r="R120" i="13"/>
  <c r="C196" i="13"/>
  <c r="L120" i="13"/>
  <c r="L10" i="13" s="1"/>
  <c r="R68" i="13"/>
  <c r="S68" i="13"/>
  <c r="S10" i="13" s="1"/>
  <c r="P120" i="13"/>
  <c r="N38" i="13"/>
  <c r="N104" i="13"/>
  <c r="R244" i="13"/>
  <c r="V252" i="13"/>
  <c r="N251" i="13"/>
  <c r="V258" i="13"/>
  <c r="N257" i="13"/>
  <c r="V74" i="13"/>
  <c r="N68" i="13"/>
  <c r="V117" i="13"/>
  <c r="N116" i="13"/>
  <c r="V245" i="13"/>
  <c r="N244" i="13"/>
  <c r="N120" i="13"/>
  <c r="P68" i="13"/>
  <c r="R251" i="13"/>
  <c r="C392" i="13"/>
  <c r="C228" i="13"/>
  <c r="V228" i="13"/>
  <c r="C221" i="13"/>
  <c r="V221" i="13"/>
  <c r="C1009" i="13"/>
  <c r="V1009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99" i="13"/>
  <c r="C897" i="13" s="1"/>
  <c r="V899" i="13"/>
  <c r="C437" i="13"/>
  <c r="C433" i="13" s="1"/>
  <c r="C246" i="13"/>
  <c r="C106" i="13"/>
  <c r="C117" i="13"/>
  <c r="C730" i="13"/>
  <c r="C727" i="13" s="1"/>
  <c r="C388" i="13"/>
  <c r="C398" i="13"/>
  <c r="C82" i="13"/>
  <c r="C80" i="13"/>
  <c r="C69" i="13"/>
  <c r="C687" i="13"/>
  <c r="C79" i="13"/>
  <c r="C75" i="13"/>
  <c r="C503" i="13"/>
  <c r="C628" i="13"/>
  <c r="C393" i="13"/>
  <c r="C505" i="13"/>
  <c r="C245" i="13"/>
  <c r="C244" i="13" s="1"/>
  <c r="C418" i="13"/>
  <c r="C411" i="13" s="1"/>
  <c r="C883" i="13"/>
  <c r="C876" i="13"/>
  <c r="C404" i="13"/>
  <c r="C882" i="13"/>
  <c r="C875" i="13"/>
  <c r="C400" i="13"/>
  <c r="C84" i="13"/>
  <c r="C78" i="13"/>
  <c r="C71" i="13"/>
  <c r="C402" i="13"/>
  <c r="C399" i="13"/>
  <c r="C81" i="13"/>
  <c r="C70" i="13"/>
  <c r="C220" i="13"/>
  <c r="C156" i="13"/>
  <c r="C252" i="13"/>
  <c r="C254" i="13"/>
  <c r="C258" i="13"/>
  <c r="C257" i="13" s="1"/>
  <c r="C428" i="13"/>
  <c r="C874" i="13"/>
  <c r="C872" i="13"/>
  <c r="C870" i="13"/>
  <c r="C46" i="13"/>
  <c r="C45" i="13" s="1"/>
  <c r="C430" i="13"/>
  <c r="C429" i="13" s="1"/>
  <c r="C164" i="13"/>
  <c r="C391" i="13"/>
  <c r="C881" i="13"/>
  <c r="C403" i="13"/>
  <c r="C83" i="13"/>
  <c r="C76" i="13"/>
  <c r="C929" i="13"/>
  <c r="C980" i="13"/>
  <c r="C395" i="13"/>
  <c r="C873" i="13"/>
  <c r="C871" i="13"/>
  <c r="C1114" i="13"/>
  <c r="C1113" i="13" s="1"/>
  <c r="C815" i="13"/>
  <c r="C813" i="13" s="1"/>
  <c r="C880" i="13"/>
  <c r="C877" i="13"/>
  <c r="C406" i="13"/>
  <c r="C405" i="13"/>
  <c r="C401" i="13"/>
  <c r="C77" i="13"/>
  <c r="C74" i="13"/>
  <c r="C798" i="13"/>
  <c r="C793" i="13" s="1"/>
  <c r="C427" i="13"/>
  <c r="C421" i="13" s="1"/>
  <c r="C396" i="13"/>
  <c r="C470" i="13"/>
  <c r="C461" i="13" s="1"/>
  <c r="C253" i="13"/>
  <c r="C752" i="13"/>
  <c r="C749" i="13" s="1"/>
  <c r="V26" i="13"/>
  <c r="N793" i="13"/>
  <c r="N789" i="13" s="1"/>
  <c r="D775" i="13"/>
  <c r="S397" i="13"/>
  <c r="S386" i="13" s="1"/>
  <c r="S285" i="13" s="1"/>
  <c r="V360" i="13"/>
  <c r="V372" i="13"/>
  <c r="V431" i="13"/>
  <c r="V456" i="13"/>
  <c r="V783" i="13"/>
  <c r="V858" i="13"/>
  <c r="V860" i="13"/>
  <c r="V908" i="13"/>
  <c r="V1109" i="13"/>
  <c r="V375" i="13"/>
  <c r="V118" i="13"/>
  <c r="V319" i="13"/>
  <c r="V43" i="13"/>
  <c r="V266" i="13"/>
  <c r="V313" i="13"/>
  <c r="V331" i="13"/>
  <c r="V459" i="13"/>
  <c r="V856" i="13"/>
  <c r="V895" i="13"/>
  <c r="V911" i="13"/>
  <c r="V1095" i="13"/>
  <c r="V1107" i="13"/>
  <c r="V1135" i="13"/>
  <c r="C775" i="13" l="1"/>
  <c r="C766" i="13" s="1"/>
  <c r="D766" i="13"/>
  <c r="D285" i="13" s="1"/>
  <c r="D8" i="13" s="1"/>
  <c r="L8" i="13"/>
  <c r="C914" i="13"/>
  <c r="C869" i="13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89" i="13"/>
  <c r="C397" i="13"/>
  <c r="C386" i="13" s="1"/>
  <c r="C285" i="13" s="1"/>
  <c r="S8" i="13"/>
  <c r="V244" i="13"/>
  <c r="V813" i="13"/>
  <c r="V268" i="13"/>
  <c r="V262" i="13"/>
  <c r="V55" i="13"/>
  <c r="V47" i="13"/>
  <c r="V325" i="13"/>
  <c r="V257" i="13"/>
  <c r="V64" i="13"/>
  <c r="V237" i="13"/>
  <c r="V242" i="13"/>
  <c r="V114" i="13"/>
  <c r="V86" i="13"/>
  <c r="V429" i="13"/>
  <c r="V61" i="13"/>
  <c r="V30" i="13"/>
  <c r="V255" i="13"/>
  <c r="V57" i="13"/>
  <c r="V259" i="13"/>
  <c r="V28" i="13"/>
  <c r="V247" i="13"/>
  <c r="C10" i="13" l="1"/>
  <c r="V38" i="13"/>
  <c r="V33" i="13"/>
  <c r="C789" i="13"/>
  <c r="V96" i="13"/>
  <c r="V251" i="13"/>
  <c r="V49" i="13"/>
  <c r="V104" i="13"/>
  <c r="V11" i="13"/>
  <c r="V120" i="13"/>
  <c r="C8" i="13" l="1"/>
  <c r="V45" i="13"/>
  <c r="V270" i="13"/>
  <c r="V848" i="13"/>
  <c r="V35" i="13" l="1"/>
  <c r="V68" i="13"/>
  <c r="V830" i="13" l="1"/>
</calcChain>
</file>

<file path=xl/sharedStrings.xml><?xml version="1.0" encoding="utf-8"?>
<sst xmlns="http://schemas.openxmlformats.org/spreadsheetml/2006/main" count="2160" uniqueCount="1979">
  <si>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</si>
  <si>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</si>
  <si>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</si>
  <si>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</si>
  <si>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</si>
  <si>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</si>
  <si>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</si>
  <si>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</si>
  <si>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</si>
  <si>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</si>
  <si>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</si>
  <si>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</si>
  <si>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</si>
  <si>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</si>
  <si>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</si>
  <si>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</si>
  <si>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</si>
  <si>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</si>
  <si>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</si>
  <si>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</si>
  <si>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</si>
  <si>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</si>
  <si>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</si>
  <si>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</si>
  <si>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</si>
  <si>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</si>
  <si>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</si>
  <si>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</si>
  <si>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</si>
  <si>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</si>
  <si>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</si>
  <si>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</si>
  <si>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</si>
  <si>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</si>
  <si>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</si>
  <si>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</si>
  <si>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</si>
  <si>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</si>
  <si>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</si>
  <si>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</si>
  <si>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</si>
  <si>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</si>
  <si>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</si>
  <si>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</si>
  <si>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</si>
  <si>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</si>
  <si>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</si>
  <si>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</si>
  <si>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</si>
  <si>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</si>
  <si>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</si>
  <si>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</si>
  <si>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</si>
  <si>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</si>
  <si>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</si>
  <si>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</si>
  <si>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</si>
  <si>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</si>
  <si>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</si>
  <si>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</si>
  <si>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</si>
  <si>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</si>
  <si>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</si>
  <si>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</si>
  <si>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</si>
  <si>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</si>
  <si>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</si>
  <si>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</si>
  <si>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</si>
  <si>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</si>
  <si>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</si>
  <si>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</si>
  <si>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</si>
  <si>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</si>
  <si>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</si>
  <si>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</si>
  <si>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</si>
  <si>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</si>
  <si>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</si>
  <si>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</si>
  <si>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</si>
  <si>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</si>
  <si>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</si>
  <si>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</si>
  <si>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</si>
  <si>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</si>
  <si>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</si>
  <si>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</si>
  <si>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</si>
  <si>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</si>
  <si>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</si>
  <si>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</si>
  <si>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</si>
  <si>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</si>
  <si>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</si>
  <si>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</si>
  <si>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</si>
  <si>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</si>
  <si>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</si>
  <si>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</si>
  <si>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</si>
  <si>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</si>
  <si>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</si>
  <si>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</si>
  <si>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</si>
  <si>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</si>
  <si>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</si>
  <si>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</si>
  <si>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</si>
  <si>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</si>
  <si>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</si>
  <si>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</si>
  <si>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</si>
  <si>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</si>
  <si>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</si>
  <si>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</si>
  <si>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</si>
  <si>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</si>
  <si>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</si>
  <si>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</si>
  <si>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</si>
  <si>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</si>
  <si>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</si>
  <si>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</si>
  <si>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</si>
  <si>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</si>
  <si>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</si>
  <si>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</si>
  <si>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</si>
  <si>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</si>
  <si>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</si>
  <si>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</si>
  <si>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</si>
  <si>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</si>
  <si>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</si>
  <si>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</si>
  <si>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</si>
  <si>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</si>
  <si>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</si>
  <si>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</si>
  <si>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</si>
  <si>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</si>
  <si>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</si>
  <si>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</si>
  <si>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</si>
  <si>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</si>
  <si>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</si>
  <si>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</si>
  <si>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</si>
  <si>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</si>
  <si>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</si>
  <si>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</si>
  <si>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</si>
  <si>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</si>
  <si>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</si>
  <si>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</si>
  <si>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</si>
  <si>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</si>
  <si>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</si>
  <si>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</si>
  <si>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</si>
  <si>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</si>
  <si>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</si>
  <si>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</si>
  <si>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</si>
  <si>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</si>
  <si>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</si>
  <si>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</si>
  <si>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</si>
  <si>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</si>
  <si>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</si>
  <si>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</si>
  <si>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</si>
  <si>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</si>
  <si>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</si>
  <si>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</si>
  <si>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</si>
  <si>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</si>
  <si>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</si>
  <si>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</si>
  <si>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</si>
  <si>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</si>
  <si>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Красина, д. 3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</si>
  <si>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</si>
  <si>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</si>
  <si>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</si>
  <si>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</si>
  <si>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</si>
  <si>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</si>
  <si>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</si>
  <si>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</si>
  <si>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</si>
  <si>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</si>
  <si>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</si>
  <si>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</si>
  <si>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</si>
  <si>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</si>
  <si>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</si>
  <si>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</si>
  <si>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</si>
  <si>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</si>
  <si>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</si>
  <si>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</si>
  <si>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</si>
  <si>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</si>
  <si>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</si>
  <si>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</si>
  <si>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</si>
  <si>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</si>
  <si>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</si>
  <si>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</si>
  <si>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</si>
  <si>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</si>
  <si>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</si>
  <si>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</si>
  <si>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</si>
  <si>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</si>
  <si>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</si>
  <si>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</si>
  <si>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</si>
  <si>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</si>
  <si>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</si>
  <si>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</si>
  <si>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</si>
  <si>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</si>
  <si>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</si>
  <si>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</si>
  <si>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</si>
  <si>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</si>
  <si>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</si>
  <si>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</si>
  <si>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</si>
  <si>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</si>
  <si>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</si>
  <si>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</si>
  <si>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</si>
  <si>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</si>
  <si>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</si>
  <si>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</si>
  <si>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</si>
  <si>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</si>
  <si>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</si>
  <si>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</si>
  <si>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</si>
  <si>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</si>
  <si>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</si>
  <si>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</si>
  <si>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</si>
  <si>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</si>
  <si>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</si>
  <si>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</si>
  <si>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</si>
  <si>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</si>
  <si>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</si>
  <si>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</si>
  <si>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</si>
  <si>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</si>
  <si>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</si>
  <si>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</si>
  <si>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</si>
  <si>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</si>
  <si>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</si>
  <si>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</si>
  <si>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</si>
  <si>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</si>
  <si>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</si>
  <si>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</si>
  <si>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</si>
  <si>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</si>
  <si>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</si>
  <si>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</si>
  <si>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</si>
  <si>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</si>
  <si>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</si>
  <si>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</si>
  <si>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</si>
  <si>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</si>
  <si>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</si>
  <si>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</si>
  <si>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</si>
  <si>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</si>
  <si>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</si>
  <si>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</si>
  <si>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</si>
  <si>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</si>
  <si>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</si>
  <si>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</si>
  <si>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</si>
  <si>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</si>
  <si>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</si>
  <si>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</si>
  <si>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</si>
  <si>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</si>
  <si>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</si>
  <si>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</si>
  <si>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</si>
  <si>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</si>
  <si>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</si>
  <si>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</si>
  <si>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</si>
  <si>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</si>
  <si>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</si>
  <si>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</si>
  <si>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</si>
  <si>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</si>
  <si>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</si>
  <si>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</si>
  <si>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</si>
  <si>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</si>
  <si>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</si>
  <si>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</si>
  <si>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</si>
  <si>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</si>
  <si>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</si>
  <si>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</si>
  <si>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</si>
  <si>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</si>
  <si>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</si>
  <si>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</si>
  <si>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</si>
  <si>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</si>
  <si>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</si>
  <si>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</si>
  <si>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</si>
  <si>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</si>
  <si>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</si>
  <si>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</si>
  <si>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</si>
  <si>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</si>
  <si>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</si>
  <si>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</si>
  <si>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</si>
  <si>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</si>
  <si>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</si>
  <si>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</si>
  <si>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</si>
  <si>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</si>
  <si>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</si>
  <si>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</si>
  <si>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</si>
  <si>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</si>
  <si>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</si>
  <si>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</si>
  <si>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</si>
  <si>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</si>
  <si>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</si>
  <si>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</si>
  <si>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</si>
  <si>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</si>
  <si>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</si>
  <si>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</si>
  <si>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</si>
  <si>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</si>
  <si>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</si>
  <si>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</si>
  <si>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</si>
  <si>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</si>
  <si>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</si>
  <si>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</si>
  <si>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</si>
  <si>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</si>
  <si>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</si>
  <si>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</si>
  <si>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</si>
  <si>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</si>
  <si>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</si>
  <si>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</si>
  <si>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</si>
  <si>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</si>
  <si>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</si>
  <si>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</si>
  <si>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</si>
  <si>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</si>
  <si>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</si>
  <si>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</si>
  <si>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</si>
  <si>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</si>
  <si>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</si>
  <si>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Большая Советская, д. 8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</si>
  <si>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</si>
  <si>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</si>
  <si>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</si>
  <si>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</si>
  <si>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</si>
  <si>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</si>
  <si>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</si>
  <si>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</si>
  <si>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</si>
  <si>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</si>
  <si>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</si>
  <si>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</si>
  <si>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</si>
  <si>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</si>
  <si>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Тенишевой, д. 21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</si>
  <si>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</si>
  <si>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</si>
  <si>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</si>
  <si>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</si>
  <si>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</si>
  <si>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</si>
  <si>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</si>
  <si>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</si>
  <si>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</si>
  <si>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</si>
  <si>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</si>
  <si>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</si>
  <si>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</si>
  <si>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</si>
  <si>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</si>
  <si>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</si>
  <si>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</si>
  <si>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</si>
  <si>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</si>
  <si>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</si>
  <si>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</si>
  <si>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</si>
  <si>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</si>
  <si>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</si>
  <si>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</si>
  <si>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</si>
  <si>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</si>
  <si>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</si>
  <si>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Большая Советская, д. 16/17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</si>
  <si>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</si>
  <si>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</si>
  <si>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</si>
  <si>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</si>
  <si>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</si>
  <si>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</si>
  <si>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</si>
  <si>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</si>
  <si>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Ленина, д. 12а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</si>
  <si>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</si>
  <si>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</si>
  <si>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</si>
  <si>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</si>
  <si>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</si>
  <si>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</si>
  <si>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</si>
  <si>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</si>
  <si>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</si>
  <si>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</si>
  <si>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</si>
  <si>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</si>
  <si>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</si>
  <si>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</si>
  <si>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</si>
  <si>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</si>
  <si>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</si>
  <si>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</si>
  <si>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</si>
  <si>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</si>
  <si>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</si>
  <si>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</si>
  <si>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</si>
  <si>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</si>
  <si>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</si>
  <si>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</si>
  <si>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</si>
  <si>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</si>
  <si>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</si>
  <si>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</si>
  <si>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</si>
  <si>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</si>
  <si>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</si>
  <si>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</si>
  <si>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</si>
  <si>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</si>
  <si>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</si>
  <si>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</si>
  <si>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</si>
  <si>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</si>
  <si>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</si>
  <si>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</si>
  <si>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</si>
  <si>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</si>
  <si>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</si>
  <si>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</si>
  <si>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</si>
  <si>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</si>
  <si>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</si>
  <si>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</si>
  <si>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</si>
  <si>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</si>
  <si>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</si>
  <si>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</si>
  <si>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</si>
  <si>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</si>
  <si>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</si>
  <si>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</si>
  <si>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</si>
  <si>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</si>
  <si>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</si>
  <si>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</si>
  <si>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</si>
  <si>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</si>
  <si>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</si>
  <si>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</si>
  <si>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</si>
  <si>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</si>
  <si>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</si>
  <si>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</si>
  <si>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</si>
  <si>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</si>
  <si>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</si>
  <si>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</si>
  <si>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</si>
  <si>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</si>
  <si>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</si>
  <si>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</si>
  <si>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</si>
  <si>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</si>
  <si>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</si>
  <si>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</si>
  <si>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</si>
  <si>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</si>
  <si>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</si>
  <si>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</si>
  <si>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</si>
  <si>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</si>
  <si>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</si>
  <si>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</si>
  <si>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</si>
  <si>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</si>
  <si>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</si>
  <si>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</si>
  <si>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</si>
  <si>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</si>
  <si>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</si>
  <si>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</si>
  <si>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</si>
  <si>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</si>
  <si>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</si>
  <si>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</si>
  <si>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</si>
  <si>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</si>
  <si>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</si>
  <si>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5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</si>
  <si>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</si>
  <si>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</si>
  <si>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</si>
  <si>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</si>
  <si>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</si>
  <si>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</si>
  <si>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</si>
  <si>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</si>
  <si>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</si>
  <si>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</si>
  <si>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</si>
  <si>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</si>
  <si>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</si>
  <si>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</si>
  <si>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</si>
  <si>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</si>
  <si>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</si>
  <si>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</si>
  <si>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</si>
  <si>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</si>
  <si>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</si>
  <si>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</si>
  <si>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</si>
  <si>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</si>
  <si>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</si>
  <si>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16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</si>
  <si>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</si>
  <si>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</si>
  <si>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</si>
  <si>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</si>
  <si>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</si>
  <si>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</si>
  <si>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</si>
  <si>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</si>
  <si>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</si>
  <si>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</si>
  <si>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</si>
  <si>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</si>
  <si>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</si>
  <si>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</si>
  <si>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</si>
  <si>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</si>
  <si>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</si>
  <si>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</si>
  <si>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</si>
  <si>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</si>
  <si>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</si>
  <si>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</si>
  <si>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</si>
  <si>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</si>
  <si>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</si>
  <si>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</si>
  <si>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</si>
  <si>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</si>
  <si>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</si>
  <si>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</si>
  <si>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</si>
  <si>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</si>
  <si>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</si>
  <si>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</si>
  <si>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</si>
  <si>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</si>
  <si>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</si>
  <si>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</si>
  <si>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</si>
  <si>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</si>
  <si>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</si>
  <si>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</si>
  <si>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</si>
  <si>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</si>
  <si>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</si>
  <si>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</si>
  <si>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</si>
  <si>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</si>
  <si>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</si>
  <si>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</si>
  <si>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</si>
  <si>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</si>
  <si>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</si>
  <si>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</si>
  <si>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</si>
  <si>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32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</si>
  <si>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</si>
  <si>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</si>
  <si>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</si>
  <si>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</si>
  <si>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</si>
  <si>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</si>
  <si>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</si>
  <si>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</si>
  <si>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</si>
  <si>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</si>
  <si>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</si>
  <si>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</si>
  <si>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</si>
  <si>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</si>
  <si>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</si>
  <si>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</si>
  <si>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</si>
  <si>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</si>
  <si>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</si>
  <si>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</si>
  <si>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</si>
  <si>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</si>
  <si>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</si>
  <si>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</si>
  <si>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</si>
  <si>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</si>
  <si>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</si>
  <si>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</si>
  <si>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</si>
  <si>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</si>
  <si>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</si>
  <si>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</si>
  <si>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</si>
  <si>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</si>
  <si>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</si>
  <si>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</si>
  <si>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</si>
  <si>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</si>
  <si>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</si>
  <si>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</si>
  <si>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</si>
  <si>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</si>
  <si>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</si>
  <si>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</si>
  <si>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</si>
  <si>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</si>
  <si>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</si>
  <si>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</si>
  <si>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</si>
  <si>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</si>
  <si>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</si>
  <si>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</si>
  <si>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</si>
  <si>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</si>
  <si>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</si>
  <si>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</si>
  <si>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</si>
  <si>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</si>
  <si>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</si>
  <si>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</si>
  <si>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</si>
  <si>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</si>
  <si>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</si>
  <si>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</si>
  <si>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</si>
  <si>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</si>
  <si>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</si>
  <si>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</si>
  <si>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</si>
  <si>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</si>
  <si>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</si>
  <si>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</si>
  <si>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</si>
  <si>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</si>
  <si>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</si>
  <si>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</si>
  <si>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</si>
  <si>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</si>
  <si>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</si>
  <si>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</si>
  <si>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</si>
  <si>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</si>
  <si>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</si>
  <si>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</si>
  <si>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</si>
  <si>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</si>
  <si>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</si>
  <si>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</si>
  <si>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</si>
  <si>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</si>
  <si>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</si>
  <si>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</si>
  <si>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</si>
  <si>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</si>
  <si>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</si>
  <si>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</si>
  <si>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</si>
  <si>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</si>
  <si>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</si>
  <si>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</si>
  <si>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</si>
  <si>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</si>
  <si>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</si>
  <si>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</si>
  <si>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</si>
  <si>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</si>
  <si>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</si>
  <si>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</si>
  <si>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</si>
  <si>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</si>
  <si>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</si>
  <si>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</si>
  <si>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</si>
  <si>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</si>
  <si>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</si>
  <si>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Московское шоссе, д. 140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</si>
  <si>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</si>
  <si>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</si>
  <si>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</si>
  <si>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</si>
  <si>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</si>
  <si>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</si>
  <si>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</si>
  <si>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</si>
  <si>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</si>
  <si>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</si>
  <si>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</si>
  <si>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</si>
  <si>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</si>
  <si>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</si>
  <si>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</si>
  <si>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</si>
  <si>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</si>
  <si>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</si>
  <si>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</si>
  <si>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</si>
  <si>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</si>
  <si>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</si>
  <si>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</si>
  <si>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</si>
  <si>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</si>
  <si>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</si>
  <si>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</si>
  <si>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</si>
  <si>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</si>
  <si>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</si>
  <si>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</si>
  <si>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</si>
  <si>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</si>
  <si>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</si>
  <si>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</si>
  <si>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</si>
  <si>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</si>
  <si>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</si>
  <si>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</si>
  <si>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</si>
  <si>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</si>
  <si>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</si>
  <si>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</si>
  <si>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</si>
  <si>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</si>
  <si>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</si>
  <si>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</si>
  <si>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</si>
  <si>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</si>
  <si>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</si>
  <si>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</si>
  <si>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</si>
  <si>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</si>
  <si>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</si>
  <si>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</si>
  <si>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</si>
  <si>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</si>
  <si>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</si>
  <si>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</si>
  <si>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</si>
  <si>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</si>
  <si>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</si>
  <si>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</si>
  <si>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</si>
  <si>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</si>
  <si>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</si>
  <si>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</si>
  <si>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</si>
  <si>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</si>
  <si>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</si>
  <si>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</si>
  <si>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</si>
  <si>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</si>
  <si>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</si>
  <si>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</si>
  <si>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</si>
  <si>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</si>
  <si>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</si>
  <si>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</si>
  <si>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</si>
  <si>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</si>
  <si>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</si>
  <si>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</si>
  <si>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</si>
  <si>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</si>
  <si>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</si>
  <si>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</si>
  <si>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</si>
  <si>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</si>
  <si>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</si>
  <si>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</si>
  <si>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</si>
  <si>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</si>
  <si>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</si>
  <si>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</si>
  <si>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</si>
  <si>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</si>
  <si>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</si>
  <si>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</si>
  <si>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</si>
  <si>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</si>
  <si>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</si>
  <si>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</si>
  <si>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</si>
  <si>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</si>
  <si>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</si>
  <si>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</si>
  <si>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</si>
  <si>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</si>
  <si>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</si>
  <si>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</si>
  <si>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</si>
  <si>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</si>
  <si>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</si>
  <si>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</si>
  <si>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</si>
  <si>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</si>
  <si>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</si>
  <si>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</si>
  <si>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</si>
  <si>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</si>
  <si>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</si>
  <si>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</si>
  <si>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</si>
  <si>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</si>
  <si>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</si>
  <si>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</si>
  <si>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</si>
  <si>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</si>
  <si>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</si>
  <si>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</si>
  <si>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</si>
  <si>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</si>
  <si>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</si>
  <si>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</si>
  <si>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</si>
  <si>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</si>
  <si>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</si>
  <si>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</si>
  <si>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</si>
  <si>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</si>
  <si>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</si>
  <si>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</si>
  <si>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</si>
  <si>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</si>
  <si>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</si>
  <si>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</si>
  <si>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</si>
  <si>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</si>
  <si>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</si>
  <si>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</si>
  <si>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</si>
  <si>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</si>
  <si>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</si>
  <si>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</si>
  <si>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</si>
  <si>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</si>
  <si>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</si>
  <si>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</si>
  <si>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</si>
  <si>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</si>
  <si>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</si>
  <si>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</si>
  <si>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</si>
  <si>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</si>
  <si>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</si>
  <si>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</si>
  <si>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</si>
  <si>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</si>
  <si>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</si>
  <si>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</si>
  <si>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</si>
  <si>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</si>
  <si>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</si>
  <si>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</si>
  <si>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</si>
  <si>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</si>
  <si>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</si>
  <si>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</si>
  <si>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</si>
  <si>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</si>
  <si>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</si>
  <si>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</si>
  <si>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</si>
  <si>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</si>
  <si>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</si>
  <si>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</si>
  <si>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</si>
  <si>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</si>
  <si>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</si>
  <si>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580.</t>
  </si>
  <si>
    <t>581.</t>
  </si>
  <si>
    <t>582.</t>
  </si>
  <si>
    <t>583.</t>
  </si>
  <si>
    <t>584.</t>
  </si>
  <si>
    <t>585.</t>
  </si>
  <si>
    <t>586.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</si>
  <si>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</si>
  <si>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</si>
  <si>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</si>
  <si>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</si>
  <si>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</si>
  <si>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</si>
  <si>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</si>
  <si>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</si>
  <si>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</si>
  <si>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</si>
  <si>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</si>
  <si>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</si>
  <si>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</si>
  <si>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</si>
  <si>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</si>
  <si>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</si>
  <si>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</si>
  <si>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</si>
  <si>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</si>
  <si>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</si>
  <si>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</si>
  <si>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</si>
  <si>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</si>
  <si>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</si>
  <si>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</si>
  <si>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</si>
  <si>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</si>
  <si>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</si>
  <si>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</si>
  <si>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</si>
  <si>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</si>
  <si>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</si>
  <si>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</si>
  <si>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</si>
  <si>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</si>
  <si>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</si>
  <si>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</si>
  <si>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</si>
  <si>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</si>
  <si>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</si>
  <si>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</si>
  <si>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</si>
  <si>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</si>
  <si>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</si>
  <si>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</si>
  <si>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</si>
  <si>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</si>
  <si>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</si>
  <si>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</si>
  <si>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</si>
  <si>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</si>
  <si>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</si>
  <si>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</si>
  <si>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</si>
  <si>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</si>
  <si>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</si>
  <si>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</si>
  <si>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</si>
  <si>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</si>
  <si>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</si>
  <si>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651.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</si>
  <si>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</si>
  <si>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</si>
  <si>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</si>
  <si>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</si>
  <si>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</si>
  <si>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</si>
  <si>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</si>
  <si>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</si>
  <si>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</si>
  <si>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</si>
  <si>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</si>
  <si>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</si>
  <si>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</si>
  <si>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</si>
  <si>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</si>
  <si>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</si>
  <si>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</si>
  <si>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</si>
  <si>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</si>
  <si>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</si>
  <si>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</si>
  <si>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</si>
  <si>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</si>
  <si>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</si>
  <si>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</si>
  <si>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</si>
  <si>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</si>
  <si>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</si>
  <si>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</si>
  <si>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</si>
  <si>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</si>
  <si>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</si>
  <si>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</si>
  <si>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</si>
  <si>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</si>
  <si>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</si>
  <si>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</si>
  <si>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</si>
  <si>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</si>
  <si>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</si>
  <si>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</si>
  <si>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</si>
  <si>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</si>
  <si>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</si>
  <si>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</si>
  <si>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</si>
  <si>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</si>
  <si>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</si>
  <si>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</si>
  <si>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</si>
  <si>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</si>
  <si>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</si>
  <si>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</si>
  <si>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</si>
  <si>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</si>
  <si>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</si>
  <si>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</si>
  <si>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</si>
  <si>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</si>
  <si>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</si>
  <si>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</si>
  <si>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</si>
  <si>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719.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</si>
  <si>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</si>
  <si>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</si>
  <si>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</si>
  <si>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</si>
  <si>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</si>
  <si>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</si>
  <si>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</si>
  <si>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</si>
  <si>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</si>
  <si>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</si>
  <si>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</si>
  <si>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</si>
  <si>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</si>
  <si>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</si>
  <si>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</si>
  <si>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</si>
  <si>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</si>
  <si>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</si>
  <si>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</si>
  <si>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</si>
  <si>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</si>
  <si>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</si>
  <si>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</si>
  <si>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</si>
  <si>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</si>
  <si>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</si>
  <si>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</si>
  <si>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</si>
  <si>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</si>
  <si>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</si>
  <si>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</si>
  <si>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</si>
  <si>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</si>
  <si>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</si>
  <si>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</si>
  <si>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</si>
  <si>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</si>
  <si>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</si>
  <si>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</si>
  <si>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</si>
  <si>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</si>
  <si>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</si>
  <si>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</si>
  <si>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</si>
  <si>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</si>
  <si>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</si>
  <si>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</si>
  <si>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</si>
  <si>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</si>
  <si>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</si>
  <si>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</si>
  <si>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</si>
  <si>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</si>
  <si>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</si>
  <si>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</si>
  <si>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</si>
  <si>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</si>
  <si>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</si>
  <si>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</si>
  <si>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</si>
  <si>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</si>
  <si>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</si>
  <si>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</si>
  <si>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</si>
  <si>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</si>
  <si>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</si>
  <si>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</si>
  <si>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</si>
  <si>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</si>
  <si>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</si>
  <si>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</si>
  <si>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</si>
  <si>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</si>
  <si>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</si>
  <si>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</si>
  <si>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</si>
  <si>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</si>
  <si>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</si>
  <si>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</si>
  <si>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</si>
  <si>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</si>
  <si>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</si>
  <si>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</si>
  <si>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</si>
  <si>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</si>
  <si>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</si>
  <si>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</si>
  <si>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</si>
  <si>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</si>
  <si>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</si>
  <si>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</si>
  <si>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</si>
  <si>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</si>
  <si>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</si>
  <si>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</si>
  <si>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</si>
  <si>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</si>
  <si>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</si>
  <si>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</si>
  <si>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</si>
  <si>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</si>
  <si>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</si>
  <si>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</si>
  <si>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</si>
  <si>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</si>
  <si>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</si>
  <si>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</si>
  <si>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</si>
  <si>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</si>
  <si>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</si>
  <si>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</si>
  <si>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</si>
  <si>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</si>
  <si>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</si>
  <si>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</si>
  <si>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</si>
  <si>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</si>
  <si>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</si>
  <si>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</si>
  <si>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</si>
  <si>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</si>
  <si>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</si>
  <si>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</si>
  <si>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</si>
  <si>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</si>
  <si>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</si>
  <si>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</si>
  <si>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</si>
  <si>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</si>
  <si>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</si>
  <si>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</si>
  <si>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</si>
  <si>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</si>
  <si>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</si>
  <si>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</si>
  <si>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</si>
  <si>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</si>
  <si>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</si>
  <si>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</si>
  <si>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</si>
  <si>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</si>
  <si>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</si>
  <si>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</si>
  <si>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</si>
  <si>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</si>
  <si>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</si>
  <si>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</si>
  <si>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</si>
  <si>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</si>
  <si>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</si>
  <si>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</si>
  <si>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</si>
  <si>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</si>
  <si>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</si>
  <si>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</si>
  <si>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</si>
  <si>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</si>
  <si>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</si>
  <si>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</si>
  <si>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</si>
  <si>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</si>
  <si>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</si>
  <si>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</si>
  <si>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398.</t>
  </si>
  <si>
    <t>399.</t>
  </si>
  <si>
    <t>400.</t>
  </si>
  <si>
    <t>401.</t>
  </si>
  <si>
    <t>402.</t>
  </si>
  <si>
    <t>403.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</si>
  <si>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</si>
  <si>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</si>
  <si>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</si>
  <si>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</si>
  <si>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</si>
  <si>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</si>
  <si>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</si>
  <si>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</si>
  <si>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</si>
  <si>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</si>
  <si>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</si>
  <si>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</si>
  <si>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</si>
  <si>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</si>
  <si>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</si>
  <si>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</si>
  <si>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</si>
  <si>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</si>
  <si>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</si>
  <si>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</si>
  <si>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</si>
  <si>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</si>
  <si>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</si>
  <si>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</si>
  <si>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</si>
  <si>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</si>
  <si>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</si>
  <si>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</si>
  <si>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</si>
  <si>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</si>
  <si>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</si>
  <si>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</si>
  <si>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</si>
  <si>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</si>
  <si>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</si>
  <si>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</si>
  <si>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</si>
  <si>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</si>
  <si>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</si>
  <si>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</si>
  <si>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</si>
  <si>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</si>
  <si>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</si>
  <si>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</si>
  <si>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</si>
  <si>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</si>
  <si>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</si>
  <si>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</si>
  <si>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</si>
  <si>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</si>
  <si>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</si>
  <si>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</si>
  <si>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</si>
  <si>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</si>
  <si>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</si>
  <si>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</si>
  <si>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</si>
  <si>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</si>
  <si>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</si>
  <si>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</si>
  <si>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</si>
  <si>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</si>
  <si>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</si>
  <si>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</si>
  <si>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</si>
  <si>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</si>
  <si>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</si>
  <si>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</si>
  <si>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</si>
  <si>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</si>
  <si>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</si>
  <si>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</si>
  <si>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</si>
  <si>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</si>
  <si>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</si>
  <si>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</si>
  <si>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</si>
  <si>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</si>
  <si>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</si>
  <si>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</si>
  <si>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</si>
  <si>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493.</t>
  </si>
  <si>
    <t>494.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</si>
  <si>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</si>
  <si>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</si>
  <si>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</si>
  <si>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</si>
  <si>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</si>
  <si>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</si>
  <si>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</si>
  <si>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</si>
  <si>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</si>
  <si>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</si>
  <si>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</si>
  <si>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</si>
  <si>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</si>
  <si>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</si>
  <si>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</si>
  <si>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</si>
  <si>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</si>
  <si>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</si>
  <si>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555.</t>
  </si>
  <si>
    <t>587.</t>
  </si>
  <si>
    <t>828.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</si>
  <si>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</si>
  <si>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</si>
  <si>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</si>
  <si>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</si>
  <si>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</si>
  <si>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</si>
  <si>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</si>
  <si>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</si>
  <si>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</si>
  <si>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</si>
  <si>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</si>
  <si>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</si>
  <si>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</si>
  <si>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</si>
  <si>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</si>
  <si>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</si>
  <si>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</si>
  <si>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</si>
  <si>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</si>
  <si>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</si>
  <si>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</si>
  <si>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</si>
  <si>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</si>
  <si>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</si>
  <si>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</si>
  <si>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</si>
  <si>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</si>
  <si>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</si>
  <si>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</si>
  <si>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</si>
  <si>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</si>
  <si>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</si>
  <si>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</si>
  <si>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</si>
  <si>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</si>
  <si>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</si>
  <si>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</si>
  <si>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</si>
  <si>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</si>
  <si>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</si>
  <si>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</si>
  <si>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</si>
  <si>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</si>
  <si>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</si>
  <si>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</si>
  <si>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</si>
  <si>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</si>
  <si>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</si>
  <si>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</si>
  <si>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</si>
  <si>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</si>
  <si>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</si>
  <si>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</si>
  <si>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</si>
  <si>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</si>
  <si>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</si>
  <si>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</si>
  <si>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</si>
  <si>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</si>
  <si>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</si>
  <si>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</si>
  <si>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</si>
  <si>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</si>
  <si>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</si>
  <si>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</si>
  <si>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</si>
  <si>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</si>
  <si>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</si>
  <si>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</si>
  <si>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</si>
  <si>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</si>
  <si>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</si>
  <si>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</si>
  <si>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</si>
  <si>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Центральная, д. 22</t>
  </si>
  <si>
    <t>Г. Смоленск, ул. Колхозная, д. 14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</si>
  <si>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</si>
  <si>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</si>
  <si>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</si>
  <si>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</si>
  <si>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</si>
  <si>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</si>
  <si>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</si>
  <si>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</si>
  <si>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</si>
  <si>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</si>
  <si>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404.</t>
  </si>
  <si>
    <t>527.</t>
  </si>
  <si>
    <t>528.</t>
  </si>
  <si>
    <t>579.</t>
  </si>
  <si>
    <t>670.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</si>
  <si>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</si>
  <si>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</si>
  <si>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</si>
  <si>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</si>
  <si>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</si>
  <si>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</si>
  <si>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</si>
  <si>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</si>
  <si>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</si>
  <si>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</si>
  <si>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</si>
  <si>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</si>
  <si>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</si>
  <si>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</si>
  <si>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</si>
  <si>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</si>
  <si>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</si>
  <si>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</si>
  <si>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</si>
  <si>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</si>
  <si>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</si>
  <si>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</si>
  <si>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</si>
  <si>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</si>
  <si>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</si>
  <si>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</si>
  <si>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</si>
  <si>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</si>
  <si>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</si>
  <si>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</si>
  <si>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</si>
  <si>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</si>
  <si>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</si>
  <si>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</si>
  <si>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</si>
  <si>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</si>
  <si>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</si>
  <si>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</si>
  <si>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</si>
  <si>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</si>
  <si>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</si>
  <si>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</si>
  <si>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</si>
  <si>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</si>
  <si>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</si>
  <si>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</si>
  <si>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</si>
  <si>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</si>
  <si>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</si>
  <si>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</si>
  <si>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</si>
  <si>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</si>
  <si>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</si>
  <si>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</si>
  <si>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</si>
  <si>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</si>
  <si>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</si>
  <si>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</si>
  <si>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</si>
  <si>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</si>
  <si>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</si>
  <si>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</si>
  <si>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</si>
  <si>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</si>
  <si>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</si>
  <si>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</si>
  <si>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</si>
  <si>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</si>
  <si>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</si>
  <si>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</si>
  <si>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</si>
  <si>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</si>
  <si>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</si>
  <si>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</si>
  <si>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</si>
  <si>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</si>
  <si>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</si>
  <si>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</si>
  <si>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</si>
  <si>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</si>
  <si>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</si>
  <si>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</si>
  <si>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</si>
  <si>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</si>
  <si>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</si>
  <si>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</si>
  <si>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</si>
  <si>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</si>
  <si>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</si>
  <si>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</si>
  <si>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</si>
  <si>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</si>
  <si>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</si>
  <si>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</si>
  <si>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</si>
  <si>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</si>
  <si>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</si>
  <si>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</si>
  <si>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</si>
  <si>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</si>
  <si>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</si>
  <si>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</si>
  <si>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</si>
  <si>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</si>
  <si>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</si>
  <si>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</si>
  <si>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</si>
  <si>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</si>
  <si>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</si>
  <si>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</si>
  <si>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</si>
  <si>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</si>
  <si>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</si>
  <si>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</si>
  <si>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</si>
  <si>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</si>
  <si>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</si>
  <si>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</si>
  <si>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</si>
  <si>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</si>
  <si>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</si>
  <si>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</si>
  <si>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</si>
  <si>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</si>
  <si>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</si>
  <si>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</si>
  <si>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</si>
  <si>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</si>
  <si>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</si>
  <si>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</si>
  <si>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</si>
  <si>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</si>
  <si>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</si>
  <si>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</si>
  <si>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</si>
  <si>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</si>
  <si>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</si>
  <si>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</si>
  <si>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</si>
  <si>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492.</t>
  </si>
  <si>
    <t>495.</t>
  </si>
  <si>
    <t>694.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</si>
  <si>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</si>
  <si>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</si>
  <si>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</si>
  <si>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423.</t>
  </si>
  <si>
    <t>424.</t>
  </si>
  <si>
    <t>425.</t>
  </si>
  <si>
    <t>426.</t>
  </si>
  <si>
    <t>427.</t>
  </si>
  <si>
    <t>556.</t>
  </si>
  <si>
    <t>606.</t>
  </si>
  <si>
    <t>652.</t>
  </si>
  <si>
    <t>903.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</si>
  <si>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</si>
  <si>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</si>
  <si>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</si>
  <si>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</si>
  <si>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</si>
  <si>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</si>
  <si>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</si>
  <si>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</si>
  <si>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</si>
  <si>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</si>
  <si>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</si>
  <si>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</si>
  <si>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</si>
  <si>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</si>
  <si>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</si>
  <si>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</si>
  <si>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</si>
  <si>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</si>
  <si>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</si>
  <si>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</si>
  <si>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</si>
  <si>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</si>
  <si>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</si>
  <si>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</si>
  <si>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</si>
  <si>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</si>
  <si>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</si>
  <si>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</si>
  <si>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</si>
  <si>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</si>
  <si>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</si>
  <si>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</si>
  <si>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</si>
  <si>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</si>
  <si>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</si>
  <si>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</si>
  <si>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</si>
  <si>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</si>
  <si>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</si>
  <si>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</si>
  <si>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</si>
  <si>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</si>
  <si>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</si>
  <si>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</si>
  <si>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</si>
  <si>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</si>
  <si>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</si>
  <si>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</si>
  <si>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</si>
  <si>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</si>
  <si>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</si>
  <si>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</si>
  <si>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</si>
  <si>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</si>
  <si>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397.</t>
  </si>
  <si>
    <t>650.</t>
  </si>
  <si>
    <t>672.</t>
  </si>
  <si>
    <t>718.</t>
  </si>
  <si>
    <t>720.</t>
  </si>
  <si>
    <t>776.</t>
  </si>
  <si>
    <t>938.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</si>
  <si>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</si>
  <si>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</si>
  <si>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</si>
  <si>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339.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</si>
  <si>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</si>
  <si>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</si>
  <si>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</si>
  <si>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</si>
  <si>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</si>
  <si>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</si>
  <si>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</si>
  <si>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</si>
  <si>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</si>
  <si>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455.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</si>
  <si>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</si>
  <si>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</si>
  <si>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</si>
  <si>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</si>
  <si>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</si>
  <si>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</si>
  <si>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</si>
  <si>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</si>
  <si>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</si>
  <si>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</si>
  <si>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Г. Ярцево, ул. Чернышевского, д. 8</t>
  </si>
  <si>
    <t>982.</t>
  </si>
  <si>
    <t>981.</t>
  </si>
  <si>
    <t>980.</t>
  </si>
  <si>
    <t>979.</t>
  </si>
  <si>
    <t>978.</t>
  </si>
  <si>
    <t>977.</t>
  </si>
  <si>
    <t>976.</t>
  </si>
  <si>
    <t>975.</t>
  </si>
  <si>
    <t>974.</t>
  </si>
  <si>
    <t>973.</t>
  </si>
  <si>
    <t>972.</t>
  </si>
  <si>
    <t>971.</t>
  </si>
  <si>
    <t>970.</t>
  </si>
  <si>
    <t>969.</t>
  </si>
  <si>
    <t>968.</t>
  </si>
  <si>
    <t>967.</t>
  </si>
  <si>
    <t>966.</t>
  </si>
  <si>
    <t>965.</t>
  </si>
  <si>
    <t>964.</t>
  </si>
  <si>
    <t>963.</t>
  </si>
  <si>
    <t>962.</t>
  </si>
  <si>
    <t>961.</t>
  </si>
  <si>
    <t>960.</t>
  </si>
  <si>
    <t>638.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</si>
  <si>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</si>
  <si>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</si>
  <si>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</si>
  <si>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</si>
  <si>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</si>
  <si>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</si>
  <si>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</si>
  <si>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</si>
  <si>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</si>
  <si>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</si>
  <si>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</si>
  <si>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</si>
  <si>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</si>
  <si>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</si>
  <si>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</si>
  <si>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</si>
  <si>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</si>
  <si>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</si>
  <si>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</si>
  <si>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</si>
  <si>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</si>
  <si>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</si>
  <si>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</si>
  <si>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</si>
  <si>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</si>
  <si>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</si>
  <si>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</si>
  <si>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</si>
  <si>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</si>
  <si>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</si>
  <si>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</si>
  <si>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</si>
  <si>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</si>
  <si>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</si>
  <si>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</si>
  <si>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</si>
  <si>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</si>
  <si>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</si>
  <si>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</si>
  <si>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</si>
  <si>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</si>
  <si>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</si>
  <si>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</si>
  <si>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</si>
  <si>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</si>
  <si>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</si>
  <si>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</si>
  <si>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</si>
  <si>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</si>
  <si>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</si>
  <si>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</si>
  <si>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</si>
  <si>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</si>
  <si>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</si>
  <si>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</si>
  <si>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</si>
  <si>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</si>
  <si>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</si>
  <si>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</si>
  <si>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</si>
  <si>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</si>
  <si>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</si>
  <si>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</si>
  <si>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</si>
  <si>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</si>
  <si>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</si>
  <si>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</si>
  <si>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</si>
  <si>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</si>
  <si>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</si>
  <si>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</si>
  <si>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</si>
  <si>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</si>
  <si>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</si>
  <si>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</si>
  <si>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</si>
  <si>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</si>
  <si>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</si>
  <si>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</si>
  <si>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</si>
  <si>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</si>
  <si>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</si>
  <si>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</si>
  <si>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</si>
  <si>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</si>
  <si>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</si>
  <si>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</si>
  <si>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</si>
  <si>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</si>
  <si>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</si>
  <si>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</si>
  <si>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</si>
  <si>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</si>
  <si>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</si>
  <si>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</si>
  <si>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</si>
  <si>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</si>
  <si>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</si>
  <si>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</si>
  <si>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</si>
  <si>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</si>
  <si>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</si>
  <si>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</si>
  <si>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</si>
  <si>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</si>
  <si>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</si>
  <si>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</si>
  <si>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</si>
  <si>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</si>
  <si>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</si>
  <si>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</si>
  <si>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</si>
  <si>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</si>
  <si>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</si>
  <si>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</si>
  <si>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</si>
  <si>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</si>
  <si>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</si>
  <si>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</si>
  <si>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</si>
  <si>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</si>
  <si>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</si>
  <si>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</si>
  <si>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</si>
  <si>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</si>
  <si>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</si>
  <si>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</si>
  <si>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</si>
  <si>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</si>
  <si>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</si>
  <si>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</si>
  <si>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</si>
  <si>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</si>
  <si>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</si>
  <si>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</si>
  <si>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</si>
  <si>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</si>
  <si>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</si>
  <si>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</si>
  <si>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</si>
  <si>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</si>
  <si>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</si>
  <si>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</si>
  <si>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</si>
  <si>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</si>
  <si>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</si>
  <si>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</si>
  <si>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</si>
  <si>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</si>
  <si>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</si>
  <si>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</si>
  <si>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</si>
  <si>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</si>
  <si>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</si>
  <si>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</si>
  <si>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</si>
  <si>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</si>
  <si>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</si>
  <si>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</si>
  <si>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</si>
  <si>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</si>
  <si>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</si>
  <si>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</si>
  <si>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</si>
  <si>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</si>
  <si>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</si>
  <si>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</si>
  <si>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</si>
  <si>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</si>
  <si>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</si>
  <si>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</si>
  <si>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</si>
  <si>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</si>
  <si>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</si>
  <si>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</si>
  <si>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</si>
  <si>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</si>
  <si>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</si>
  <si>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</si>
  <si>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</si>
  <si>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</si>
  <si>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</si>
  <si>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</si>
  <si>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</si>
  <si>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</si>
  <si>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</si>
  <si>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</si>
  <si>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</si>
  <si>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</si>
  <si>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</si>
  <si>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</si>
  <si>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</si>
  <si>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</si>
  <si>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</si>
  <si>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</si>
  <si>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</si>
  <si>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</si>
  <si>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</si>
  <si>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</si>
  <si>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</si>
  <si>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</si>
  <si>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</si>
  <si>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</si>
  <si>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</si>
  <si>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</si>
  <si>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</si>
  <si>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</si>
  <si>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</si>
  <si>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</si>
  <si>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</si>
  <si>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</si>
  <si>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</si>
  <si>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</si>
  <si>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</si>
  <si>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</si>
  <si>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</si>
  <si>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</si>
  <si>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</si>
  <si>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</si>
  <si>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</si>
  <si>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</si>
  <si>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</si>
  <si>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</si>
  <si>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</si>
  <si>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</si>
  <si>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</si>
  <si>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</si>
  <si>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</si>
  <si>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</si>
  <si>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</si>
  <si>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</si>
  <si>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</si>
  <si>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</si>
  <si>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</si>
  <si>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</si>
  <si>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</si>
  <si>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</si>
  <si>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</si>
  <si>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</si>
  <si>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</si>
  <si>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</si>
  <si>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</si>
  <si>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</si>
  <si>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</si>
  <si>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</si>
  <si>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</si>
  <si>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</si>
  <si>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</si>
  <si>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</si>
  <si>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</si>
  <si>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</si>
  <si>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</si>
  <si>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</si>
  <si>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</si>
  <si>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</si>
  <si>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</si>
  <si>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</si>
  <si>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</si>
  <si>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</si>
  <si>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</si>
  <si>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</si>
  <si>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</si>
  <si>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</si>
  <si>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</si>
  <si>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</si>
  <si>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</si>
  <si>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</si>
  <si>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</si>
  <si>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</si>
  <si>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</si>
  <si>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</si>
  <si>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</si>
  <si>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</si>
  <si>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</si>
  <si>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</si>
  <si>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</si>
  <si>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</si>
  <si>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</si>
  <si>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</si>
  <si>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</si>
  <si>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</si>
  <si>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</si>
  <si>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</si>
  <si>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</si>
  <si>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</si>
  <si>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</si>
  <si>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</si>
  <si>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983.</t>
  </si>
  <si>
    <t>984.</t>
  </si>
  <si>
    <t>985.</t>
  </si>
  <si>
    <t>986.</t>
  </si>
  <si>
    <t>987.</t>
  </si>
  <si>
    <t>988.</t>
  </si>
  <si>
    <t>989.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</si>
</sst>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39"/>
  <sheetViews>
    <sheetView tabSelected="1" view="pageBreakPreview" topLeftCell="A1111" zoomScale="70" zoomScaleNormal="50" zoomScaleSheetLayoutView="70" zoomScalePageLayoutView="40" workbookViewId="0">
      <selection activeCell="A10" sqref="A10:B10"/>
    </sheetView>
  </sheetViews>
  <sheetFormatPr defaultRowHeight="15.75" x14ac:dyDescent="0.25"/>
  <cols>
    <col min="1" max="1" width="6.42578125" style="50" customWidth="1"/>
    <col min="2" max="2" width="54.7109375" style="32" customWidth="1"/>
    <col min="3" max="3" width="19.85546875" style="33" customWidth="1"/>
    <col min="4" max="4" width="19" style="33" customWidth="1"/>
    <col min="5" max="5" width="19.7109375" style="33" customWidth="1"/>
    <col min="6" max="10" width="17" style="33" customWidth="1"/>
    <col min="11" max="11" width="6.85546875" style="34" customWidth="1"/>
    <col min="12" max="12" width="16.42578125" style="33" customWidth="1"/>
    <col min="13" max="13" width="13.7109375" style="33" customWidth="1"/>
    <col min="14" max="14" width="19" style="33" customWidth="1"/>
    <col min="15" max="15" width="10.5703125" style="33" customWidth="1"/>
    <col min="16" max="16" width="16.42578125" style="33" customWidth="1"/>
    <col min="17" max="17" width="12.7109375" style="33" customWidth="1"/>
    <col min="18" max="18" width="18.42578125" style="33" customWidth="1"/>
    <col min="19" max="19" width="15.7109375" style="33" customWidth="1"/>
    <col min="20" max="20" width="18.42578125" style="33" customWidth="1"/>
    <col min="21" max="21" width="16.5703125" style="33" customWidth="1"/>
    <col min="22" max="22" width="14" style="6" customWidth="1"/>
    <col min="23" max="16384" width="9.140625" style="7"/>
  </cols>
  <sheetData>
    <row r="1" spans="1:22" ht="19.5" customHeight="1" x14ac:dyDescent="0.25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2" ht="19.5" customHeight="1" x14ac:dyDescent="0.25">
      <c r="A2" s="38"/>
      <c r="B2" s="35"/>
      <c r="C2" s="35"/>
      <c r="D2" s="35"/>
      <c r="E2" s="35"/>
      <c r="F2" s="35"/>
      <c r="G2" s="35"/>
      <c r="H2" s="35"/>
      <c r="I2" s="35"/>
      <c r="J2" s="35"/>
      <c r="K2" s="9"/>
      <c r="L2" s="35"/>
      <c r="M2" s="35"/>
      <c r="N2" s="35"/>
      <c r="O2" s="10"/>
      <c r="P2" s="10"/>
      <c r="Q2" s="10"/>
      <c r="R2" s="10"/>
      <c r="S2" s="10"/>
      <c r="T2" s="10"/>
      <c r="U2" s="10"/>
    </row>
    <row r="3" spans="1:22" ht="192" customHeight="1" x14ac:dyDescent="0.25">
      <c r="A3" s="64" t="s">
        <v>16</v>
      </c>
      <c r="B3" s="67" t="s">
        <v>15</v>
      </c>
      <c r="C3" s="54" t="s">
        <v>13</v>
      </c>
      <c r="D3" s="57" t="s">
        <v>4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2" t="s">
        <v>12</v>
      </c>
      <c r="U3" s="53"/>
    </row>
    <row r="4" spans="1:22" ht="31.5" customHeight="1" x14ac:dyDescent="0.25">
      <c r="A4" s="65"/>
      <c r="B4" s="67"/>
      <c r="C4" s="55"/>
      <c r="D4" s="68" t="s">
        <v>1534</v>
      </c>
      <c r="E4" s="69"/>
      <c r="F4" s="69"/>
      <c r="G4" s="69"/>
      <c r="H4" s="69"/>
      <c r="I4" s="69"/>
      <c r="J4" s="70"/>
      <c r="K4" s="72" t="s">
        <v>1528</v>
      </c>
      <c r="L4" s="73"/>
      <c r="M4" s="72" t="s">
        <v>8</v>
      </c>
      <c r="N4" s="73"/>
      <c r="O4" s="72" t="s">
        <v>6</v>
      </c>
      <c r="P4" s="73"/>
      <c r="Q4" s="72" t="s">
        <v>9</v>
      </c>
      <c r="R4" s="73"/>
      <c r="S4" s="54" t="s">
        <v>14</v>
      </c>
      <c r="T4" s="71" t="s">
        <v>5</v>
      </c>
      <c r="U4" s="57" t="s">
        <v>3</v>
      </c>
    </row>
    <row r="5" spans="1:22" ht="190.5" customHeight="1" x14ac:dyDescent="0.25">
      <c r="A5" s="65"/>
      <c r="B5" s="67"/>
      <c r="C5" s="56"/>
      <c r="D5" s="37" t="s">
        <v>1533</v>
      </c>
      <c r="E5" s="36" t="s">
        <v>1556</v>
      </c>
      <c r="F5" s="36" t="s">
        <v>1557</v>
      </c>
      <c r="G5" s="36" t="s">
        <v>1529</v>
      </c>
      <c r="H5" s="36" t="s">
        <v>1530</v>
      </c>
      <c r="I5" s="36" t="s">
        <v>1531</v>
      </c>
      <c r="J5" s="36" t="s">
        <v>1532</v>
      </c>
      <c r="K5" s="74"/>
      <c r="L5" s="75"/>
      <c r="M5" s="74"/>
      <c r="N5" s="75"/>
      <c r="O5" s="74"/>
      <c r="P5" s="75"/>
      <c r="Q5" s="74"/>
      <c r="R5" s="75"/>
      <c r="S5" s="56"/>
      <c r="T5" s="71"/>
      <c r="U5" s="57"/>
    </row>
    <row r="6" spans="1:22" ht="18" customHeight="1" x14ac:dyDescent="0.25">
      <c r="A6" s="66"/>
      <c r="B6" s="67"/>
      <c r="C6" s="5" t="s">
        <v>7</v>
      </c>
      <c r="D6" s="5" t="s">
        <v>7</v>
      </c>
      <c r="E6" s="5" t="s">
        <v>7</v>
      </c>
      <c r="F6" s="5" t="s">
        <v>7</v>
      </c>
      <c r="G6" s="5" t="s">
        <v>7</v>
      </c>
      <c r="H6" s="5" t="s">
        <v>7</v>
      </c>
      <c r="I6" s="5" t="s">
        <v>7</v>
      </c>
      <c r="J6" s="5" t="s">
        <v>7</v>
      </c>
      <c r="K6" s="11" t="s">
        <v>10</v>
      </c>
      <c r="L6" s="5" t="s">
        <v>7</v>
      </c>
      <c r="M6" s="5" t="s">
        <v>18</v>
      </c>
      <c r="N6" s="5" t="s">
        <v>7</v>
      </c>
      <c r="O6" s="5" t="s">
        <v>18</v>
      </c>
      <c r="P6" s="5" t="s">
        <v>7</v>
      </c>
      <c r="Q6" s="5" t="s">
        <v>18</v>
      </c>
      <c r="R6" s="5" t="s">
        <v>7</v>
      </c>
      <c r="S6" s="5" t="s">
        <v>7</v>
      </c>
      <c r="T6" s="5" t="s">
        <v>7</v>
      </c>
      <c r="U6" s="5" t="s">
        <v>7</v>
      </c>
    </row>
    <row r="7" spans="1:22" s="13" customFormat="1" ht="15" customHeight="1" x14ac:dyDescent="0.25">
      <c r="A7" s="39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2"/>
    </row>
    <row r="8" spans="1:22" ht="24.95" customHeight="1" x14ac:dyDescent="0.25">
      <c r="A8" s="58" t="s">
        <v>26</v>
      </c>
      <c r="B8" s="58"/>
      <c r="C8" s="2">
        <f t="shared" ref="C8:U8" si="0">C10+C285+C789</f>
        <v>3969599192.8199997</v>
      </c>
      <c r="D8" s="2">
        <f t="shared" si="0"/>
        <v>846773287.68000007</v>
      </c>
      <c r="E8" s="2">
        <f t="shared" si="0"/>
        <v>142089098.87</v>
      </c>
      <c r="F8" s="2">
        <f t="shared" si="0"/>
        <v>410918192.15999997</v>
      </c>
      <c r="G8" s="2">
        <f t="shared" si="0"/>
        <v>104094660.33</v>
      </c>
      <c r="H8" s="2">
        <f t="shared" si="0"/>
        <v>92589817.49000001</v>
      </c>
      <c r="I8" s="2">
        <f t="shared" si="0"/>
        <v>97081518.829999998</v>
      </c>
      <c r="J8" s="2">
        <f t="shared" si="0"/>
        <v>0</v>
      </c>
      <c r="K8" s="14">
        <f t="shared" si="0"/>
        <v>51</v>
      </c>
      <c r="L8" s="2">
        <f t="shared" si="0"/>
        <v>107969630.31</v>
      </c>
      <c r="M8" s="2">
        <f t="shared" si="0"/>
        <v>411377.47000000009</v>
      </c>
      <c r="N8" s="2">
        <f t="shared" si="0"/>
        <v>2071489943.1899996</v>
      </c>
      <c r="O8" s="2">
        <f t="shared" si="0"/>
        <v>8022.75</v>
      </c>
      <c r="P8" s="2">
        <f t="shared" si="0"/>
        <v>10684134.59</v>
      </c>
      <c r="Q8" s="2">
        <f t="shared" si="0"/>
        <v>294977.62000000005</v>
      </c>
      <c r="R8" s="2">
        <f t="shared" si="0"/>
        <v>829441731.65999997</v>
      </c>
      <c r="S8" s="2">
        <f t="shared" si="0"/>
        <v>16365586.720000001</v>
      </c>
      <c r="T8" s="2">
        <f t="shared" si="0"/>
        <v>678303.6</v>
      </c>
      <c r="U8" s="2">
        <f t="shared" si="0"/>
        <v>70821701.579999998</v>
      </c>
    </row>
    <row r="9" spans="1:22" s="16" customFormat="1" ht="24.95" customHeight="1" x14ac:dyDescent="0.25">
      <c r="A9" s="59" t="s">
        <v>25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15"/>
    </row>
    <row r="10" spans="1:22" ht="24.95" customHeight="1" x14ac:dyDescent="0.25">
      <c r="A10" s="60" t="s">
        <v>208</v>
      </c>
      <c r="B10" s="60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4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290745664.28000003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139338815.28</v>
      </c>
      <c r="S10" s="2">
        <f t="shared" si="1"/>
        <v>919174.4</v>
      </c>
      <c r="T10" s="2">
        <f t="shared" si="1"/>
        <v>678303.6</v>
      </c>
      <c r="U10" s="2">
        <f t="shared" si="1"/>
        <v>24530743.68</v>
      </c>
    </row>
    <row r="11" spans="1:22" ht="45" customHeight="1" x14ac:dyDescent="0.25">
      <c r="A11" s="51" t="s">
        <v>0</v>
      </c>
      <c r="B11" s="51"/>
      <c r="C11" s="2">
        <f>SUM(C12:C23)</f>
        <v>37755868.190000005</v>
      </c>
      <c r="D11" s="2">
        <f t="shared" ref="D11:U11" si="2">SUM(D12:D23)</f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4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8">
        <f>C11+C291+C793</f>
        <v>308728047.44999999</v>
      </c>
    </row>
    <row r="12" spans="1:22" ht="21.95" customHeight="1" x14ac:dyDescent="0.25">
      <c r="A12" s="40" t="s">
        <v>837</v>
      </c>
      <c r="B12" s="19" t="s">
        <v>39</v>
      </c>
      <c r="C12" s="2">
        <f t="shared" ref="C12:C58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0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6">
        <f t="shared" ref="V12:V23" si="4">N12/M12</f>
        <v>5366.4699999999993</v>
      </c>
    </row>
    <row r="13" spans="1:22" ht="21.95" customHeight="1" x14ac:dyDescent="0.25">
      <c r="A13" s="40" t="s">
        <v>838</v>
      </c>
      <c r="B13" s="19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0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8">
        <f t="shared" si="4"/>
        <v>5037.8496528609048</v>
      </c>
    </row>
    <row r="14" spans="1:22" ht="21.95" customHeight="1" x14ac:dyDescent="0.25">
      <c r="A14" s="40" t="s">
        <v>1580</v>
      </c>
      <c r="B14" s="8" t="s">
        <v>43</v>
      </c>
      <c r="C14" s="2">
        <f>D14+L14+N14+P14+R14+S14+T14+U14</f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0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6">
        <f>N14/M14</f>
        <v>5025.4322535701849</v>
      </c>
    </row>
    <row r="15" spans="1:22" ht="21.95" customHeight="1" x14ac:dyDescent="0.25">
      <c r="A15" s="40" t="s">
        <v>1581</v>
      </c>
      <c r="B15" s="8" t="s">
        <v>44</v>
      </c>
      <c r="C15" s="2">
        <f>D15+L15+N15+P15+R15+S15+T15+U15</f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0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6" t="e">
        <f>N15/M15</f>
        <v>#DIV/0!</v>
      </c>
    </row>
    <row r="16" spans="1:22" ht="21.95" customHeight="1" x14ac:dyDescent="0.25">
      <c r="A16" s="40" t="s">
        <v>1582</v>
      </c>
      <c r="B16" s="8" t="s">
        <v>45</v>
      </c>
      <c r="C16" s="2">
        <f>D16+L16+N16+P16+R16+S16+T16+U16</f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0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6">
        <f>N16/M16</f>
        <v>5299.7964480582004</v>
      </c>
    </row>
    <row r="17" spans="1:22" ht="21.95" customHeight="1" x14ac:dyDescent="0.25">
      <c r="A17" s="40" t="s">
        <v>1583</v>
      </c>
      <c r="B17" s="8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0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6">
        <f t="shared" si="4"/>
        <v>5153.032937625755</v>
      </c>
    </row>
    <row r="18" spans="1:22" ht="21.95" customHeight="1" x14ac:dyDescent="0.25">
      <c r="A18" s="40" t="s">
        <v>1584</v>
      </c>
      <c r="B18" s="8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0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6">
        <f t="shared" si="4"/>
        <v>5299.7997807818783</v>
      </c>
    </row>
    <row r="19" spans="1:22" ht="21.95" customHeight="1" x14ac:dyDescent="0.25">
      <c r="A19" s="40" t="s">
        <v>1585</v>
      </c>
      <c r="B19" s="8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0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6">
        <f t="shared" si="4"/>
        <v>3299.9980082987554</v>
      </c>
    </row>
    <row r="20" spans="1:22" ht="21.95" customHeight="1" x14ac:dyDescent="0.25">
      <c r="A20" s="40" t="s">
        <v>1586</v>
      </c>
      <c r="B20" s="8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0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6">
        <f t="shared" si="4"/>
        <v>5058.1819464033842</v>
      </c>
    </row>
    <row r="21" spans="1:22" ht="21.95" customHeight="1" x14ac:dyDescent="0.25">
      <c r="A21" s="40" t="s">
        <v>1587</v>
      </c>
      <c r="B21" s="19" t="s">
        <v>56</v>
      </c>
      <c r="C21" s="2">
        <f>D21+L21+N21+P21+R21+S21+T21+U21</f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0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6">
        <f>N21/M21</f>
        <v>4410.6899999999996</v>
      </c>
    </row>
    <row r="22" spans="1:22" ht="21.95" customHeight="1" x14ac:dyDescent="0.25">
      <c r="A22" s="40" t="s">
        <v>1588</v>
      </c>
      <c r="B22" s="19" t="s">
        <v>57</v>
      </c>
      <c r="C22" s="2">
        <f>D22+L22+N22+P22+R22+S22+T22+U22</f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0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6">
        <f>N22/M22</f>
        <v>4765.7115835777131</v>
      </c>
    </row>
    <row r="23" spans="1:22" ht="21.95" customHeight="1" x14ac:dyDescent="0.25">
      <c r="A23" s="40" t="s">
        <v>1589</v>
      </c>
      <c r="B23" s="19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0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6">
        <f t="shared" si="4"/>
        <v>4996.1936811168262</v>
      </c>
    </row>
    <row r="24" spans="1:22" ht="45" customHeight="1" x14ac:dyDescent="0.25">
      <c r="A24" s="51" t="s">
        <v>1164</v>
      </c>
      <c r="B24" s="51"/>
      <c r="C24" s="2">
        <f>SUM(C25)</f>
        <v>2310609.41</v>
      </c>
      <c r="D24" s="2">
        <f t="shared" ref="D24:U24" si="5">SUM(D25)</f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4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8">
        <f>C24</f>
        <v>2310609.41</v>
      </c>
    </row>
    <row r="25" spans="1:22" ht="21.95" customHeight="1" x14ac:dyDescent="0.25">
      <c r="A25" s="40" t="s">
        <v>1590</v>
      </c>
      <c r="B25" s="8" t="s">
        <v>27</v>
      </c>
      <c r="C25" s="2">
        <f t="shared" si="3"/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0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6">
        <f>N25/M25</f>
        <v>4136.7320498716545</v>
      </c>
    </row>
    <row r="26" spans="1:22" ht="45" customHeight="1" x14ac:dyDescent="0.25">
      <c r="A26" s="51" t="s">
        <v>1345</v>
      </c>
      <c r="B26" s="51"/>
      <c r="C26" s="2">
        <f>SUM(C27)</f>
        <v>3798369.6</v>
      </c>
      <c r="D26" s="2">
        <f t="shared" ref="D26:U26" si="6">SUM(D27)</f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4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8">
        <f>C26</f>
        <v>3798369.6</v>
      </c>
    </row>
    <row r="27" spans="1:22" ht="21.95" customHeight="1" x14ac:dyDescent="0.25">
      <c r="A27" s="40" t="s">
        <v>1591</v>
      </c>
      <c r="B27" s="8" t="s">
        <v>1346</v>
      </c>
      <c r="C27" s="2">
        <f t="shared" si="3"/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0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6">
        <f>N27/M27</f>
        <v>2831.7512953367877</v>
      </c>
    </row>
    <row r="28" spans="1:22" ht="45" customHeight="1" x14ac:dyDescent="0.25">
      <c r="A28" s="51" t="s">
        <v>74</v>
      </c>
      <c r="B28" s="51"/>
      <c r="C28" s="2">
        <f>SUM(C29)</f>
        <v>1334845.79</v>
      </c>
      <c r="D28" s="2">
        <f t="shared" ref="D28:U28" si="7">SUM(D29)</f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4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8">
        <f>C28+C315+C816</f>
        <v>24255740.789999999</v>
      </c>
    </row>
    <row r="29" spans="1:22" ht="23.1" customHeight="1" x14ac:dyDescent="0.25">
      <c r="A29" s="39" t="s">
        <v>1592</v>
      </c>
      <c r="B29" s="8" t="s">
        <v>73</v>
      </c>
      <c r="C29" s="2">
        <f t="shared" si="3"/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1">
        <v>0</v>
      </c>
      <c r="L29" s="5">
        <v>0</v>
      </c>
      <c r="M29" s="5">
        <v>254.8</v>
      </c>
      <c r="N29" s="20">
        <v>1159135.44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77267.520000000004</v>
      </c>
      <c r="V29" s="6">
        <f>N29/M29</f>
        <v>4549.1971742543165</v>
      </c>
    </row>
    <row r="30" spans="1:22" ht="45" customHeight="1" x14ac:dyDescent="0.25">
      <c r="A30" s="51" t="s">
        <v>2</v>
      </c>
      <c r="B30" s="51"/>
      <c r="C30" s="2">
        <f>SUM(C31:C32)</f>
        <v>1938064.1099999999</v>
      </c>
      <c r="D30" s="2">
        <f t="shared" ref="D30:U30" si="8">SUM(D31:D32)</f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4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8">
        <f>C30+C321+C820</f>
        <v>16738889.109999999</v>
      </c>
    </row>
    <row r="31" spans="1:22" ht="20.100000000000001" customHeight="1" x14ac:dyDescent="0.25">
      <c r="A31" s="40" t="s">
        <v>1593</v>
      </c>
      <c r="B31" s="8" t="s">
        <v>77</v>
      </c>
      <c r="C31" s="2">
        <f t="shared" si="3"/>
        <v>53254.81</v>
      </c>
      <c r="D31" s="3">
        <f t="shared" ref="D31:D32" si="9"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5">
        <v>0</v>
      </c>
      <c r="N31" s="5">
        <v>0</v>
      </c>
      <c r="O31" s="3">
        <v>0</v>
      </c>
      <c r="P31" s="3">
        <v>0</v>
      </c>
      <c r="Q31" s="3">
        <v>0</v>
      </c>
      <c r="R31" s="3">
        <v>0</v>
      </c>
      <c r="S31" s="5">
        <v>0</v>
      </c>
      <c r="T31" s="3">
        <v>0</v>
      </c>
      <c r="U31" s="3">
        <v>53254.81</v>
      </c>
      <c r="V31" s="6" t="e">
        <f t="shared" ref="V31:V32" si="10">N31/M31</f>
        <v>#DIV/0!</v>
      </c>
    </row>
    <row r="32" spans="1:22" s="6" customFormat="1" ht="20.100000000000001" customHeight="1" x14ac:dyDescent="0.25">
      <c r="A32" s="40" t="s">
        <v>1594</v>
      </c>
      <c r="B32" s="8" t="s">
        <v>78</v>
      </c>
      <c r="C32" s="2">
        <f>D32+L32+N32+P32+R32+S32+T32+U32</f>
        <v>1884809.2999999998</v>
      </c>
      <c r="D32" s="3">
        <f t="shared" si="9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1">
        <v>0</v>
      </c>
      <c r="L32" s="5">
        <v>0</v>
      </c>
      <c r="M32" s="5">
        <v>496</v>
      </c>
      <c r="N32" s="5">
        <v>1830260.64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3">
        <v>0</v>
      </c>
      <c r="U32" s="5">
        <v>54548.66</v>
      </c>
      <c r="V32" s="6">
        <f t="shared" si="10"/>
        <v>3690.0416129032255</v>
      </c>
    </row>
    <row r="33" spans="1:22" ht="45" customHeight="1" x14ac:dyDescent="0.25">
      <c r="A33" s="51" t="s">
        <v>832</v>
      </c>
      <c r="B33" s="51"/>
      <c r="C33" s="2">
        <f>SUM(C34)</f>
        <v>239642.18</v>
      </c>
      <c r="D33" s="2">
        <f t="shared" ref="D33:U33" si="11">SUM(D34)</f>
        <v>0</v>
      </c>
      <c r="E33" s="2">
        <f t="shared" si="11"/>
        <v>0</v>
      </c>
      <c r="F33" s="2">
        <f t="shared" si="11"/>
        <v>0</v>
      </c>
      <c r="G33" s="2">
        <f t="shared" si="11"/>
        <v>0</v>
      </c>
      <c r="H33" s="2">
        <f t="shared" si="11"/>
        <v>0</v>
      </c>
      <c r="I33" s="2">
        <f t="shared" si="11"/>
        <v>0</v>
      </c>
      <c r="J33" s="2">
        <f t="shared" si="11"/>
        <v>0</v>
      </c>
      <c r="K33" s="14">
        <f t="shared" si="11"/>
        <v>0</v>
      </c>
      <c r="L33" s="2">
        <f t="shared" si="11"/>
        <v>0</v>
      </c>
      <c r="M33" s="2">
        <f t="shared" si="11"/>
        <v>95</v>
      </c>
      <c r="N33" s="2">
        <f t="shared" si="11"/>
        <v>223078.81</v>
      </c>
      <c r="O33" s="2">
        <f t="shared" si="11"/>
        <v>0</v>
      </c>
      <c r="P33" s="2">
        <f t="shared" si="11"/>
        <v>0</v>
      </c>
      <c r="Q33" s="2">
        <f t="shared" si="11"/>
        <v>0</v>
      </c>
      <c r="R33" s="2">
        <f t="shared" si="11"/>
        <v>0</v>
      </c>
      <c r="S33" s="2">
        <f t="shared" si="11"/>
        <v>0</v>
      </c>
      <c r="T33" s="2">
        <f t="shared" si="11"/>
        <v>0</v>
      </c>
      <c r="U33" s="2">
        <f t="shared" si="11"/>
        <v>16563.37</v>
      </c>
      <c r="V33" s="18">
        <f>C33+C327+C826</f>
        <v>21708493.579999998</v>
      </c>
    </row>
    <row r="34" spans="1:22" ht="20.100000000000001" customHeight="1" x14ac:dyDescent="0.25">
      <c r="A34" s="40" t="s">
        <v>1595</v>
      </c>
      <c r="B34" s="8" t="s">
        <v>87</v>
      </c>
      <c r="C34" s="2">
        <f t="shared" si="3"/>
        <v>239642.18</v>
      </c>
      <c r="D34" s="3">
        <f t="shared" ref="D34" si="12"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0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6">
        <f t="shared" ref="V34" si="13">N34/M34</f>
        <v>2348.1979999999999</v>
      </c>
    </row>
    <row r="35" spans="1:22" ht="45" customHeight="1" x14ac:dyDescent="0.25">
      <c r="A35" s="51" t="s">
        <v>93</v>
      </c>
      <c r="B35" s="51"/>
      <c r="C35" s="2">
        <f>SUM(C36:C37)</f>
        <v>6845927.2100000009</v>
      </c>
      <c r="D35" s="2">
        <f t="shared" ref="D35:U35" si="14">SUM(D36:D37)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14">
        <f t="shared" si="14"/>
        <v>4</v>
      </c>
      <c r="L35" s="2">
        <f t="shared" si="14"/>
        <v>6701917.2800000003</v>
      </c>
      <c r="M35" s="2">
        <f t="shared" si="14"/>
        <v>0</v>
      </c>
      <c r="N35" s="2">
        <f t="shared" si="14"/>
        <v>0</v>
      </c>
      <c r="O35" s="2">
        <f t="shared" si="14"/>
        <v>0</v>
      </c>
      <c r="P35" s="2">
        <f t="shared" si="14"/>
        <v>0</v>
      </c>
      <c r="Q35" s="2">
        <f t="shared" si="14"/>
        <v>0</v>
      </c>
      <c r="R35" s="2">
        <f t="shared" si="14"/>
        <v>0</v>
      </c>
      <c r="S35" s="2">
        <f t="shared" si="14"/>
        <v>0</v>
      </c>
      <c r="T35" s="2">
        <f t="shared" si="14"/>
        <v>0</v>
      </c>
      <c r="U35" s="2">
        <f t="shared" si="14"/>
        <v>144009.93</v>
      </c>
      <c r="V35" s="18">
        <f>C35+C333+C832</f>
        <v>27993011.330000002</v>
      </c>
    </row>
    <row r="36" spans="1:22" ht="21.95" customHeight="1" x14ac:dyDescent="0.25">
      <c r="A36" s="39" t="s">
        <v>1596</v>
      </c>
      <c r="B36" s="8" t="s">
        <v>96</v>
      </c>
      <c r="C36" s="2">
        <f t="shared" si="3"/>
        <v>3423021.89</v>
      </c>
      <c r="D36" s="3">
        <f t="shared" ref="D36:D37" si="15"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5">
        <v>0</v>
      </c>
      <c r="N36" s="5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6" t="e">
        <f t="shared" ref="V36:V37" si="16">N36/M36</f>
        <v>#DIV/0!</v>
      </c>
    </row>
    <row r="37" spans="1:22" ht="21.95" customHeight="1" x14ac:dyDescent="0.25">
      <c r="A37" s="39" t="s">
        <v>1597</v>
      </c>
      <c r="B37" s="8" t="s">
        <v>99</v>
      </c>
      <c r="C37" s="2">
        <f t="shared" si="3"/>
        <v>3422905.3200000003</v>
      </c>
      <c r="D37" s="3">
        <f t="shared" si="15"/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5">
        <v>0</v>
      </c>
      <c r="N37" s="5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6" t="e">
        <f t="shared" si="16"/>
        <v>#DIV/0!</v>
      </c>
    </row>
    <row r="38" spans="1:22" ht="45" customHeight="1" x14ac:dyDescent="0.25">
      <c r="A38" s="51" t="s">
        <v>102</v>
      </c>
      <c r="B38" s="51"/>
      <c r="C38" s="2">
        <f>SUM(C39:C42)</f>
        <v>14891706.060000001</v>
      </c>
      <c r="D38" s="2">
        <f t="shared" ref="D38:U38" si="17">SUM(D39:D42)</f>
        <v>0</v>
      </c>
      <c r="E38" s="2">
        <f t="shared" si="17"/>
        <v>0</v>
      </c>
      <c r="F38" s="2">
        <f t="shared" si="17"/>
        <v>0</v>
      </c>
      <c r="G38" s="2">
        <f t="shared" si="17"/>
        <v>0</v>
      </c>
      <c r="H38" s="2">
        <f t="shared" si="17"/>
        <v>0</v>
      </c>
      <c r="I38" s="2">
        <f t="shared" si="17"/>
        <v>0</v>
      </c>
      <c r="J38" s="2">
        <f t="shared" si="17"/>
        <v>0</v>
      </c>
      <c r="K38" s="14">
        <f t="shared" si="17"/>
        <v>0</v>
      </c>
      <c r="L38" s="2">
        <f t="shared" si="17"/>
        <v>0</v>
      </c>
      <c r="M38" s="2">
        <f t="shared" si="17"/>
        <v>3039.35</v>
      </c>
      <c r="N38" s="2">
        <f t="shared" si="17"/>
        <v>14685718.259999998</v>
      </c>
      <c r="O38" s="2">
        <f t="shared" si="17"/>
        <v>0</v>
      </c>
      <c r="P38" s="2">
        <f t="shared" si="17"/>
        <v>0</v>
      </c>
      <c r="Q38" s="2">
        <f t="shared" si="17"/>
        <v>0</v>
      </c>
      <c r="R38" s="2">
        <f t="shared" si="17"/>
        <v>0</v>
      </c>
      <c r="S38" s="2">
        <f t="shared" si="17"/>
        <v>0</v>
      </c>
      <c r="T38" s="2">
        <f t="shared" si="17"/>
        <v>0</v>
      </c>
      <c r="U38" s="2">
        <f t="shared" si="17"/>
        <v>205987.8</v>
      </c>
      <c r="V38" s="18">
        <f>C38+C339+C835</f>
        <v>54260016.060000002</v>
      </c>
    </row>
    <row r="39" spans="1:22" ht="21" customHeight="1" x14ac:dyDescent="0.25">
      <c r="A39" s="40" t="s">
        <v>1598</v>
      </c>
      <c r="B39" s="8" t="s">
        <v>108</v>
      </c>
      <c r="C39" s="2">
        <f t="shared" si="3"/>
        <v>4562400</v>
      </c>
      <c r="D39" s="3">
        <f t="shared" ref="D39:D42" si="18"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5">
        <v>828.4</v>
      </c>
      <c r="N39" s="5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6">
        <f t="shared" ref="V39:V42" si="19">N39/M39</f>
        <v>5507.4843070980205</v>
      </c>
    </row>
    <row r="40" spans="1:22" ht="21.95" customHeight="1" x14ac:dyDescent="0.25">
      <c r="A40" s="40" t="s">
        <v>1599</v>
      </c>
      <c r="B40" s="8" t="s">
        <v>110</v>
      </c>
      <c r="C40" s="2">
        <f t="shared" si="3"/>
        <v>3717862.4099999997</v>
      </c>
      <c r="D40" s="3">
        <f t="shared" si="18"/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5">
        <v>775.81</v>
      </c>
      <c r="N40" s="20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6">
        <f t="shared" si="19"/>
        <v>4703.4990654928397</v>
      </c>
    </row>
    <row r="41" spans="1:22" ht="21.95" customHeight="1" x14ac:dyDescent="0.25">
      <c r="A41" s="40" t="s">
        <v>1600</v>
      </c>
      <c r="B41" s="8" t="s">
        <v>111</v>
      </c>
      <c r="C41" s="2">
        <f t="shared" si="3"/>
        <v>3672396.42</v>
      </c>
      <c r="D41" s="3">
        <f t="shared" si="18"/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5">
        <v>821.23</v>
      </c>
      <c r="N41" s="20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6">
        <f t="shared" si="19"/>
        <v>4386.8403005248219</v>
      </c>
    </row>
    <row r="42" spans="1:22" ht="21.95" customHeight="1" x14ac:dyDescent="0.25">
      <c r="A42" s="40" t="s">
        <v>1601</v>
      </c>
      <c r="B42" s="8" t="s">
        <v>112</v>
      </c>
      <c r="C42" s="2">
        <f t="shared" si="3"/>
        <v>2939047.23</v>
      </c>
      <c r="D42" s="3">
        <f t="shared" si="18"/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0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6">
        <f t="shared" si="19"/>
        <v>4677.7081168249424</v>
      </c>
    </row>
    <row r="43" spans="1:22" ht="45" customHeight="1" x14ac:dyDescent="0.25">
      <c r="A43" s="51" t="s">
        <v>1407</v>
      </c>
      <c r="B43" s="51"/>
      <c r="C43" s="2">
        <f>SUM(C44)</f>
        <v>2818731.24</v>
      </c>
      <c r="D43" s="2">
        <f t="shared" ref="D43:U43" si="20">SUM(D44)</f>
        <v>0</v>
      </c>
      <c r="E43" s="2">
        <f t="shared" si="20"/>
        <v>0</v>
      </c>
      <c r="F43" s="2">
        <f t="shared" si="20"/>
        <v>0</v>
      </c>
      <c r="G43" s="2">
        <f t="shared" si="20"/>
        <v>0</v>
      </c>
      <c r="H43" s="2">
        <f t="shared" si="20"/>
        <v>0</v>
      </c>
      <c r="I43" s="2">
        <f t="shared" si="20"/>
        <v>0</v>
      </c>
      <c r="J43" s="2">
        <f t="shared" si="20"/>
        <v>0</v>
      </c>
      <c r="K43" s="14">
        <f t="shared" si="20"/>
        <v>0</v>
      </c>
      <c r="L43" s="2">
        <f t="shared" si="20"/>
        <v>0</v>
      </c>
      <c r="M43" s="2">
        <f t="shared" si="20"/>
        <v>585.66</v>
      </c>
      <c r="N43" s="2">
        <f t="shared" si="20"/>
        <v>2818731.24</v>
      </c>
      <c r="O43" s="2">
        <f t="shared" si="20"/>
        <v>0</v>
      </c>
      <c r="P43" s="2">
        <f t="shared" si="20"/>
        <v>0</v>
      </c>
      <c r="Q43" s="2">
        <f t="shared" si="20"/>
        <v>0</v>
      </c>
      <c r="R43" s="2">
        <f t="shared" si="20"/>
        <v>0</v>
      </c>
      <c r="S43" s="2">
        <f t="shared" si="20"/>
        <v>0</v>
      </c>
      <c r="T43" s="2">
        <f t="shared" si="20"/>
        <v>0</v>
      </c>
      <c r="U43" s="2">
        <f t="shared" si="20"/>
        <v>0</v>
      </c>
      <c r="V43" s="18">
        <f>C43</f>
        <v>2818731.24</v>
      </c>
    </row>
    <row r="44" spans="1:22" ht="21.95" customHeight="1" x14ac:dyDescent="0.25">
      <c r="A44" s="39" t="s">
        <v>1602</v>
      </c>
      <c r="B44" s="8" t="s">
        <v>1408</v>
      </c>
      <c r="C44" s="2">
        <f t="shared" si="3"/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1">
        <v>0</v>
      </c>
      <c r="L44" s="5">
        <v>0</v>
      </c>
      <c r="M44" s="5">
        <v>585.66</v>
      </c>
      <c r="N44" s="5">
        <v>2818731.24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6">
        <f>N44/M44</f>
        <v>4812.9140456920404</v>
      </c>
    </row>
    <row r="45" spans="1:22" ht="45" customHeight="1" x14ac:dyDescent="0.25">
      <c r="A45" s="51" t="s">
        <v>124</v>
      </c>
      <c r="B45" s="51"/>
      <c r="C45" s="2">
        <f>SUM(C46)</f>
        <v>3111460.64</v>
      </c>
      <c r="D45" s="2">
        <f t="shared" ref="D45:U45" si="21">SUM(D46)</f>
        <v>0</v>
      </c>
      <c r="E45" s="2">
        <f t="shared" si="21"/>
        <v>0</v>
      </c>
      <c r="F45" s="2">
        <f t="shared" si="21"/>
        <v>0</v>
      </c>
      <c r="G45" s="2">
        <f t="shared" si="21"/>
        <v>0</v>
      </c>
      <c r="H45" s="2">
        <f t="shared" si="21"/>
        <v>0</v>
      </c>
      <c r="I45" s="2">
        <f t="shared" si="21"/>
        <v>0</v>
      </c>
      <c r="J45" s="2">
        <f t="shared" si="21"/>
        <v>0</v>
      </c>
      <c r="K45" s="14">
        <f t="shared" si="21"/>
        <v>0</v>
      </c>
      <c r="L45" s="2">
        <f t="shared" si="21"/>
        <v>0</v>
      </c>
      <c r="M45" s="2">
        <f t="shared" si="21"/>
        <v>550</v>
      </c>
      <c r="N45" s="2">
        <f t="shared" si="21"/>
        <v>1812377.05</v>
      </c>
      <c r="O45" s="2">
        <f t="shared" si="21"/>
        <v>0</v>
      </c>
      <c r="P45" s="2">
        <f t="shared" si="21"/>
        <v>0</v>
      </c>
      <c r="Q45" s="2">
        <f t="shared" si="21"/>
        <v>600</v>
      </c>
      <c r="R45" s="2">
        <f t="shared" si="21"/>
        <v>1248132.32</v>
      </c>
      <c r="S45" s="2">
        <f t="shared" si="21"/>
        <v>0</v>
      </c>
      <c r="T45" s="2">
        <f t="shared" si="21"/>
        <v>0</v>
      </c>
      <c r="U45" s="2">
        <f t="shared" si="21"/>
        <v>50951.27</v>
      </c>
      <c r="V45" s="18">
        <f>C45+C351+C850</f>
        <v>13779185.640000001</v>
      </c>
    </row>
    <row r="46" spans="1:22" ht="21.95" customHeight="1" x14ac:dyDescent="0.25">
      <c r="A46" s="39" t="s">
        <v>1603</v>
      </c>
      <c r="B46" s="8" t="s">
        <v>1187</v>
      </c>
      <c r="C46" s="2">
        <f t="shared" si="3"/>
        <v>3111460.64</v>
      </c>
      <c r="D46" s="3">
        <f t="shared" ref="D46" si="22"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1">
        <v>0</v>
      </c>
      <c r="L46" s="5">
        <v>0</v>
      </c>
      <c r="M46" s="5">
        <v>550</v>
      </c>
      <c r="N46" s="5">
        <v>1812377.05</v>
      </c>
      <c r="O46" s="5">
        <v>0</v>
      </c>
      <c r="P46" s="5">
        <v>0</v>
      </c>
      <c r="Q46" s="5">
        <v>600</v>
      </c>
      <c r="R46" s="5">
        <v>1248132.32</v>
      </c>
      <c r="S46" s="5">
        <v>0</v>
      </c>
      <c r="T46" s="5">
        <v>0</v>
      </c>
      <c r="U46" s="5">
        <v>50951.27</v>
      </c>
      <c r="V46" s="6">
        <f t="shared" ref="V46" si="23">N46/M46</f>
        <v>3295.2310000000002</v>
      </c>
    </row>
    <row r="47" spans="1:22" ht="45" customHeight="1" x14ac:dyDescent="0.25">
      <c r="A47" s="51" t="s">
        <v>131</v>
      </c>
      <c r="B47" s="51"/>
      <c r="C47" s="2">
        <f>SUM(C48)</f>
        <v>43691.17</v>
      </c>
      <c r="D47" s="2">
        <f t="shared" ref="D47:U47" si="24">SUM(D48)</f>
        <v>0</v>
      </c>
      <c r="E47" s="2">
        <f t="shared" si="24"/>
        <v>0</v>
      </c>
      <c r="F47" s="2">
        <f t="shared" si="24"/>
        <v>0</v>
      </c>
      <c r="G47" s="2">
        <f t="shared" si="24"/>
        <v>0</v>
      </c>
      <c r="H47" s="2">
        <f t="shared" si="24"/>
        <v>0</v>
      </c>
      <c r="I47" s="2">
        <f t="shared" si="24"/>
        <v>0</v>
      </c>
      <c r="J47" s="2">
        <f t="shared" si="24"/>
        <v>0</v>
      </c>
      <c r="K47" s="14">
        <f t="shared" si="24"/>
        <v>0</v>
      </c>
      <c r="L47" s="2">
        <f t="shared" si="24"/>
        <v>0</v>
      </c>
      <c r="M47" s="2">
        <f t="shared" si="24"/>
        <v>0</v>
      </c>
      <c r="N47" s="2">
        <f t="shared" si="24"/>
        <v>0</v>
      </c>
      <c r="O47" s="2">
        <f t="shared" si="24"/>
        <v>0</v>
      </c>
      <c r="P47" s="2">
        <f t="shared" si="24"/>
        <v>0</v>
      </c>
      <c r="Q47" s="2">
        <f t="shared" si="24"/>
        <v>0</v>
      </c>
      <c r="R47" s="2">
        <f t="shared" si="24"/>
        <v>0</v>
      </c>
      <c r="S47" s="2">
        <f t="shared" si="24"/>
        <v>0</v>
      </c>
      <c r="T47" s="2">
        <f t="shared" si="24"/>
        <v>0</v>
      </c>
      <c r="U47" s="2">
        <f t="shared" si="24"/>
        <v>43691.17</v>
      </c>
      <c r="V47" s="18">
        <f>C47+C357</f>
        <v>7615991.1699999999</v>
      </c>
    </row>
    <row r="48" spans="1:22" ht="21.95" customHeight="1" x14ac:dyDescent="0.25">
      <c r="A48" s="40" t="s">
        <v>1604</v>
      </c>
      <c r="B48" s="8" t="s">
        <v>128</v>
      </c>
      <c r="C48" s="2">
        <f t="shared" si="3"/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5">
        <v>0</v>
      </c>
      <c r="S48" s="3">
        <v>0</v>
      </c>
      <c r="T48" s="3">
        <v>0</v>
      </c>
      <c r="U48" s="3">
        <v>43691.17</v>
      </c>
      <c r="V48" s="6" t="e">
        <f>N48/M48</f>
        <v>#DIV/0!</v>
      </c>
    </row>
    <row r="49" spans="1:22" ht="45" customHeight="1" x14ac:dyDescent="0.25">
      <c r="A49" s="51" t="s">
        <v>133</v>
      </c>
      <c r="B49" s="51"/>
      <c r="C49" s="2">
        <f>SUM(C50:C52)</f>
        <v>16217698.190000001</v>
      </c>
      <c r="D49" s="2">
        <f t="shared" ref="D49:U49" si="25">SUM(D50:D52)</f>
        <v>0</v>
      </c>
      <c r="E49" s="2">
        <f t="shared" si="25"/>
        <v>0</v>
      </c>
      <c r="F49" s="2">
        <f t="shared" si="25"/>
        <v>0</v>
      </c>
      <c r="G49" s="2">
        <f t="shared" si="25"/>
        <v>0</v>
      </c>
      <c r="H49" s="2">
        <f t="shared" si="25"/>
        <v>0</v>
      </c>
      <c r="I49" s="2">
        <f t="shared" si="25"/>
        <v>0</v>
      </c>
      <c r="J49" s="2">
        <f t="shared" si="25"/>
        <v>0</v>
      </c>
      <c r="K49" s="14">
        <f t="shared" si="25"/>
        <v>0</v>
      </c>
      <c r="L49" s="2">
        <f t="shared" si="25"/>
        <v>0</v>
      </c>
      <c r="M49" s="2">
        <f t="shared" si="25"/>
        <v>3389.0600000000004</v>
      </c>
      <c r="N49" s="2">
        <f t="shared" si="25"/>
        <v>9709603.2300000004</v>
      </c>
      <c r="O49" s="2">
        <f t="shared" si="25"/>
        <v>0</v>
      </c>
      <c r="P49" s="2">
        <f t="shared" si="25"/>
        <v>0</v>
      </c>
      <c r="Q49" s="2">
        <f t="shared" si="25"/>
        <v>2934</v>
      </c>
      <c r="R49" s="2">
        <f t="shared" si="25"/>
        <v>6223562.8200000003</v>
      </c>
      <c r="S49" s="2">
        <f t="shared" si="25"/>
        <v>0</v>
      </c>
      <c r="T49" s="2">
        <f t="shared" si="25"/>
        <v>0</v>
      </c>
      <c r="U49" s="2">
        <f t="shared" si="25"/>
        <v>284532.14</v>
      </c>
      <c r="V49" s="18">
        <f>C49+C364</f>
        <v>19811548.190000001</v>
      </c>
    </row>
    <row r="50" spans="1:22" ht="21.95" customHeight="1" x14ac:dyDescent="0.25">
      <c r="A50" s="40" t="s">
        <v>1605</v>
      </c>
      <c r="B50" s="8" t="s">
        <v>134</v>
      </c>
      <c r="C50" s="2">
        <f t="shared" si="3"/>
        <v>3640602.32</v>
      </c>
      <c r="D50" s="3">
        <f t="shared" ref="D50:D52" si="26"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5">
        <v>0</v>
      </c>
      <c r="S50" s="3">
        <v>0</v>
      </c>
      <c r="T50" s="3">
        <v>0</v>
      </c>
      <c r="U50" s="3">
        <v>59673.34</v>
      </c>
      <c r="V50" s="6">
        <f t="shared" ref="V50:V52" si="27">N50/M50</f>
        <v>3139.2932110670827</v>
      </c>
    </row>
    <row r="51" spans="1:22" ht="21.95" customHeight="1" x14ac:dyDescent="0.25">
      <c r="A51" s="40" t="s">
        <v>1606</v>
      </c>
      <c r="B51" s="8" t="s">
        <v>135</v>
      </c>
      <c r="C51" s="2">
        <f t="shared" si="3"/>
        <v>3997560.56</v>
      </c>
      <c r="D51" s="3">
        <f t="shared" si="26"/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5">
        <v>0</v>
      </c>
      <c r="S51" s="3">
        <v>0</v>
      </c>
      <c r="T51" s="3">
        <v>0</v>
      </c>
      <c r="U51" s="3">
        <v>60269.14</v>
      </c>
      <c r="V51" s="6">
        <f t="shared" si="27"/>
        <v>3036.5339801332671</v>
      </c>
    </row>
    <row r="52" spans="1:22" ht="21.95" customHeight="1" x14ac:dyDescent="0.25">
      <c r="A52" s="40" t="s">
        <v>1607</v>
      </c>
      <c r="B52" s="8" t="s">
        <v>136</v>
      </c>
      <c r="C52" s="2">
        <f t="shared" si="3"/>
        <v>8579535.3100000005</v>
      </c>
      <c r="D52" s="3">
        <f t="shared" si="26"/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5">
        <v>6223562.8200000003</v>
      </c>
      <c r="S52" s="3">
        <v>0</v>
      </c>
      <c r="T52" s="3">
        <v>0</v>
      </c>
      <c r="U52" s="3">
        <v>164589.66</v>
      </c>
      <c r="V52" s="6">
        <f t="shared" si="27"/>
        <v>2302.5015550465464</v>
      </c>
    </row>
    <row r="53" spans="1:22" ht="45" customHeight="1" x14ac:dyDescent="0.25">
      <c r="A53" s="51" t="s">
        <v>1170</v>
      </c>
      <c r="B53" s="51"/>
      <c r="C53" s="2">
        <f>SUM(C54)</f>
        <v>1199702.6400000001</v>
      </c>
      <c r="D53" s="2">
        <f t="shared" ref="D53:U53" si="28">SUM(D54)</f>
        <v>0</v>
      </c>
      <c r="E53" s="2">
        <f t="shared" si="28"/>
        <v>0</v>
      </c>
      <c r="F53" s="2">
        <f t="shared" si="28"/>
        <v>0</v>
      </c>
      <c r="G53" s="2">
        <f t="shared" si="28"/>
        <v>0</v>
      </c>
      <c r="H53" s="2">
        <f t="shared" si="28"/>
        <v>0</v>
      </c>
      <c r="I53" s="2">
        <f t="shared" si="28"/>
        <v>0</v>
      </c>
      <c r="J53" s="2">
        <f t="shared" si="28"/>
        <v>0</v>
      </c>
      <c r="K53" s="14">
        <f t="shared" si="28"/>
        <v>0</v>
      </c>
      <c r="L53" s="2">
        <f t="shared" si="28"/>
        <v>0</v>
      </c>
      <c r="M53" s="2">
        <f t="shared" si="28"/>
        <v>367.1</v>
      </c>
      <c r="N53" s="2">
        <f t="shared" si="28"/>
        <v>1172693.07</v>
      </c>
      <c r="O53" s="2">
        <f t="shared" si="28"/>
        <v>0</v>
      </c>
      <c r="P53" s="2">
        <f t="shared" si="28"/>
        <v>0</v>
      </c>
      <c r="Q53" s="2">
        <f t="shared" si="28"/>
        <v>0</v>
      </c>
      <c r="R53" s="2">
        <f t="shared" si="28"/>
        <v>0</v>
      </c>
      <c r="S53" s="2">
        <f t="shared" si="28"/>
        <v>0</v>
      </c>
      <c r="T53" s="2">
        <f t="shared" si="28"/>
        <v>0</v>
      </c>
      <c r="U53" s="2">
        <f t="shared" si="28"/>
        <v>27009.57</v>
      </c>
      <c r="V53" s="18">
        <f>C53</f>
        <v>1199702.6400000001</v>
      </c>
    </row>
    <row r="54" spans="1:22" ht="21.95" customHeight="1" x14ac:dyDescent="0.25">
      <c r="A54" s="40" t="s">
        <v>1608</v>
      </c>
      <c r="B54" s="8" t="s">
        <v>1171</v>
      </c>
      <c r="C54" s="2">
        <f t="shared" si="3"/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5">
        <v>0</v>
      </c>
      <c r="S54" s="3">
        <v>0</v>
      </c>
      <c r="T54" s="3">
        <v>0</v>
      </c>
      <c r="U54" s="3">
        <v>27009.57</v>
      </c>
      <c r="V54" s="6">
        <f>N54/M54</f>
        <v>3194.4785344592756</v>
      </c>
    </row>
    <row r="55" spans="1:22" ht="45" customHeight="1" x14ac:dyDescent="0.25">
      <c r="A55" s="61" t="s">
        <v>132</v>
      </c>
      <c r="B55" s="62"/>
      <c r="C55" s="2">
        <f>SUM(C56)</f>
        <v>1474519.93</v>
      </c>
      <c r="D55" s="2">
        <f t="shared" ref="D55:U55" si="29">SUM(D56)</f>
        <v>0</v>
      </c>
      <c r="E55" s="2">
        <f t="shared" si="29"/>
        <v>0</v>
      </c>
      <c r="F55" s="2">
        <f t="shared" si="29"/>
        <v>0</v>
      </c>
      <c r="G55" s="2">
        <f t="shared" si="29"/>
        <v>0</v>
      </c>
      <c r="H55" s="2">
        <f t="shared" si="29"/>
        <v>0</v>
      </c>
      <c r="I55" s="2">
        <f t="shared" si="29"/>
        <v>0</v>
      </c>
      <c r="J55" s="2">
        <f t="shared" si="29"/>
        <v>0</v>
      </c>
      <c r="K55" s="14">
        <f t="shared" si="29"/>
        <v>0</v>
      </c>
      <c r="L55" s="2">
        <f t="shared" si="29"/>
        <v>0</v>
      </c>
      <c r="M55" s="2">
        <f t="shared" si="29"/>
        <v>336.44</v>
      </c>
      <c r="N55" s="2">
        <f t="shared" si="29"/>
        <v>1474519.93</v>
      </c>
      <c r="O55" s="2">
        <f t="shared" si="29"/>
        <v>0</v>
      </c>
      <c r="P55" s="2">
        <f t="shared" si="29"/>
        <v>0</v>
      </c>
      <c r="Q55" s="2">
        <f t="shared" si="29"/>
        <v>0</v>
      </c>
      <c r="R55" s="2">
        <f t="shared" si="29"/>
        <v>0</v>
      </c>
      <c r="S55" s="2">
        <f t="shared" si="29"/>
        <v>0</v>
      </c>
      <c r="T55" s="2">
        <f t="shared" si="29"/>
        <v>0</v>
      </c>
      <c r="U55" s="2">
        <f t="shared" si="29"/>
        <v>0</v>
      </c>
      <c r="V55" s="18" t="e">
        <f>C55+#REF!</f>
        <v>#REF!</v>
      </c>
    </row>
    <row r="56" spans="1:22" ht="21" customHeight="1" x14ac:dyDescent="0.25">
      <c r="A56" s="40" t="s">
        <v>1609</v>
      </c>
      <c r="B56" s="8" t="s">
        <v>1397</v>
      </c>
      <c r="C56" s="2">
        <f t="shared" si="3"/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6">
        <f>N56/M56</f>
        <v>4382.7129057187012</v>
      </c>
    </row>
    <row r="57" spans="1:22" ht="45" customHeight="1" x14ac:dyDescent="0.25">
      <c r="A57" s="51" t="s">
        <v>139</v>
      </c>
      <c r="B57" s="51"/>
      <c r="C57" s="2">
        <f t="shared" ref="C57:U57" si="30">SUM(C58:C58)</f>
        <v>642013.23</v>
      </c>
      <c r="D57" s="2">
        <f t="shared" si="30"/>
        <v>0</v>
      </c>
      <c r="E57" s="2">
        <f t="shared" si="30"/>
        <v>0</v>
      </c>
      <c r="F57" s="2">
        <f t="shared" si="30"/>
        <v>0</v>
      </c>
      <c r="G57" s="2">
        <f t="shared" si="30"/>
        <v>0</v>
      </c>
      <c r="H57" s="2">
        <f t="shared" si="30"/>
        <v>0</v>
      </c>
      <c r="I57" s="2">
        <f t="shared" si="30"/>
        <v>0</v>
      </c>
      <c r="J57" s="2">
        <f t="shared" si="30"/>
        <v>0</v>
      </c>
      <c r="K57" s="14">
        <f t="shared" si="30"/>
        <v>0</v>
      </c>
      <c r="L57" s="2">
        <f t="shared" si="30"/>
        <v>0</v>
      </c>
      <c r="M57" s="2">
        <f t="shared" si="30"/>
        <v>374.54</v>
      </c>
      <c r="N57" s="2">
        <f t="shared" si="30"/>
        <v>592997.37</v>
      </c>
      <c r="O57" s="2">
        <f t="shared" si="30"/>
        <v>0</v>
      </c>
      <c r="P57" s="2">
        <f t="shared" si="30"/>
        <v>0</v>
      </c>
      <c r="Q57" s="2">
        <f t="shared" si="30"/>
        <v>0</v>
      </c>
      <c r="R57" s="2">
        <f t="shared" si="30"/>
        <v>0</v>
      </c>
      <c r="S57" s="2">
        <f t="shared" si="30"/>
        <v>0</v>
      </c>
      <c r="T57" s="2">
        <f t="shared" si="30"/>
        <v>0</v>
      </c>
      <c r="U57" s="2">
        <f t="shared" si="30"/>
        <v>49015.86</v>
      </c>
      <c r="V57" s="18">
        <f>C57+C368</f>
        <v>5722185.7100000009</v>
      </c>
    </row>
    <row r="58" spans="1:22" ht="20.100000000000001" customHeight="1" x14ac:dyDescent="0.25">
      <c r="A58" s="40" t="s">
        <v>1610</v>
      </c>
      <c r="B58" s="8" t="s">
        <v>141</v>
      </c>
      <c r="C58" s="2">
        <f t="shared" si="3"/>
        <v>642013.23</v>
      </c>
      <c r="D58" s="3">
        <f t="shared" ref="D58" si="31"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5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6">
        <f t="shared" ref="V58" si="32">N58/M58</f>
        <v>1583.2684626475143</v>
      </c>
    </row>
    <row r="59" spans="1:22" ht="45" customHeight="1" x14ac:dyDescent="0.25">
      <c r="A59" s="51" t="s">
        <v>145</v>
      </c>
      <c r="B59" s="51"/>
      <c r="C59" s="2">
        <f>SUM(C60)</f>
        <v>4680715.3900000006</v>
      </c>
      <c r="D59" s="2">
        <f t="shared" ref="D59:U59" si="33">SUM(D60)</f>
        <v>1109206.1199999999</v>
      </c>
      <c r="E59" s="2">
        <f t="shared" si="33"/>
        <v>343775.49</v>
      </c>
      <c r="F59" s="2">
        <f t="shared" si="33"/>
        <v>579500.93999999994</v>
      </c>
      <c r="G59" s="2">
        <f t="shared" si="33"/>
        <v>111741.49</v>
      </c>
      <c r="H59" s="2">
        <f t="shared" si="33"/>
        <v>0</v>
      </c>
      <c r="I59" s="2">
        <f t="shared" si="33"/>
        <v>74188.2</v>
      </c>
      <c r="J59" s="2">
        <f t="shared" si="33"/>
        <v>0</v>
      </c>
      <c r="K59" s="14">
        <f t="shared" si="33"/>
        <v>0</v>
      </c>
      <c r="L59" s="2">
        <f t="shared" si="33"/>
        <v>0</v>
      </c>
      <c r="M59" s="2">
        <f t="shared" si="33"/>
        <v>684</v>
      </c>
      <c r="N59" s="2">
        <f t="shared" si="33"/>
        <v>3414950.45</v>
      </c>
      <c r="O59" s="2">
        <f t="shared" si="33"/>
        <v>0</v>
      </c>
      <c r="P59" s="2">
        <f t="shared" si="33"/>
        <v>0</v>
      </c>
      <c r="Q59" s="2">
        <f t="shared" si="33"/>
        <v>0</v>
      </c>
      <c r="R59" s="2">
        <f t="shared" si="33"/>
        <v>0</v>
      </c>
      <c r="S59" s="2">
        <f t="shared" si="33"/>
        <v>0</v>
      </c>
      <c r="T59" s="2">
        <f t="shared" si="33"/>
        <v>0</v>
      </c>
      <c r="U59" s="2">
        <f t="shared" si="33"/>
        <v>156558.82</v>
      </c>
      <c r="V59" s="18">
        <f>C59</f>
        <v>4680715.3900000006</v>
      </c>
    </row>
    <row r="60" spans="1:22" ht="21.95" customHeight="1" x14ac:dyDescent="0.25">
      <c r="A60" s="40" t="s">
        <v>1611</v>
      </c>
      <c r="B60" s="8" t="s">
        <v>1186</v>
      </c>
      <c r="C60" s="2">
        <f t="shared" ref="C60:C121" si="34"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6">
        <f>N60/M60</f>
        <v>4992.6176169590644</v>
      </c>
    </row>
    <row r="61" spans="1:22" ht="45" customHeight="1" x14ac:dyDescent="0.25">
      <c r="A61" s="51" t="s">
        <v>148</v>
      </c>
      <c r="B61" s="51"/>
      <c r="C61" s="2">
        <f>SUM(C62:C63)</f>
        <v>4603498.0599999996</v>
      </c>
      <c r="D61" s="2">
        <f t="shared" ref="D61:U61" si="35">SUM(D62:D63)</f>
        <v>0</v>
      </c>
      <c r="E61" s="2">
        <f t="shared" si="35"/>
        <v>0</v>
      </c>
      <c r="F61" s="2">
        <f t="shared" si="35"/>
        <v>0</v>
      </c>
      <c r="G61" s="2">
        <f t="shared" si="35"/>
        <v>0</v>
      </c>
      <c r="H61" s="2">
        <f t="shared" si="35"/>
        <v>0</v>
      </c>
      <c r="I61" s="2">
        <f t="shared" si="35"/>
        <v>0</v>
      </c>
      <c r="J61" s="2">
        <f t="shared" si="35"/>
        <v>0</v>
      </c>
      <c r="K61" s="14">
        <f t="shared" si="35"/>
        <v>0</v>
      </c>
      <c r="L61" s="2">
        <f t="shared" si="35"/>
        <v>0</v>
      </c>
      <c r="M61" s="2">
        <f t="shared" si="35"/>
        <v>1228.1500000000001</v>
      </c>
      <c r="N61" s="2">
        <f t="shared" si="35"/>
        <v>4458689.3599999994</v>
      </c>
      <c r="O61" s="2">
        <f t="shared" si="35"/>
        <v>0</v>
      </c>
      <c r="P61" s="2">
        <f t="shared" si="35"/>
        <v>0</v>
      </c>
      <c r="Q61" s="2">
        <f t="shared" si="35"/>
        <v>0</v>
      </c>
      <c r="R61" s="2">
        <f t="shared" si="35"/>
        <v>0</v>
      </c>
      <c r="S61" s="2">
        <f t="shared" si="35"/>
        <v>0</v>
      </c>
      <c r="T61" s="2">
        <f t="shared" si="35"/>
        <v>0</v>
      </c>
      <c r="U61" s="2">
        <f t="shared" si="35"/>
        <v>144808.70000000001</v>
      </c>
      <c r="V61" s="18">
        <f>C61+C377+C862</f>
        <v>33619848.060000002</v>
      </c>
    </row>
    <row r="62" spans="1:22" ht="21.95" customHeight="1" x14ac:dyDescent="0.25">
      <c r="A62" s="40" t="s">
        <v>1612</v>
      </c>
      <c r="B62" s="8" t="s">
        <v>153</v>
      </c>
      <c r="C62" s="2">
        <f t="shared" si="34"/>
        <v>3593361.92</v>
      </c>
      <c r="D62" s="3">
        <f t="shared" ref="D62:D63" si="36"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5">
        <v>0</v>
      </c>
      <c r="S62" s="3">
        <v>0</v>
      </c>
      <c r="T62" s="3">
        <v>0</v>
      </c>
      <c r="U62" s="3">
        <v>121357.1</v>
      </c>
      <c r="V62" s="6">
        <f t="shared" ref="V62:V63" si="37">N62/M62</f>
        <v>4164.8231512025432</v>
      </c>
    </row>
    <row r="63" spans="1:22" ht="21.95" customHeight="1" x14ac:dyDescent="0.25">
      <c r="A63" s="40" t="s">
        <v>1613</v>
      </c>
      <c r="B63" s="8" t="s">
        <v>157</v>
      </c>
      <c r="C63" s="2">
        <f t="shared" si="34"/>
        <v>1010136.14</v>
      </c>
      <c r="D63" s="3">
        <f t="shared" si="36"/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5">
        <v>0</v>
      </c>
      <c r="S63" s="3">
        <v>0</v>
      </c>
      <c r="T63" s="3">
        <v>0</v>
      </c>
      <c r="U63" s="3">
        <v>23451.599999999999</v>
      </c>
      <c r="V63" s="6">
        <f t="shared" si="37"/>
        <v>2501.1014955640053</v>
      </c>
    </row>
    <row r="64" spans="1:22" ht="45" customHeight="1" x14ac:dyDescent="0.25">
      <c r="A64" s="51" t="s">
        <v>1563</v>
      </c>
      <c r="B64" s="51"/>
      <c r="C64" s="2">
        <f>SUM(C65)</f>
        <v>1038347.45</v>
      </c>
      <c r="D64" s="2">
        <f t="shared" ref="D64:U64" si="38">SUM(D65)</f>
        <v>0</v>
      </c>
      <c r="E64" s="2">
        <f t="shared" si="38"/>
        <v>0</v>
      </c>
      <c r="F64" s="2">
        <f t="shared" si="38"/>
        <v>0</v>
      </c>
      <c r="G64" s="2">
        <f t="shared" si="38"/>
        <v>0</v>
      </c>
      <c r="H64" s="2">
        <f t="shared" si="38"/>
        <v>0</v>
      </c>
      <c r="I64" s="2">
        <f t="shared" si="38"/>
        <v>0</v>
      </c>
      <c r="J64" s="2">
        <f t="shared" si="38"/>
        <v>0</v>
      </c>
      <c r="K64" s="14">
        <f t="shared" si="38"/>
        <v>0</v>
      </c>
      <c r="L64" s="2">
        <f t="shared" si="38"/>
        <v>0</v>
      </c>
      <c r="M64" s="2">
        <f t="shared" si="38"/>
        <v>297</v>
      </c>
      <c r="N64" s="2">
        <f t="shared" si="38"/>
        <v>989234.72</v>
      </c>
      <c r="O64" s="2">
        <f t="shared" si="38"/>
        <v>0</v>
      </c>
      <c r="P64" s="2">
        <f t="shared" si="38"/>
        <v>0</v>
      </c>
      <c r="Q64" s="2">
        <f t="shared" si="38"/>
        <v>0</v>
      </c>
      <c r="R64" s="2">
        <f t="shared" si="38"/>
        <v>0</v>
      </c>
      <c r="S64" s="2">
        <f t="shared" si="38"/>
        <v>0</v>
      </c>
      <c r="T64" s="2">
        <f t="shared" si="38"/>
        <v>0</v>
      </c>
      <c r="U64" s="2">
        <f t="shared" si="38"/>
        <v>49112.73</v>
      </c>
      <c r="V64" s="18">
        <f>C64+C384+C867</f>
        <v>3668887.45</v>
      </c>
    </row>
    <row r="65" spans="1:22" ht="21.95" customHeight="1" x14ac:dyDescent="0.25">
      <c r="A65" s="40" t="s">
        <v>1614</v>
      </c>
      <c r="B65" s="8" t="s">
        <v>158</v>
      </c>
      <c r="C65" s="2">
        <f t="shared" si="34"/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5">
        <v>0</v>
      </c>
      <c r="S65" s="3">
        <v>0</v>
      </c>
      <c r="T65" s="3">
        <v>0</v>
      </c>
      <c r="U65" s="3">
        <v>49112.73</v>
      </c>
      <c r="V65" s="6">
        <f>N65/M65</f>
        <v>3330.756632996633</v>
      </c>
    </row>
    <row r="66" spans="1:22" ht="45" customHeight="1" x14ac:dyDescent="0.25">
      <c r="A66" s="51" t="s">
        <v>161</v>
      </c>
      <c r="B66" s="51"/>
      <c r="C66" s="2">
        <f>SUM(C67)</f>
        <v>2269053.58</v>
      </c>
      <c r="D66" s="2">
        <f t="shared" ref="D66:U66" si="39">SUM(D67)</f>
        <v>0</v>
      </c>
      <c r="E66" s="2">
        <f t="shared" si="39"/>
        <v>0</v>
      </c>
      <c r="F66" s="2">
        <f t="shared" si="39"/>
        <v>0</v>
      </c>
      <c r="G66" s="2">
        <f t="shared" si="39"/>
        <v>0</v>
      </c>
      <c r="H66" s="2">
        <f t="shared" si="39"/>
        <v>0</v>
      </c>
      <c r="I66" s="2">
        <f t="shared" si="39"/>
        <v>0</v>
      </c>
      <c r="J66" s="2">
        <f t="shared" si="39"/>
        <v>0</v>
      </c>
      <c r="K66" s="14">
        <f t="shared" si="39"/>
        <v>0</v>
      </c>
      <c r="L66" s="2">
        <f t="shared" si="39"/>
        <v>0</v>
      </c>
      <c r="M66" s="2">
        <f t="shared" si="39"/>
        <v>710</v>
      </c>
      <c r="N66" s="2">
        <f t="shared" si="39"/>
        <v>2234087.79</v>
      </c>
      <c r="O66" s="2">
        <f t="shared" si="39"/>
        <v>0</v>
      </c>
      <c r="P66" s="2">
        <f t="shared" si="39"/>
        <v>0</v>
      </c>
      <c r="Q66" s="2">
        <f t="shared" si="39"/>
        <v>0</v>
      </c>
      <c r="R66" s="2">
        <f t="shared" si="39"/>
        <v>0</v>
      </c>
      <c r="S66" s="2">
        <f t="shared" si="39"/>
        <v>0</v>
      </c>
      <c r="T66" s="2">
        <f t="shared" si="39"/>
        <v>0</v>
      </c>
      <c r="U66" s="2">
        <f t="shared" si="39"/>
        <v>34965.79</v>
      </c>
      <c r="V66" s="18">
        <f>C66</f>
        <v>2269053.58</v>
      </c>
    </row>
    <row r="67" spans="1:22" ht="21.95" customHeight="1" x14ac:dyDescent="0.25">
      <c r="A67" s="40" t="s">
        <v>1615</v>
      </c>
      <c r="B67" s="8" t="s">
        <v>162</v>
      </c>
      <c r="C67" s="2">
        <f t="shared" si="34"/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6">
        <f>N67/M67</f>
        <v>3146.6025211267606</v>
      </c>
    </row>
    <row r="68" spans="1:22" ht="45" customHeight="1" x14ac:dyDescent="0.25">
      <c r="A68" s="51" t="s">
        <v>163</v>
      </c>
      <c r="B68" s="51"/>
      <c r="C68" s="2">
        <f>SUM(C69:C85)</f>
        <v>94628257.640000015</v>
      </c>
      <c r="D68" s="2">
        <f t="shared" ref="D68:U68" si="40">SUM(D70:D85)</f>
        <v>23558992.600000001</v>
      </c>
      <c r="E68" s="2">
        <f t="shared" si="40"/>
        <v>3114461.6900000004</v>
      </c>
      <c r="F68" s="2">
        <f t="shared" si="40"/>
        <v>12001018.830000002</v>
      </c>
      <c r="G68" s="2">
        <f t="shared" si="40"/>
        <v>1803595.94</v>
      </c>
      <c r="H68" s="2">
        <f t="shared" si="40"/>
        <v>4526478.5600000005</v>
      </c>
      <c r="I68" s="2">
        <f t="shared" si="40"/>
        <v>2113437.58</v>
      </c>
      <c r="J68" s="2">
        <f t="shared" si="40"/>
        <v>0</v>
      </c>
      <c r="K68" s="14">
        <f t="shared" si="40"/>
        <v>0</v>
      </c>
      <c r="L68" s="2">
        <f t="shared" si="40"/>
        <v>0</v>
      </c>
      <c r="M68" s="2">
        <f t="shared" si="40"/>
        <v>7767.29</v>
      </c>
      <c r="N68" s="2">
        <f t="shared" si="40"/>
        <v>27044728.239999998</v>
      </c>
      <c r="O68" s="2">
        <f t="shared" si="40"/>
        <v>0</v>
      </c>
      <c r="P68" s="2">
        <f t="shared" si="40"/>
        <v>0</v>
      </c>
      <c r="Q68" s="2">
        <f t="shared" si="40"/>
        <v>12887.32</v>
      </c>
      <c r="R68" s="2">
        <f t="shared" si="40"/>
        <v>26359769.379999999</v>
      </c>
      <c r="S68" s="2">
        <f t="shared" si="40"/>
        <v>0</v>
      </c>
      <c r="T68" s="2">
        <f t="shared" si="40"/>
        <v>0</v>
      </c>
      <c r="U68" s="2">
        <f t="shared" si="40"/>
        <v>2357825.8699999996</v>
      </c>
      <c r="V68" s="18">
        <f>C68+C386+C869</f>
        <v>342809250.38999999</v>
      </c>
    </row>
    <row r="69" spans="1:22" ht="21.95" customHeight="1" x14ac:dyDescent="0.25">
      <c r="A69" s="40" t="s">
        <v>1685</v>
      </c>
      <c r="B69" s="21" t="s">
        <v>165</v>
      </c>
      <c r="C69" s="2">
        <f>D69+L69+N69+P69+R69+S69+T69+U69</f>
        <v>15306941.550000001</v>
      </c>
      <c r="D69" s="3">
        <f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5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6">
        <f>N69/M69</f>
        <v>2851.3543624855565</v>
      </c>
    </row>
    <row r="70" spans="1:22" ht="21.95" customHeight="1" x14ac:dyDescent="0.25">
      <c r="A70" s="40" t="s">
        <v>1686</v>
      </c>
      <c r="B70" s="21" t="s">
        <v>166</v>
      </c>
      <c r="C70" s="2">
        <f t="shared" si="34"/>
        <v>16536342.01</v>
      </c>
      <c r="D70" s="3">
        <f t="shared" ref="D70:D85" si="41">SUM(E70:J70)</f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5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6">
        <f t="shared" ref="V70:V85" si="42">N70/M70</f>
        <v>2811.6659122991782</v>
      </c>
    </row>
    <row r="71" spans="1:22" ht="21.95" customHeight="1" x14ac:dyDescent="0.25">
      <c r="A71" s="40" t="s">
        <v>1687</v>
      </c>
      <c r="B71" s="21" t="s">
        <v>169</v>
      </c>
      <c r="C71" s="2">
        <f>D71+L71+N71+P71+R71+S71+T71+U71</f>
        <v>12696722.070000002</v>
      </c>
      <c r="D71" s="3">
        <f>SUM(E71:J71)</f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5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6">
        <f>N71/M71</f>
        <v>3157.7174881084911</v>
      </c>
    </row>
    <row r="72" spans="1:22" ht="21.95" customHeight="1" x14ac:dyDescent="0.25">
      <c r="A72" s="40" t="s">
        <v>1688</v>
      </c>
      <c r="B72" s="21" t="s">
        <v>170</v>
      </c>
      <c r="C72" s="2">
        <f>D72+L72+N72+P72+R72+S72+T72+U72</f>
        <v>15553270.66</v>
      </c>
      <c r="D72" s="3">
        <f>SUM(E72:J72)</f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 t="shared" ref="J72" si="43"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5">
        <v>0</v>
      </c>
      <c r="R72" s="3">
        <v>0</v>
      </c>
      <c r="S72" s="3">
        <v>0</v>
      </c>
      <c r="T72" s="3">
        <v>0</v>
      </c>
      <c r="U72" s="3">
        <v>198000</v>
      </c>
      <c r="V72" s="6">
        <f>N72/M72</f>
        <v>3186.1881455693201</v>
      </c>
    </row>
    <row r="73" spans="1:22" ht="21.95" customHeight="1" x14ac:dyDescent="0.25">
      <c r="A73" s="40" t="s">
        <v>1689</v>
      </c>
      <c r="B73" s="21" t="s">
        <v>167</v>
      </c>
      <c r="C73" s="2">
        <f t="shared" si="34"/>
        <v>3384995.6</v>
      </c>
      <c r="D73" s="3">
        <f t="shared" si="41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5">
        <v>0</v>
      </c>
      <c r="R73" s="3">
        <v>0</v>
      </c>
      <c r="S73" s="3">
        <v>0</v>
      </c>
      <c r="T73" s="3">
        <v>0</v>
      </c>
      <c r="U73" s="3">
        <v>95649.2</v>
      </c>
      <c r="V73" s="6">
        <f t="shared" si="42"/>
        <v>3187.0423408584443</v>
      </c>
    </row>
    <row r="74" spans="1:22" ht="21.95" customHeight="1" x14ac:dyDescent="0.25">
      <c r="A74" s="40" t="s">
        <v>1690</v>
      </c>
      <c r="B74" s="21" t="s">
        <v>168</v>
      </c>
      <c r="C74" s="2">
        <f t="shared" si="34"/>
        <v>9965702</v>
      </c>
      <c r="D74" s="3">
        <f t="shared" si="41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 t="shared" ref="J74" si="44">350*0</f>
        <v>0</v>
      </c>
      <c r="K74" s="4">
        <v>0</v>
      </c>
      <c r="L74" s="3">
        <v>0</v>
      </c>
      <c r="M74" s="3">
        <v>0</v>
      </c>
      <c r="N74" s="3">
        <f t="shared" ref="N74" si="45">M74*3300</f>
        <v>0</v>
      </c>
      <c r="O74" s="3">
        <v>0</v>
      </c>
      <c r="P74" s="3">
        <v>0</v>
      </c>
      <c r="Q74" s="5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6" t="e">
        <f t="shared" si="42"/>
        <v>#DIV/0!</v>
      </c>
    </row>
    <row r="75" spans="1:22" ht="21.95" customHeight="1" x14ac:dyDescent="0.25">
      <c r="A75" s="40" t="s">
        <v>1691</v>
      </c>
      <c r="B75" s="1" t="s">
        <v>171</v>
      </c>
      <c r="C75" s="2">
        <f t="shared" si="34"/>
        <v>2190763.4900000002</v>
      </c>
      <c r="D75" s="3">
        <f t="shared" si="41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 t="shared" ref="J75:J76" si="46"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5">
        <v>520</v>
      </c>
      <c r="R75" s="3">
        <v>651824.71</v>
      </c>
      <c r="S75" s="3">
        <f>S922</f>
        <v>0</v>
      </c>
      <c r="T75" s="3">
        <v>0</v>
      </c>
      <c r="U75" s="3">
        <v>184333.66</v>
      </c>
      <c r="V75" s="6">
        <f t="shared" si="42"/>
        <v>4134.5059701492537</v>
      </c>
    </row>
    <row r="76" spans="1:22" ht="21.95" customHeight="1" x14ac:dyDescent="0.25">
      <c r="A76" s="40" t="s">
        <v>1692</v>
      </c>
      <c r="B76" s="1" t="s">
        <v>172</v>
      </c>
      <c r="C76" s="2">
        <f t="shared" si="34"/>
        <v>2306617.94</v>
      </c>
      <c r="D76" s="3">
        <f t="shared" si="41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 t="shared" si="46"/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S948</f>
        <v>0</v>
      </c>
      <c r="T76" s="3">
        <v>0</v>
      </c>
      <c r="U76" s="3">
        <v>164922.54999999999</v>
      </c>
      <c r="V76" s="6">
        <f t="shared" si="42"/>
        <v>3832.6437613019893</v>
      </c>
    </row>
    <row r="77" spans="1:22" ht="26.25" customHeight="1" x14ac:dyDescent="0.25">
      <c r="A77" s="40" t="s">
        <v>1693</v>
      </c>
      <c r="B77" s="1" t="s">
        <v>836</v>
      </c>
      <c r="C77" s="2">
        <f t="shared" si="34"/>
        <v>58827.5</v>
      </c>
      <c r="D77" s="3">
        <f t="shared" si="41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 t="shared" ref="N77:N84" si="47">M77*5300</f>
        <v>0</v>
      </c>
      <c r="O77" s="3">
        <v>0</v>
      </c>
      <c r="P77" s="3">
        <f>O77*410</f>
        <v>0</v>
      </c>
      <c r="Q77" s="3">
        <v>0</v>
      </c>
      <c r="R77" s="3">
        <f t="shared" ref="R77:R84" si="48">Q77*2605</f>
        <v>0</v>
      </c>
      <c r="S77" s="3">
        <v>0</v>
      </c>
      <c r="T77" s="3">
        <v>0</v>
      </c>
      <c r="U77" s="3">
        <v>58827.5</v>
      </c>
      <c r="V77" s="6" t="e">
        <f t="shared" si="42"/>
        <v>#DIV/0!</v>
      </c>
    </row>
    <row r="78" spans="1:22" ht="21.95" customHeight="1" x14ac:dyDescent="0.25">
      <c r="A78" s="40" t="s">
        <v>1694</v>
      </c>
      <c r="B78" s="1" t="s">
        <v>173</v>
      </c>
      <c r="C78" s="2">
        <f t="shared" si="34"/>
        <v>5261291.6399999997</v>
      </c>
      <c r="D78" s="3">
        <f t="shared" si="41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 t="shared" ref="J78:J79" si="49"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S949</f>
        <v>0</v>
      </c>
      <c r="T78" s="3">
        <v>0</v>
      </c>
      <c r="U78" s="3">
        <v>198000</v>
      </c>
      <c r="V78" s="6">
        <f t="shared" si="42"/>
        <v>4524.8304369747893</v>
      </c>
    </row>
    <row r="79" spans="1:22" ht="21.95" customHeight="1" x14ac:dyDescent="0.25">
      <c r="A79" s="40" t="s">
        <v>1695</v>
      </c>
      <c r="B79" s="1" t="s">
        <v>174</v>
      </c>
      <c r="C79" s="2">
        <f t="shared" si="34"/>
        <v>7324935.5599999996</v>
      </c>
      <c r="D79" s="3">
        <f t="shared" si="41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 t="shared" si="49"/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S950</f>
        <v>0</v>
      </c>
      <c r="T79" s="3">
        <v>0</v>
      </c>
      <c r="U79" s="3">
        <v>198000</v>
      </c>
      <c r="V79" s="6">
        <f t="shared" si="42"/>
        <v>4174.937695121951</v>
      </c>
    </row>
    <row r="80" spans="1:22" ht="21.95" customHeight="1" x14ac:dyDescent="0.25">
      <c r="A80" s="40" t="s">
        <v>1696</v>
      </c>
      <c r="B80" s="1" t="s">
        <v>175</v>
      </c>
      <c r="C80" s="2">
        <f t="shared" si="34"/>
        <v>124764.64</v>
      </c>
      <c r="D80" s="3">
        <f t="shared" si="41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 t="shared" si="48"/>
        <v>0</v>
      </c>
      <c r="S80" s="3">
        <v>0</v>
      </c>
      <c r="T80" s="3">
        <v>0</v>
      </c>
      <c r="U80" s="3">
        <v>124764.64</v>
      </c>
      <c r="V80" s="6" t="e">
        <f t="shared" si="42"/>
        <v>#DIV/0!</v>
      </c>
    </row>
    <row r="81" spans="1:22" ht="21.95" customHeight="1" x14ac:dyDescent="0.25">
      <c r="A81" s="40" t="s">
        <v>1697</v>
      </c>
      <c r="B81" s="1" t="s">
        <v>176</v>
      </c>
      <c r="C81" s="2">
        <f t="shared" si="34"/>
        <v>3505682.2199999997</v>
      </c>
      <c r="D81" s="3">
        <f t="shared" si="41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 t="shared" ref="J81:J82" si="50">350*0</f>
        <v>0</v>
      </c>
      <c r="K81" s="4">
        <v>0</v>
      </c>
      <c r="L81" s="3">
        <v>0</v>
      </c>
      <c r="M81" s="3">
        <v>379.45</v>
      </c>
      <c r="N81" s="3">
        <f t="shared" si="47"/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6">
        <f t="shared" si="42"/>
        <v>5300</v>
      </c>
    </row>
    <row r="82" spans="1:22" ht="21.95" customHeight="1" x14ac:dyDescent="0.25">
      <c r="A82" s="40" t="s">
        <v>1698</v>
      </c>
      <c r="B82" s="1" t="s">
        <v>177</v>
      </c>
      <c r="C82" s="2">
        <f t="shared" si="34"/>
        <v>140954.04</v>
      </c>
      <c r="D82" s="3">
        <f t="shared" si="41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 t="shared" si="50"/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S911</f>
        <v>0</v>
      </c>
      <c r="T82" s="3">
        <v>0</v>
      </c>
      <c r="U82" s="3">
        <v>140954.04</v>
      </c>
      <c r="V82" s="6" t="e">
        <f t="shared" si="42"/>
        <v>#DIV/0!</v>
      </c>
    </row>
    <row r="83" spans="1:22" ht="21.95" customHeight="1" x14ac:dyDescent="0.25">
      <c r="A83" s="40" t="s">
        <v>1699</v>
      </c>
      <c r="B83" s="21" t="s">
        <v>178</v>
      </c>
      <c r="C83" s="2">
        <f t="shared" si="34"/>
        <v>52206.080000000002</v>
      </c>
      <c r="D83" s="3">
        <f t="shared" si="41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 t="shared" si="47"/>
        <v>0</v>
      </c>
      <c r="O83" s="3">
        <v>0</v>
      </c>
      <c r="P83" s="3">
        <v>0</v>
      </c>
      <c r="Q83" s="3">
        <v>0</v>
      </c>
      <c r="R83" s="3">
        <f t="shared" si="48"/>
        <v>0</v>
      </c>
      <c r="S83" s="3">
        <f>S912</f>
        <v>0</v>
      </c>
      <c r="T83" s="3">
        <v>0</v>
      </c>
      <c r="U83" s="3">
        <v>52206.080000000002</v>
      </c>
      <c r="V83" s="6" t="e">
        <f t="shared" si="42"/>
        <v>#DIV/0!</v>
      </c>
    </row>
    <row r="84" spans="1:22" ht="21.95" customHeight="1" x14ac:dyDescent="0.25">
      <c r="A84" s="40" t="s">
        <v>1700</v>
      </c>
      <c r="B84" s="21" t="s">
        <v>179</v>
      </c>
      <c r="C84" s="2">
        <f t="shared" si="34"/>
        <v>49933.51</v>
      </c>
      <c r="D84" s="3">
        <f t="shared" si="41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 t="shared" si="47"/>
        <v>0</v>
      </c>
      <c r="O84" s="3">
        <v>0</v>
      </c>
      <c r="P84" s="3">
        <v>0</v>
      </c>
      <c r="Q84" s="3">
        <v>0</v>
      </c>
      <c r="R84" s="3">
        <f t="shared" si="48"/>
        <v>0</v>
      </c>
      <c r="S84" s="3">
        <f>S913</f>
        <v>0</v>
      </c>
      <c r="T84" s="3">
        <v>0</v>
      </c>
      <c r="U84" s="3">
        <v>49933.51</v>
      </c>
      <c r="V84" s="6" t="e">
        <f t="shared" si="42"/>
        <v>#DIV/0!</v>
      </c>
    </row>
    <row r="85" spans="1:22" ht="21.95" customHeight="1" x14ac:dyDescent="0.25">
      <c r="A85" s="40" t="s">
        <v>1701</v>
      </c>
      <c r="B85" s="8" t="s">
        <v>1378</v>
      </c>
      <c r="C85" s="2">
        <f t="shared" si="34"/>
        <v>168307.13</v>
      </c>
      <c r="D85" s="3">
        <f t="shared" si="41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5">
        <v>0</v>
      </c>
      <c r="N85" s="5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6" t="e">
        <f t="shared" si="42"/>
        <v>#DIV/0!</v>
      </c>
    </row>
    <row r="86" spans="1:22" ht="45" customHeight="1" x14ac:dyDescent="0.25">
      <c r="A86" s="51" t="s">
        <v>223</v>
      </c>
      <c r="B86" s="51"/>
      <c r="C86" s="2">
        <f>SUM(C87:C88)</f>
        <v>2602069.1</v>
      </c>
      <c r="D86" s="2">
        <f t="shared" ref="D86:U86" si="51">SUM(D87:D88)</f>
        <v>454084.26000000007</v>
      </c>
      <c r="E86" s="2">
        <f t="shared" si="51"/>
        <v>145809.64000000001</v>
      </c>
      <c r="F86" s="2">
        <f t="shared" si="51"/>
        <v>202522</v>
      </c>
      <c r="G86" s="2">
        <f t="shared" si="51"/>
        <v>48192.91</v>
      </c>
      <c r="H86" s="2">
        <f t="shared" si="51"/>
        <v>0</v>
      </c>
      <c r="I86" s="2">
        <f t="shared" si="51"/>
        <v>57559.71</v>
      </c>
      <c r="J86" s="2">
        <f t="shared" si="51"/>
        <v>0</v>
      </c>
      <c r="K86" s="14">
        <f t="shared" si="51"/>
        <v>0</v>
      </c>
      <c r="L86" s="2">
        <f t="shared" si="51"/>
        <v>0</v>
      </c>
      <c r="M86" s="2">
        <f t="shared" si="51"/>
        <v>240</v>
      </c>
      <c r="N86" s="2">
        <f t="shared" si="51"/>
        <v>1032050.92</v>
      </c>
      <c r="O86" s="2">
        <f t="shared" si="51"/>
        <v>0</v>
      </c>
      <c r="P86" s="2">
        <f t="shared" si="51"/>
        <v>0</v>
      </c>
      <c r="Q86" s="2">
        <f t="shared" si="51"/>
        <v>408.6</v>
      </c>
      <c r="R86" s="2">
        <f t="shared" si="51"/>
        <v>1063447.25</v>
      </c>
      <c r="S86" s="2">
        <f t="shared" si="51"/>
        <v>0</v>
      </c>
      <c r="T86" s="2">
        <f t="shared" si="51"/>
        <v>0</v>
      </c>
      <c r="U86" s="2">
        <f t="shared" si="51"/>
        <v>52486.67</v>
      </c>
      <c r="V86" s="18">
        <f>C86+C409</f>
        <v>6804109.5999999996</v>
      </c>
    </row>
    <row r="87" spans="1:22" ht="20.100000000000001" customHeight="1" x14ac:dyDescent="0.25">
      <c r="A87" s="40" t="s">
        <v>1702</v>
      </c>
      <c r="B87" s="8" t="s">
        <v>224</v>
      </c>
      <c r="C87" s="2">
        <f t="shared" si="34"/>
        <v>2549582.4300000002</v>
      </c>
      <c r="D87" s="3">
        <f t="shared" ref="D87:D88" si="52"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6">
        <f t="shared" ref="V87:V88" si="53">N87/M87</f>
        <v>4300.2121666666671</v>
      </c>
    </row>
    <row r="88" spans="1:22" ht="20.100000000000001" customHeight="1" x14ac:dyDescent="0.25">
      <c r="A88" s="40" t="s">
        <v>1703</v>
      </c>
      <c r="B88" s="8" t="s">
        <v>225</v>
      </c>
      <c r="C88" s="2">
        <f t="shared" si="34"/>
        <v>52486.67</v>
      </c>
      <c r="D88" s="3">
        <f t="shared" si="52"/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6" t="e">
        <f t="shared" si="53"/>
        <v>#DIV/0!</v>
      </c>
    </row>
    <row r="89" spans="1:22" ht="45" customHeight="1" x14ac:dyDescent="0.25">
      <c r="A89" s="51" t="s">
        <v>222</v>
      </c>
      <c r="B89" s="51"/>
      <c r="C89" s="2">
        <f>SUM(C90:C95)</f>
        <v>5065932.63</v>
      </c>
      <c r="D89" s="2">
        <f t="shared" ref="D89:U89" si="54">SUM(D90:D95)</f>
        <v>203812.47</v>
      </c>
      <c r="E89" s="2">
        <f t="shared" si="54"/>
        <v>203812.47</v>
      </c>
      <c r="F89" s="2">
        <f t="shared" si="54"/>
        <v>0</v>
      </c>
      <c r="G89" s="2">
        <f t="shared" si="54"/>
        <v>0</v>
      </c>
      <c r="H89" s="2">
        <f t="shared" si="54"/>
        <v>0</v>
      </c>
      <c r="I89" s="2">
        <f t="shared" si="54"/>
        <v>0</v>
      </c>
      <c r="J89" s="2">
        <f t="shared" si="54"/>
        <v>0</v>
      </c>
      <c r="K89" s="14">
        <f t="shared" si="54"/>
        <v>0</v>
      </c>
      <c r="L89" s="2">
        <f t="shared" si="54"/>
        <v>0</v>
      </c>
      <c r="M89" s="2">
        <f t="shared" si="54"/>
        <v>370</v>
      </c>
      <c r="N89" s="2">
        <f t="shared" si="54"/>
        <v>1939364.18</v>
      </c>
      <c r="O89" s="2">
        <f t="shared" si="54"/>
        <v>0</v>
      </c>
      <c r="P89" s="2">
        <f t="shared" si="54"/>
        <v>0</v>
      </c>
      <c r="Q89" s="2">
        <f t="shared" si="54"/>
        <v>1390.05</v>
      </c>
      <c r="R89" s="2">
        <f t="shared" si="54"/>
        <v>2774118.74</v>
      </c>
      <c r="S89" s="2">
        <f t="shared" si="54"/>
        <v>0</v>
      </c>
      <c r="T89" s="2">
        <f t="shared" si="54"/>
        <v>0</v>
      </c>
      <c r="U89" s="2">
        <f t="shared" si="54"/>
        <v>148637.24</v>
      </c>
      <c r="V89" s="18">
        <f>C89+C411+C885</f>
        <v>55760294.130000003</v>
      </c>
    </row>
    <row r="90" spans="1:22" ht="21.95" customHeight="1" x14ac:dyDescent="0.25">
      <c r="A90" s="40" t="s">
        <v>1704</v>
      </c>
      <c r="B90" s="8" t="s">
        <v>213</v>
      </c>
      <c r="C90" s="2">
        <f t="shared" si="34"/>
        <v>61829.57</v>
      </c>
      <c r="D90" s="3">
        <f t="shared" ref="D90:D95" si="55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5">
        <v>0</v>
      </c>
      <c r="N90" s="5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6" t="e">
        <f t="shared" ref="V90:V95" si="56">N90/M90</f>
        <v>#DIV/0!</v>
      </c>
    </row>
    <row r="91" spans="1:22" ht="21.95" customHeight="1" x14ac:dyDescent="0.25">
      <c r="A91" s="40" t="s">
        <v>1705</v>
      </c>
      <c r="B91" s="8" t="s">
        <v>216</v>
      </c>
      <c r="C91" s="2">
        <f t="shared" si="34"/>
        <v>32637.59</v>
      </c>
      <c r="D91" s="3">
        <f t="shared" si="55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6" t="e">
        <f t="shared" si="56"/>
        <v>#DIV/0!</v>
      </c>
    </row>
    <row r="92" spans="1:22" ht="21.95" customHeight="1" x14ac:dyDescent="0.25">
      <c r="A92" s="40" t="s">
        <v>1706</v>
      </c>
      <c r="B92" s="8" t="s">
        <v>1392</v>
      </c>
      <c r="C92" s="2">
        <f t="shared" si="34"/>
        <v>1326633.6000000001</v>
      </c>
      <c r="D92" s="3">
        <f t="shared" si="55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6" t="e">
        <f t="shared" si="56"/>
        <v>#DIV/0!</v>
      </c>
    </row>
    <row r="93" spans="1:22" ht="21.95" customHeight="1" x14ac:dyDescent="0.25">
      <c r="A93" s="40" t="s">
        <v>1707</v>
      </c>
      <c r="B93" s="8" t="s">
        <v>217</v>
      </c>
      <c r="C93" s="2">
        <f t="shared" si="34"/>
        <v>54170.080000000002</v>
      </c>
      <c r="D93" s="3">
        <f t="shared" si="55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6" t="e">
        <f t="shared" si="56"/>
        <v>#DIV/0!</v>
      </c>
    </row>
    <row r="94" spans="1:22" ht="21.95" customHeight="1" x14ac:dyDescent="0.25">
      <c r="A94" s="40" t="s">
        <v>1708</v>
      </c>
      <c r="B94" s="8" t="s">
        <v>1393</v>
      </c>
      <c r="C94" s="2">
        <f t="shared" si="34"/>
        <v>2637062.5499999998</v>
      </c>
      <c r="D94" s="3">
        <f t="shared" si="55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5">
        <v>370</v>
      </c>
      <c r="N94" s="5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6">
        <f t="shared" si="56"/>
        <v>5241.5248108108108</v>
      </c>
    </row>
    <row r="95" spans="1:22" ht="21.95" customHeight="1" x14ac:dyDescent="0.25">
      <c r="A95" s="40" t="s">
        <v>1709</v>
      </c>
      <c r="B95" s="8" t="s">
        <v>1394</v>
      </c>
      <c r="C95" s="2">
        <f t="shared" si="34"/>
        <v>953599.24</v>
      </c>
      <c r="D95" s="3">
        <f t="shared" si="55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5">
        <v>432</v>
      </c>
      <c r="R95" s="5">
        <v>851933.85</v>
      </c>
      <c r="S95" s="3">
        <v>0</v>
      </c>
      <c r="T95" s="3">
        <v>0</v>
      </c>
      <c r="U95" s="3">
        <v>0</v>
      </c>
      <c r="V95" s="6" t="e">
        <f t="shared" si="56"/>
        <v>#DIV/0!</v>
      </c>
    </row>
    <row r="96" spans="1:22" ht="45" customHeight="1" x14ac:dyDescent="0.25">
      <c r="A96" s="51" t="s">
        <v>226</v>
      </c>
      <c r="B96" s="51"/>
      <c r="C96" s="2">
        <f>SUM(C97:C103)</f>
        <v>10285380.459999999</v>
      </c>
      <c r="D96" s="2">
        <f t="shared" ref="D96:U96" si="57">SUM(D98:D103)</f>
        <v>3102953.3</v>
      </c>
      <c r="E96" s="2">
        <f t="shared" si="57"/>
        <v>359199.98</v>
      </c>
      <c r="F96" s="2">
        <f t="shared" si="57"/>
        <v>1930196.5299999998</v>
      </c>
      <c r="G96" s="2">
        <f t="shared" si="57"/>
        <v>165331.20000000001</v>
      </c>
      <c r="H96" s="2">
        <f t="shared" si="57"/>
        <v>648225.59000000008</v>
      </c>
      <c r="I96" s="2">
        <f t="shared" si="57"/>
        <v>0</v>
      </c>
      <c r="J96" s="2">
        <f t="shared" si="57"/>
        <v>0</v>
      </c>
      <c r="K96" s="14">
        <f t="shared" si="57"/>
        <v>0</v>
      </c>
      <c r="L96" s="2">
        <f t="shared" si="57"/>
        <v>0</v>
      </c>
      <c r="M96" s="2">
        <f t="shared" si="57"/>
        <v>1610</v>
      </c>
      <c r="N96" s="2">
        <f t="shared" si="57"/>
        <v>5424455.4399999995</v>
      </c>
      <c r="O96" s="2">
        <f t="shared" si="57"/>
        <v>0</v>
      </c>
      <c r="P96" s="2">
        <f t="shared" si="57"/>
        <v>0</v>
      </c>
      <c r="Q96" s="2">
        <f t="shared" si="57"/>
        <v>660</v>
      </c>
      <c r="R96" s="2">
        <f t="shared" si="57"/>
        <v>1240574.96</v>
      </c>
      <c r="S96" s="2">
        <f t="shared" si="57"/>
        <v>0</v>
      </c>
      <c r="T96" s="2">
        <f t="shared" si="57"/>
        <v>0</v>
      </c>
      <c r="U96" s="2">
        <f t="shared" si="57"/>
        <v>449464.82</v>
      </c>
      <c r="V96" s="18">
        <f>C96+C421+C890</f>
        <v>55428807.960000001</v>
      </c>
    </row>
    <row r="97" spans="1:22" ht="21.95" customHeight="1" x14ac:dyDescent="0.25">
      <c r="A97" s="40" t="s">
        <v>1710</v>
      </c>
      <c r="B97" s="8" t="s">
        <v>232</v>
      </c>
      <c r="C97" s="2">
        <f>D97+L97+N97+P97+R97+S97+T97+U97</f>
        <v>67931.94</v>
      </c>
      <c r="D97" s="3">
        <f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6" t="e">
        <f>N97/M97</f>
        <v>#DIV/0!</v>
      </c>
    </row>
    <row r="98" spans="1:22" ht="21.95" customHeight="1" x14ac:dyDescent="0.25">
      <c r="A98" s="40" t="s">
        <v>1711</v>
      </c>
      <c r="B98" s="8" t="s">
        <v>229</v>
      </c>
      <c r="C98" s="2">
        <f t="shared" si="34"/>
        <v>1896196.86</v>
      </c>
      <c r="D98" s="3">
        <f t="shared" ref="D98:D103" si="58">SUM(E98:J98)</f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6" t="e">
        <f t="shared" ref="V98:V103" si="59">N98/M98</f>
        <v>#DIV/0!</v>
      </c>
    </row>
    <row r="99" spans="1:22" ht="21.95" customHeight="1" x14ac:dyDescent="0.25">
      <c r="A99" s="40" t="s">
        <v>1712</v>
      </c>
      <c r="B99" s="8" t="s">
        <v>230</v>
      </c>
      <c r="C99" s="2">
        <f t="shared" si="34"/>
        <v>3214200.37</v>
      </c>
      <c r="D99" s="3">
        <f t="shared" si="58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6">
        <f t="shared" si="59"/>
        <v>2851.0027797833936</v>
      </c>
    </row>
    <row r="100" spans="1:22" ht="21.95" customHeight="1" x14ac:dyDescent="0.25">
      <c r="A100" s="40" t="s">
        <v>1713</v>
      </c>
      <c r="B100" s="8" t="s">
        <v>231</v>
      </c>
      <c r="C100" s="2">
        <f t="shared" si="34"/>
        <v>1436634.3299999998</v>
      </c>
      <c r="D100" s="3">
        <f t="shared" si="58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6" t="e">
        <f t="shared" si="59"/>
        <v>#DIV/0!</v>
      </c>
    </row>
    <row r="101" spans="1:22" ht="21.95" customHeight="1" x14ac:dyDescent="0.25">
      <c r="A101" s="40" t="s">
        <v>1714</v>
      </c>
      <c r="B101" s="8" t="s">
        <v>238</v>
      </c>
      <c r="C101" s="2">
        <f t="shared" si="34"/>
        <v>43502.720000000001</v>
      </c>
      <c r="D101" s="3">
        <f t="shared" si="58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6" t="e">
        <f t="shared" si="59"/>
        <v>#DIV/0!</v>
      </c>
    </row>
    <row r="102" spans="1:22" ht="21.95" customHeight="1" x14ac:dyDescent="0.25">
      <c r="A102" s="40" t="s">
        <v>1715</v>
      </c>
      <c r="B102" s="8" t="s">
        <v>239</v>
      </c>
      <c r="C102" s="2">
        <f t="shared" si="34"/>
        <v>3590879.9499999997</v>
      </c>
      <c r="D102" s="3">
        <f t="shared" si="58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6">
        <f t="shared" si="59"/>
        <v>4513.0365737051789</v>
      </c>
    </row>
    <row r="103" spans="1:22" ht="21.95" customHeight="1" x14ac:dyDescent="0.25">
      <c r="A103" s="40" t="s">
        <v>1716</v>
      </c>
      <c r="B103" s="8" t="s">
        <v>240</v>
      </c>
      <c r="C103" s="2">
        <f t="shared" si="34"/>
        <v>36034.29</v>
      </c>
      <c r="D103" s="3">
        <f t="shared" si="58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6" t="e">
        <f t="shared" si="59"/>
        <v>#DIV/0!</v>
      </c>
    </row>
    <row r="104" spans="1:22" ht="45" customHeight="1" x14ac:dyDescent="0.25">
      <c r="A104" s="51" t="s">
        <v>268</v>
      </c>
      <c r="B104" s="51"/>
      <c r="C104" s="2">
        <f>SUM(C105:C113)</f>
        <v>21052476.790000003</v>
      </c>
      <c r="D104" s="2">
        <f t="shared" ref="D104:U104" si="60">SUM(D105:D113)</f>
        <v>2996229.58</v>
      </c>
      <c r="E104" s="2">
        <f t="shared" si="60"/>
        <v>776561.23</v>
      </c>
      <c r="F104" s="2">
        <f t="shared" si="60"/>
        <v>1654258.34</v>
      </c>
      <c r="G104" s="2">
        <f t="shared" si="60"/>
        <v>228876.97000000003</v>
      </c>
      <c r="H104" s="2">
        <f t="shared" si="60"/>
        <v>0</v>
      </c>
      <c r="I104" s="2">
        <f t="shared" si="60"/>
        <v>336533.04</v>
      </c>
      <c r="J104" s="2">
        <f t="shared" si="60"/>
        <v>0</v>
      </c>
      <c r="K104" s="14">
        <f t="shared" si="60"/>
        <v>0</v>
      </c>
      <c r="L104" s="2">
        <f t="shared" si="60"/>
        <v>0</v>
      </c>
      <c r="M104" s="2">
        <f t="shared" si="60"/>
        <v>1739.9</v>
      </c>
      <c r="N104" s="2">
        <f t="shared" si="60"/>
        <v>8597281.5099999998</v>
      </c>
      <c r="O104" s="2">
        <f t="shared" si="60"/>
        <v>1281.5</v>
      </c>
      <c r="P104" s="2">
        <f t="shared" si="60"/>
        <v>1244201.9099999999</v>
      </c>
      <c r="Q104" s="2">
        <f t="shared" si="60"/>
        <v>3032</v>
      </c>
      <c r="R104" s="2">
        <f t="shared" si="60"/>
        <v>6762381.1899999995</v>
      </c>
      <c r="S104" s="2">
        <f t="shared" si="60"/>
        <v>0</v>
      </c>
      <c r="T104" s="2">
        <f t="shared" si="60"/>
        <v>0</v>
      </c>
      <c r="U104" s="2">
        <f t="shared" si="60"/>
        <v>1452382.5999999999</v>
      </c>
      <c r="V104" s="18">
        <f>C104+C433+C897</f>
        <v>221728302.23999998</v>
      </c>
    </row>
    <row r="105" spans="1:22" ht="21.95" customHeight="1" x14ac:dyDescent="0.25">
      <c r="A105" s="40" t="s">
        <v>1717</v>
      </c>
      <c r="B105" s="22" t="s">
        <v>244</v>
      </c>
      <c r="C105" s="2">
        <f t="shared" si="34"/>
        <v>11569870.460000001</v>
      </c>
      <c r="D105" s="3">
        <f t="shared" ref="D105:D113" si="61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6">
        <f t="shared" ref="V105:V113" si="62">N105/M105</f>
        <v>5093.990734030438</v>
      </c>
    </row>
    <row r="106" spans="1:22" ht="21.95" customHeight="1" x14ac:dyDescent="0.25">
      <c r="A106" s="40" t="s">
        <v>1718</v>
      </c>
      <c r="B106" s="22" t="s">
        <v>245</v>
      </c>
      <c r="C106" s="2">
        <f t="shared" si="34"/>
        <v>8428223.7300000004</v>
      </c>
      <c r="D106" s="3">
        <f t="shared" si="61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6">
        <f t="shared" si="62"/>
        <v>4750.6406459948321</v>
      </c>
    </row>
    <row r="107" spans="1:22" ht="21.95" customHeight="1" x14ac:dyDescent="0.25">
      <c r="A107" s="40" t="s">
        <v>1719</v>
      </c>
      <c r="B107" s="22" t="s">
        <v>246</v>
      </c>
      <c r="C107" s="2">
        <f t="shared" si="34"/>
        <v>199000</v>
      </c>
      <c r="D107" s="3">
        <f t="shared" si="61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6" t="e">
        <f t="shared" si="62"/>
        <v>#DIV/0!</v>
      </c>
    </row>
    <row r="108" spans="1:22" ht="21.95" customHeight="1" x14ac:dyDescent="0.25">
      <c r="A108" s="40" t="s">
        <v>1616</v>
      </c>
      <c r="B108" s="8" t="s">
        <v>248</v>
      </c>
      <c r="C108" s="2">
        <f t="shared" si="34"/>
        <v>317122.92</v>
      </c>
      <c r="D108" s="3">
        <f t="shared" si="61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6" t="e">
        <f t="shared" si="62"/>
        <v>#DIV/0!</v>
      </c>
    </row>
    <row r="109" spans="1:22" ht="21.95" customHeight="1" x14ac:dyDescent="0.25">
      <c r="A109" s="40" t="s">
        <v>1720</v>
      </c>
      <c r="B109" s="22" t="s">
        <v>247</v>
      </c>
      <c r="C109" s="2">
        <f t="shared" si="34"/>
        <v>62427.49</v>
      </c>
      <c r="D109" s="3">
        <f t="shared" si="61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6" t="e">
        <f t="shared" si="62"/>
        <v>#DIV/0!</v>
      </c>
    </row>
    <row r="110" spans="1:22" ht="21.95" customHeight="1" x14ac:dyDescent="0.25">
      <c r="A110" s="40" t="s">
        <v>1721</v>
      </c>
      <c r="B110" s="22" t="s">
        <v>249</v>
      </c>
      <c r="C110" s="2">
        <f t="shared" si="34"/>
        <v>76336.39</v>
      </c>
      <c r="D110" s="3">
        <f t="shared" si="61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6" t="e">
        <f t="shared" si="62"/>
        <v>#DIV/0!</v>
      </c>
    </row>
    <row r="111" spans="1:22" ht="21.95" customHeight="1" x14ac:dyDescent="0.25">
      <c r="A111" s="40" t="s">
        <v>1722</v>
      </c>
      <c r="B111" s="22" t="s">
        <v>250</v>
      </c>
      <c r="C111" s="2">
        <f t="shared" si="34"/>
        <v>199000</v>
      </c>
      <c r="D111" s="3">
        <f t="shared" si="61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6" t="e">
        <f t="shared" si="62"/>
        <v>#DIV/0!</v>
      </c>
    </row>
    <row r="112" spans="1:22" ht="21.95" customHeight="1" x14ac:dyDescent="0.25">
      <c r="A112" s="40" t="s">
        <v>1617</v>
      </c>
      <c r="B112" s="22" t="s">
        <v>259</v>
      </c>
      <c r="C112" s="2">
        <f t="shared" si="34"/>
        <v>81875.320000000007</v>
      </c>
      <c r="D112" s="3">
        <f t="shared" si="61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6" t="e">
        <f t="shared" si="62"/>
        <v>#DIV/0!</v>
      </c>
    </row>
    <row r="113" spans="1:22" ht="21.95" customHeight="1" x14ac:dyDescent="0.25">
      <c r="A113" s="40" t="s">
        <v>1723</v>
      </c>
      <c r="B113" s="22" t="s">
        <v>262</v>
      </c>
      <c r="C113" s="2">
        <f t="shared" si="34"/>
        <v>118620.48</v>
      </c>
      <c r="D113" s="3">
        <f t="shared" si="61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6" t="e">
        <f t="shared" si="62"/>
        <v>#DIV/0!</v>
      </c>
    </row>
    <row r="114" spans="1:22" ht="45" customHeight="1" x14ac:dyDescent="0.25">
      <c r="A114" s="51" t="s">
        <v>1182</v>
      </c>
      <c r="B114" s="51"/>
      <c r="C114" s="2">
        <f>SUM(C115)</f>
        <v>1686325.08</v>
      </c>
      <c r="D114" s="2">
        <f t="shared" ref="D114:U114" si="63">SUM(D115)</f>
        <v>0</v>
      </c>
      <c r="E114" s="2">
        <f t="shared" si="63"/>
        <v>0</v>
      </c>
      <c r="F114" s="2">
        <f t="shared" si="63"/>
        <v>0</v>
      </c>
      <c r="G114" s="2">
        <f t="shared" si="63"/>
        <v>0</v>
      </c>
      <c r="H114" s="2">
        <f t="shared" si="63"/>
        <v>0</v>
      </c>
      <c r="I114" s="2">
        <f t="shared" si="63"/>
        <v>0</v>
      </c>
      <c r="J114" s="2">
        <f t="shared" si="63"/>
        <v>0</v>
      </c>
      <c r="K114" s="14">
        <f t="shared" si="63"/>
        <v>0</v>
      </c>
      <c r="L114" s="2">
        <f t="shared" si="63"/>
        <v>0</v>
      </c>
      <c r="M114" s="2">
        <f t="shared" si="63"/>
        <v>536.4</v>
      </c>
      <c r="N114" s="2">
        <f t="shared" si="63"/>
        <v>1654017.3</v>
      </c>
      <c r="O114" s="2">
        <f t="shared" si="63"/>
        <v>0</v>
      </c>
      <c r="P114" s="2">
        <f t="shared" si="63"/>
        <v>0</v>
      </c>
      <c r="Q114" s="2">
        <f t="shared" si="63"/>
        <v>0</v>
      </c>
      <c r="R114" s="2">
        <f t="shared" si="63"/>
        <v>0</v>
      </c>
      <c r="S114" s="2">
        <f t="shared" si="63"/>
        <v>0</v>
      </c>
      <c r="T114" s="2">
        <f t="shared" si="63"/>
        <v>0</v>
      </c>
      <c r="U114" s="2">
        <f t="shared" si="63"/>
        <v>32307.78</v>
      </c>
      <c r="V114" s="18">
        <f>C114+C452</f>
        <v>3666325.08</v>
      </c>
    </row>
    <row r="115" spans="1:22" ht="21.95" customHeight="1" x14ac:dyDescent="0.25">
      <c r="A115" s="40" t="s">
        <v>1724</v>
      </c>
      <c r="B115" s="22" t="s">
        <v>1183</v>
      </c>
      <c r="C115" s="2">
        <f t="shared" si="34"/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6">
        <f>N115/M115</f>
        <v>3083.5520134228191</v>
      </c>
    </row>
    <row r="116" spans="1:22" ht="45" customHeight="1" x14ac:dyDescent="0.25">
      <c r="A116" s="51" t="s">
        <v>269</v>
      </c>
      <c r="B116" s="51"/>
      <c r="C116" s="2">
        <f>SUM(C117)</f>
        <v>166377.20000000001</v>
      </c>
      <c r="D116" s="2">
        <f t="shared" ref="D116:U116" si="64">SUM(D117)</f>
        <v>0</v>
      </c>
      <c r="E116" s="2">
        <f t="shared" si="64"/>
        <v>0</v>
      </c>
      <c r="F116" s="2">
        <f t="shared" si="64"/>
        <v>0</v>
      </c>
      <c r="G116" s="2">
        <f t="shared" si="64"/>
        <v>0</v>
      </c>
      <c r="H116" s="2">
        <f t="shared" si="64"/>
        <v>0</v>
      </c>
      <c r="I116" s="2">
        <f t="shared" si="64"/>
        <v>0</v>
      </c>
      <c r="J116" s="2">
        <f t="shared" si="64"/>
        <v>0</v>
      </c>
      <c r="K116" s="14">
        <f t="shared" si="64"/>
        <v>0</v>
      </c>
      <c r="L116" s="2">
        <f t="shared" si="64"/>
        <v>0</v>
      </c>
      <c r="M116" s="2">
        <f t="shared" si="64"/>
        <v>0</v>
      </c>
      <c r="N116" s="2">
        <f t="shared" si="64"/>
        <v>0</v>
      </c>
      <c r="O116" s="2">
        <f t="shared" si="64"/>
        <v>0</v>
      </c>
      <c r="P116" s="2">
        <f t="shared" si="64"/>
        <v>0</v>
      </c>
      <c r="Q116" s="2">
        <f t="shared" si="64"/>
        <v>0</v>
      </c>
      <c r="R116" s="2">
        <f t="shared" si="64"/>
        <v>0</v>
      </c>
      <c r="S116" s="2">
        <f t="shared" si="64"/>
        <v>0</v>
      </c>
      <c r="T116" s="2">
        <f t="shared" si="64"/>
        <v>0</v>
      </c>
      <c r="U116" s="2">
        <f t="shared" si="64"/>
        <v>166377.20000000001</v>
      </c>
      <c r="V116" s="18">
        <f>C116</f>
        <v>166377.20000000001</v>
      </c>
    </row>
    <row r="117" spans="1:22" ht="21.95" customHeight="1" x14ac:dyDescent="0.25">
      <c r="A117" s="40" t="s">
        <v>1725</v>
      </c>
      <c r="B117" s="22" t="s">
        <v>270</v>
      </c>
      <c r="C117" s="2">
        <f t="shared" si="34"/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6" t="e">
        <f>N117/M117</f>
        <v>#DIV/0!</v>
      </c>
    </row>
    <row r="118" spans="1:22" ht="45" customHeight="1" x14ac:dyDescent="0.25">
      <c r="A118" s="51" t="s">
        <v>1395</v>
      </c>
      <c r="B118" s="51"/>
      <c r="C118" s="2">
        <f>SUM(C119)</f>
        <v>2170164.9699999997</v>
      </c>
      <c r="D118" s="2">
        <f t="shared" ref="D118:U118" si="65">SUM(D119)</f>
        <v>280113.19</v>
      </c>
      <c r="E118" s="2">
        <f t="shared" si="65"/>
        <v>198739.27</v>
      </c>
      <c r="F118" s="2">
        <f t="shared" si="65"/>
        <v>0</v>
      </c>
      <c r="G118" s="2">
        <f t="shared" si="65"/>
        <v>0</v>
      </c>
      <c r="H118" s="2">
        <f t="shared" si="65"/>
        <v>0</v>
      </c>
      <c r="I118" s="2">
        <f t="shared" si="65"/>
        <v>81373.919999999998</v>
      </c>
      <c r="J118" s="2">
        <f t="shared" si="65"/>
        <v>0</v>
      </c>
      <c r="K118" s="14">
        <f t="shared" si="65"/>
        <v>0</v>
      </c>
      <c r="L118" s="2">
        <f t="shared" si="65"/>
        <v>0</v>
      </c>
      <c r="M118" s="2">
        <f t="shared" si="65"/>
        <v>0</v>
      </c>
      <c r="N118" s="2">
        <f t="shared" si="65"/>
        <v>0</v>
      </c>
      <c r="O118" s="2">
        <f t="shared" si="65"/>
        <v>0</v>
      </c>
      <c r="P118" s="2">
        <f t="shared" si="65"/>
        <v>0</v>
      </c>
      <c r="Q118" s="2">
        <f t="shared" si="65"/>
        <v>710</v>
      </c>
      <c r="R118" s="2">
        <f t="shared" si="65"/>
        <v>1743230.17</v>
      </c>
      <c r="S118" s="2">
        <f t="shared" si="65"/>
        <v>0</v>
      </c>
      <c r="T118" s="2">
        <f t="shared" si="65"/>
        <v>0</v>
      </c>
      <c r="U118" s="2">
        <f t="shared" si="65"/>
        <v>146821.60999999999</v>
      </c>
      <c r="V118" s="18">
        <f>C118</f>
        <v>2170164.9699999997</v>
      </c>
    </row>
    <row r="119" spans="1:22" ht="21.95" customHeight="1" x14ac:dyDescent="0.25">
      <c r="A119" s="40" t="s">
        <v>1618</v>
      </c>
      <c r="B119" s="22" t="s">
        <v>1396</v>
      </c>
      <c r="C119" s="2">
        <f t="shared" si="34"/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6" t="e">
        <f>N119/M119</f>
        <v>#DIV/0!</v>
      </c>
    </row>
    <row r="120" spans="1:22" ht="45" customHeight="1" x14ac:dyDescent="0.25">
      <c r="A120" s="51" t="s">
        <v>381</v>
      </c>
      <c r="B120" s="51"/>
      <c r="C120" s="2">
        <f>SUM(C121:C236)</f>
        <v>305918620.67000008</v>
      </c>
      <c r="D120" s="2">
        <f t="shared" ref="D120:U120" si="66">SUM(D121:D236)</f>
        <v>113103388.14000002</v>
      </c>
      <c r="E120" s="2">
        <f t="shared" si="66"/>
        <v>17706561.520000003</v>
      </c>
      <c r="F120" s="2">
        <f t="shared" si="66"/>
        <v>69731826.920000002</v>
      </c>
      <c r="G120" s="2">
        <f t="shared" si="66"/>
        <v>8199732.6899999995</v>
      </c>
      <c r="H120" s="2">
        <f t="shared" si="66"/>
        <v>10460029.600000001</v>
      </c>
      <c r="I120" s="2">
        <f t="shared" si="66"/>
        <v>7005237.4100000001</v>
      </c>
      <c r="J120" s="2">
        <f t="shared" si="66"/>
        <v>0</v>
      </c>
      <c r="K120" s="14">
        <f t="shared" si="66"/>
        <v>2</v>
      </c>
      <c r="L120" s="2">
        <f t="shared" si="66"/>
        <v>3467713.03</v>
      </c>
      <c r="M120" s="2">
        <f t="shared" si="66"/>
        <v>25419.300000000007</v>
      </c>
      <c r="N120" s="2">
        <f t="shared" si="66"/>
        <v>116337857.07000002</v>
      </c>
      <c r="O120" s="2">
        <f t="shared" si="66"/>
        <v>1032</v>
      </c>
      <c r="P120" s="2">
        <f t="shared" si="66"/>
        <v>1229693.94</v>
      </c>
      <c r="Q120" s="2">
        <f t="shared" si="66"/>
        <v>25327.71</v>
      </c>
      <c r="R120" s="2">
        <f t="shared" si="66"/>
        <v>57600037.990000002</v>
      </c>
      <c r="S120" s="2">
        <f t="shared" si="66"/>
        <v>60982.93</v>
      </c>
      <c r="T120" s="2">
        <f t="shared" si="66"/>
        <v>678303.6</v>
      </c>
      <c r="U120" s="2">
        <f t="shared" si="66"/>
        <v>13440643.969999997</v>
      </c>
      <c r="V120" s="18">
        <f>C120+C461+C914</f>
        <v>2013840347.1600001</v>
      </c>
    </row>
    <row r="121" spans="1:22" ht="21.95" customHeight="1" x14ac:dyDescent="0.25">
      <c r="A121" s="40" t="s">
        <v>1726</v>
      </c>
      <c r="B121" s="8" t="s">
        <v>476</v>
      </c>
      <c r="C121" s="2">
        <f t="shared" si="34"/>
        <v>3323627.13</v>
      </c>
      <c r="D121" s="3">
        <f t="shared" ref="D121:D174" si="67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6">
        <f t="shared" ref="V121:V174" si="68">N121/M121</f>
        <v>4865.2083055975791</v>
      </c>
    </row>
    <row r="122" spans="1:22" ht="21.95" customHeight="1" x14ac:dyDescent="0.25">
      <c r="A122" s="40" t="s">
        <v>1727</v>
      </c>
      <c r="B122" s="8" t="s">
        <v>477</v>
      </c>
      <c r="C122" s="2">
        <f t="shared" ref="C122:C174" si="69">D122+L122+N122+P122+R122+S122+T122+U122</f>
        <v>3234332.3800000004</v>
      </c>
      <c r="D122" s="3">
        <f t="shared" si="67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6">
        <f t="shared" si="68"/>
        <v>4998.4420095693786</v>
      </c>
    </row>
    <row r="123" spans="1:22" ht="21.95" customHeight="1" x14ac:dyDescent="0.25">
      <c r="A123" s="40" t="s">
        <v>1728</v>
      </c>
      <c r="B123" s="8" t="s">
        <v>492</v>
      </c>
      <c r="C123" s="2">
        <f t="shared" si="69"/>
        <v>4313501.8099999996</v>
      </c>
      <c r="D123" s="3">
        <f t="shared" si="67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6">
        <f t="shared" si="68"/>
        <v>5196.6750368912926</v>
      </c>
    </row>
    <row r="124" spans="1:22" ht="21.95" customHeight="1" x14ac:dyDescent="0.25">
      <c r="A124" s="40" t="s">
        <v>1729</v>
      </c>
      <c r="B124" s="8" t="s">
        <v>434</v>
      </c>
      <c r="C124" s="2">
        <f t="shared" si="69"/>
        <v>163490.91</v>
      </c>
      <c r="D124" s="3">
        <f t="shared" si="67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6" t="e">
        <f t="shared" si="68"/>
        <v>#DIV/0!</v>
      </c>
    </row>
    <row r="125" spans="1:22" ht="21.95" customHeight="1" x14ac:dyDescent="0.25">
      <c r="A125" s="40" t="s">
        <v>1730</v>
      </c>
      <c r="B125" s="8" t="s">
        <v>493</v>
      </c>
      <c r="C125" s="2">
        <f t="shared" si="69"/>
        <v>5015105.75</v>
      </c>
      <c r="D125" s="3">
        <f t="shared" si="67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6">
        <f t="shared" si="68"/>
        <v>5299.9992508710802</v>
      </c>
    </row>
    <row r="126" spans="1:22" ht="21.95" customHeight="1" x14ac:dyDescent="0.25">
      <c r="A126" s="40" t="s">
        <v>1731</v>
      </c>
      <c r="B126" s="8" t="s">
        <v>427</v>
      </c>
      <c r="C126" s="2">
        <f t="shared" si="69"/>
        <v>173076.4</v>
      </c>
      <c r="D126" s="3">
        <f t="shared" si="67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6" t="e">
        <f t="shared" si="68"/>
        <v>#DIV/0!</v>
      </c>
    </row>
    <row r="127" spans="1:22" ht="21.95" customHeight="1" x14ac:dyDescent="0.25">
      <c r="A127" s="40" t="s">
        <v>1732</v>
      </c>
      <c r="B127" s="23" t="s">
        <v>382</v>
      </c>
      <c r="C127" s="2">
        <f t="shared" si="69"/>
        <v>1822584.59</v>
      </c>
      <c r="D127" s="3">
        <f t="shared" si="67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6">
        <f t="shared" si="68"/>
        <v>3913.8824922532094</v>
      </c>
    </row>
    <row r="128" spans="1:22" ht="21.95" customHeight="1" x14ac:dyDescent="0.25">
      <c r="A128" s="40" t="s">
        <v>1733</v>
      </c>
      <c r="B128" s="24" t="s">
        <v>1374</v>
      </c>
      <c r="C128" s="2">
        <f>D128+L128+N128+P128+R128+S128+T128+U128</f>
        <v>431384.7</v>
      </c>
      <c r="D128" s="3">
        <f>SUM(E128:J128)</f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6" t="e">
        <f>N128/M128</f>
        <v>#DIV/0!</v>
      </c>
    </row>
    <row r="129" spans="1:22" ht="21.95" customHeight="1" x14ac:dyDescent="0.25">
      <c r="A129" s="40" t="s">
        <v>1734</v>
      </c>
      <c r="B129" s="24" t="s">
        <v>1375</v>
      </c>
      <c r="C129" s="2">
        <f>D129+L129+N129+P129+R129+S129+T129+U129</f>
        <v>404313.16</v>
      </c>
      <c r="D129" s="3">
        <f>SUM(E129:J129)</f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6" t="e">
        <f>N129/M129</f>
        <v>#DIV/0!</v>
      </c>
    </row>
    <row r="130" spans="1:22" ht="21.95" customHeight="1" x14ac:dyDescent="0.25">
      <c r="A130" s="40" t="s">
        <v>1735</v>
      </c>
      <c r="B130" s="24" t="s">
        <v>1376</v>
      </c>
      <c r="C130" s="2">
        <f>D130+L130+N130+P130+R130+S130+T130+U130</f>
        <v>400760.45</v>
      </c>
      <c r="D130" s="3">
        <f>SUM(E130:J130)</f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6" t="e">
        <f>N130/M130</f>
        <v>#DIV/0!</v>
      </c>
    </row>
    <row r="131" spans="1:22" ht="21.95" customHeight="1" x14ac:dyDescent="0.25">
      <c r="A131" s="40" t="s">
        <v>1736</v>
      </c>
      <c r="B131" s="8" t="s">
        <v>428</v>
      </c>
      <c r="C131" s="2">
        <f t="shared" si="69"/>
        <v>39639.949999999997</v>
      </c>
      <c r="D131" s="3">
        <f t="shared" si="67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6" t="e">
        <f t="shared" si="68"/>
        <v>#DIV/0!</v>
      </c>
    </row>
    <row r="132" spans="1:22" ht="21.95" customHeight="1" x14ac:dyDescent="0.25">
      <c r="A132" s="40" t="s">
        <v>1737</v>
      </c>
      <c r="B132" s="23" t="s">
        <v>429</v>
      </c>
      <c r="C132" s="2">
        <f t="shared" si="69"/>
        <v>55918.46</v>
      </c>
      <c r="D132" s="3">
        <f t="shared" si="67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6" t="e">
        <f t="shared" si="68"/>
        <v>#DIV/0!</v>
      </c>
    </row>
    <row r="133" spans="1:22" ht="21.95" customHeight="1" x14ac:dyDescent="0.25">
      <c r="A133" s="40" t="s">
        <v>1738</v>
      </c>
      <c r="B133" s="23" t="s">
        <v>449</v>
      </c>
      <c r="C133" s="2">
        <f t="shared" si="69"/>
        <v>64358.54</v>
      </c>
      <c r="D133" s="3">
        <f t="shared" si="67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6" t="e">
        <f t="shared" si="68"/>
        <v>#DIV/0!</v>
      </c>
    </row>
    <row r="134" spans="1:22" ht="21.95" customHeight="1" x14ac:dyDescent="0.25">
      <c r="A134" s="40" t="s">
        <v>1739</v>
      </c>
      <c r="B134" s="8" t="s">
        <v>494</v>
      </c>
      <c r="C134" s="2">
        <f t="shared" si="69"/>
        <v>2558331.8400000003</v>
      </c>
      <c r="D134" s="3">
        <f t="shared" si="67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6">
        <f t="shared" si="68"/>
        <v>3539.6632843414359</v>
      </c>
    </row>
    <row r="135" spans="1:22" ht="21.95" customHeight="1" x14ac:dyDescent="0.25">
      <c r="A135" s="40" t="s">
        <v>1740</v>
      </c>
      <c r="B135" s="8" t="s">
        <v>495</v>
      </c>
      <c r="C135" s="2">
        <f t="shared" si="69"/>
        <v>53597.85</v>
      </c>
      <c r="D135" s="3">
        <f t="shared" si="67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6" t="e">
        <f t="shared" si="68"/>
        <v>#DIV/0!</v>
      </c>
    </row>
    <row r="136" spans="1:22" ht="21.95" customHeight="1" x14ac:dyDescent="0.25">
      <c r="A136" s="40" t="s">
        <v>1741</v>
      </c>
      <c r="B136" s="8" t="s">
        <v>496</v>
      </c>
      <c r="C136" s="2">
        <f t="shared" si="69"/>
        <v>68863.03</v>
      </c>
      <c r="D136" s="3">
        <f t="shared" si="67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6" t="e">
        <f t="shared" si="68"/>
        <v>#DIV/0!</v>
      </c>
    </row>
    <row r="137" spans="1:22" ht="21.95" customHeight="1" x14ac:dyDescent="0.25">
      <c r="A137" s="40" t="s">
        <v>1742</v>
      </c>
      <c r="B137" s="8" t="s">
        <v>478</v>
      </c>
      <c r="C137" s="2">
        <f t="shared" si="69"/>
        <v>84581.04</v>
      </c>
      <c r="D137" s="3">
        <f t="shared" si="67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6" t="e">
        <f t="shared" si="68"/>
        <v>#DIV/0!</v>
      </c>
    </row>
    <row r="138" spans="1:22" ht="21.95" customHeight="1" x14ac:dyDescent="0.25">
      <c r="A138" s="40" t="s">
        <v>1743</v>
      </c>
      <c r="B138" s="8" t="s">
        <v>497</v>
      </c>
      <c r="C138" s="2">
        <f t="shared" si="69"/>
        <v>41774.69</v>
      </c>
      <c r="D138" s="3">
        <f t="shared" si="67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6" t="e">
        <f t="shared" si="68"/>
        <v>#DIV/0!</v>
      </c>
    </row>
    <row r="139" spans="1:22" ht="21.95" customHeight="1" x14ac:dyDescent="0.25">
      <c r="A139" s="40" t="s">
        <v>1744</v>
      </c>
      <c r="B139" s="8" t="s">
        <v>420</v>
      </c>
      <c r="C139" s="2">
        <f t="shared" si="69"/>
        <v>95551.6</v>
      </c>
      <c r="D139" s="3">
        <f t="shared" si="67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6" t="e">
        <f t="shared" si="68"/>
        <v>#DIV/0!</v>
      </c>
    </row>
    <row r="140" spans="1:22" ht="21.95" customHeight="1" x14ac:dyDescent="0.25">
      <c r="A140" s="40" t="s">
        <v>1745</v>
      </c>
      <c r="B140" s="23" t="s">
        <v>479</v>
      </c>
      <c r="C140" s="2">
        <f t="shared" si="69"/>
        <v>108492.72</v>
      </c>
      <c r="D140" s="3">
        <f t="shared" si="67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6" t="e">
        <f t="shared" si="68"/>
        <v>#DIV/0!</v>
      </c>
    </row>
    <row r="141" spans="1:22" ht="21.95" customHeight="1" x14ac:dyDescent="0.25">
      <c r="A141" s="40" t="s">
        <v>1746</v>
      </c>
      <c r="B141" s="8" t="s">
        <v>391</v>
      </c>
      <c r="C141" s="2">
        <f t="shared" si="69"/>
        <v>3164401.52</v>
      </c>
      <c r="D141" s="3">
        <f t="shared" si="67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6">
        <f t="shared" si="68"/>
        <v>5646.1239223134653</v>
      </c>
    </row>
    <row r="142" spans="1:22" ht="21.95" customHeight="1" x14ac:dyDescent="0.25">
      <c r="A142" s="40" t="s">
        <v>1747</v>
      </c>
      <c r="B142" s="8" t="s">
        <v>498</v>
      </c>
      <c r="C142" s="2">
        <f t="shared" si="69"/>
        <v>2763011.6300000004</v>
      </c>
      <c r="D142" s="3">
        <f t="shared" si="67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6">
        <f t="shared" si="68"/>
        <v>5299.9767752583803</v>
      </c>
    </row>
    <row r="143" spans="1:22" ht="21.95" customHeight="1" x14ac:dyDescent="0.25">
      <c r="A143" s="40" t="s">
        <v>1748</v>
      </c>
      <c r="B143" s="8" t="s">
        <v>499</v>
      </c>
      <c r="C143" s="2">
        <f t="shared" si="69"/>
        <v>1935029.82</v>
      </c>
      <c r="D143" s="3">
        <f t="shared" si="67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6">
        <f t="shared" si="68"/>
        <v>4350.7331244196839</v>
      </c>
    </row>
    <row r="144" spans="1:22" ht="21.95" customHeight="1" x14ac:dyDescent="0.25">
      <c r="A144" s="40" t="s">
        <v>1749</v>
      </c>
      <c r="B144" s="8" t="s">
        <v>463</v>
      </c>
      <c r="C144" s="2">
        <f t="shared" si="69"/>
        <v>1988523.26</v>
      </c>
      <c r="D144" s="3">
        <f t="shared" si="67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6">
        <f t="shared" si="68"/>
        <v>5049.2714566156255</v>
      </c>
    </row>
    <row r="145" spans="1:22" ht="21.95" customHeight="1" x14ac:dyDescent="0.25">
      <c r="A145" s="40" t="s">
        <v>1750</v>
      </c>
      <c r="B145" s="8" t="s">
        <v>500</v>
      </c>
      <c r="C145" s="2">
        <f t="shared" si="69"/>
        <v>1313592.3500000001</v>
      </c>
      <c r="D145" s="3">
        <f t="shared" si="67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6">
        <f t="shared" si="68"/>
        <v>4497.1620751341679</v>
      </c>
    </row>
    <row r="146" spans="1:22" ht="21.95" customHeight="1" x14ac:dyDescent="0.25">
      <c r="A146" s="40" t="s">
        <v>1751</v>
      </c>
      <c r="B146" s="8" t="s">
        <v>501</v>
      </c>
      <c r="C146" s="2">
        <f t="shared" si="69"/>
        <v>1315989.95</v>
      </c>
      <c r="D146" s="3">
        <f t="shared" si="67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6">
        <f t="shared" si="68"/>
        <v>4513.8150537634401</v>
      </c>
    </row>
    <row r="147" spans="1:22" ht="21.95" customHeight="1" x14ac:dyDescent="0.25">
      <c r="A147" s="40" t="s">
        <v>1752</v>
      </c>
      <c r="B147" s="8" t="s">
        <v>441</v>
      </c>
      <c r="C147" s="2">
        <f t="shared" si="69"/>
        <v>58699.22</v>
      </c>
      <c r="D147" s="3">
        <f t="shared" si="67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6" t="e">
        <f t="shared" si="68"/>
        <v>#DIV/0!</v>
      </c>
    </row>
    <row r="148" spans="1:22" ht="21.95" customHeight="1" x14ac:dyDescent="0.25">
      <c r="A148" s="40" t="s">
        <v>1753</v>
      </c>
      <c r="B148" s="8" t="s">
        <v>442</v>
      </c>
      <c r="C148" s="2">
        <f t="shared" si="69"/>
        <v>44647.56</v>
      </c>
      <c r="D148" s="3">
        <f t="shared" si="67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6" t="e">
        <f t="shared" si="68"/>
        <v>#DIV/0!</v>
      </c>
    </row>
    <row r="149" spans="1:22" ht="21.95" customHeight="1" x14ac:dyDescent="0.25">
      <c r="A149" s="40" t="s">
        <v>1754</v>
      </c>
      <c r="B149" s="8" t="s">
        <v>397</v>
      </c>
      <c r="C149" s="2">
        <f t="shared" si="69"/>
        <v>47629.84</v>
      </c>
      <c r="D149" s="3">
        <f t="shared" si="67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6" t="e">
        <f t="shared" si="68"/>
        <v>#DIV/0!</v>
      </c>
    </row>
    <row r="150" spans="1:22" ht="21.95" customHeight="1" x14ac:dyDescent="0.25">
      <c r="A150" s="40" t="s">
        <v>1755</v>
      </c>
      <c r="B150" s="8" t="s">
        <v>684</v>
      </c>
      <c r="C150" s="2">
        <f t="shared" si="69"/>
        <v>46183.66</v>
      </c>
      <c r="D150" s="3">
        <f t="shared" si="67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6" t="e">
        <f t="shared" si="68"/>
        <v>#DIV/0!</v>
      </c>
    </row>
    <row r="151" spans="1:22" ht="21.95" customHeight="1" x14ac:dyDescent="0.25">
      <c r="A151" s="40" t="s">
        <v>1756</v>
      </c>
      <c r="B151" s="8" t="s">
        <v>450</v>
      </c>
      <c r="C151" s="2">
        <f t="shared" si="69"/>
        <v>2465982.14</v>
      </c>
      <c r="D151" s="3">
        <f t="shared" si="67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6" t="e">
        <f t="shared" si="68"/>
        <v>#DIV/0!</v>
      </c>
    </row>
    <row r="152" spans="1:22" ht="21.95" customHeight="1" x14ac:dyDescent="0.25">
      <c r="A152" s="40" t="s">
        <v>1757</v>
      </c>
      <c r="B152" s="8" t="s">
        <v>464</v>
      </c>
      <c r="C152" s="2">
        <f t="shared" si="69"/>
        <v>2191313.1800000002</v>
      </c>
      <c r="D152" s="3">
        <f t="shared" si="67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6" t="e">
        <f t="shared" si="68"/>
        <v>#DIV/0!</v>
      </c>
    </row>
    <row r="153" spans="1:22" ht="21.95" customHeight="1" x14ac:dyDescent="0.25">
      <c r="A153" s="40" t="s">
        <v>1758</v>
      </c>
      <c r="B153" s="23" t="s">
        <v>388</v>
      </c>
      <c r="C153" s="2">
        <f t="shared" si="69"/>
        <v>18021469.080000002</v>
      </c>
      <c r="D153" s="3">
        <f t="shared" si="67"/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6" t="e">
        <f t="shared" si="68"/>
        <v>#DIV/0!</v>
      </c>
    </row>
    <row r="154" spans="1:22" ht="21.95" customHeight="1" x14ac:dyDescent="0.25">
      <c r="A154" s="40" t="s">
        <v>1759</v>
      </c>
      <c r="B154" s="24" t="s">
        <v>1383</v>
      </c>
      <c r="C154" s="2">
        <f t="shared" si="69"/>
        <v>11052597.710000001</v>
      </c>
      <c r="D154" s="3">
        <f t="shared" si="67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6">
        <f t="shared" si="68"/>
        <v>5271.9676259890675</v>
      </c>
    </row>
    <row r="155" spans="1:22" ht="21.95" customHeight="1" x14ac:dyDescent="0.25">
      <c r="A155" s="40" t="s">
        <v>1760</v>
      </c>
      <c r="B155" s="24" t="s">
        <v>1385</v>
      </c>
      <c r="C155" s="2">
        <f t="shared" si="69"/>
        <v>4233066</v>
      </c>
      <c r="D155" s="3">
        <f t="shared" si="67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6">
        <f t="shared" si="68"/>
        <v>5298.8277008310251</v>
      </c>
    </row>
    <row r="156" spans="1:22" ht="21.95" customHeight="1" x14ac:dyDescent="0.25">
      <c r="A156" s="40" t="s">
        <v>1761</v>
      </c>
      <c r="B156" s="23" t="s">
        <v>454</v>
      </c>
      <c r="C156" s="2">
        <f t="shared" si="69"/>
        <v>5449604.25</v>
      </c>
      <c r="D156" s="3">
        <f t="shared" si="67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6">
        <f t="shared" si="68"/>
        <v>4592.1469103190002</v>
      </c>
    </row>
    <row r="157" spans="1:22" ht="21.95" customHeight="1" x14ac:dyDescent="0.25">
      <c r="A157" s="40" t="s">
        <v>1762</v>
      </c>
      <c r="B157" s="23" t="s">
        <v>430</v>
      </c>
      <c r="C157" s="2">
        <f t="shared" si="69"/>
        <v>57604.23</v>
      </c>
      <c r="D157" s="3">
        <f t="shared" si="67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6" t="e">
        <f t="shared" si="68"/>
        <v>#DIV/0!</v>
      </c>
    </row>
    <row r="158" spans="1:22" ht="21.95" customHeight="1" x14ac:dyDescent="0.25">
      <c r="A158" s="40" t="s">
        <v>1763</v>
      </c>
      <c r="B158" s="23" t="s">
        <v>435</v>
      </c>
      <c r="C158" s="2">
        <f t="shared" si="69"/>
        <v>57288.18</v>
      </c>
      <c r="D158" s="3">
        <f t="shared" si="67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6" t="e">
        <f t="shared" si="68"/>
        <v>#DIV/0!</v>
      </c>
    </row>
    <row r="159" spans="1:22" ht="21.95" customHeight="1" x14ac:dyDescent="0.25">
      <c r="A159" s="40" t="s">
        <v>1764</v>
      </c>
      <c r="B159" s="23" t="s">
        <v>465</v>
      </c>
      <c r="C159" s="2">
        <f t="shared" si="69"/>
        <v>47015.32</v>
      </c>
      <c r="D159" s="3">
        <f t="shared" si="67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6" t="e">
        <f t="shared" si="68"/>
        <v>#DIV/0!</v>
      </c>
    </row>
    <row r="160" spans="1:22" ht="21.95" customHeight="1" x14ac:dyDescent="0.25">
      <c r="A160" s="40" t="s">
        <v>1765</v>
      </c>
      <c r="B160" s="8" t="s">
        <v>413</v>
      </c>
      <c r="C160" s="2">
        <f t="shared" si="69"/>
        <v>43169.63</v>
      </c>
      <c r="D160" s="3">
        <f t="shared" si="67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6" t="e">
        <f t="shared" si="68"/>
        <v>#DIV/0!</v>
      </c>
    </row>
    <row r="161" spans="1:22" ht="21.95" customHeight="1" x14ac:dyDescent="0.25">
      <c r="A161" s="40" t="s">
        <v>1766</v>
      </c>
      <c r="B161" s="8" t="s">
        <v>414</v>
      </c>
      <c r="C161" s="2">
        <f t="shared" si="69"/>
        <v>44381.3</v>
      </c>
      <c r="D161" s="3">
        <f t="shared" si="67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6" t="e">
        <f t="shared" si="68"/>
        <v>#DIV/0!</v>
      </c>
    </row>
    <row r="162" spans="1:22" ht="21.95" customHeight="1" x14ac:dyDescent="0.25">
      <c r="A162" s="40" t="s">
        <v>1767</v>
      </c>
      <c r="B162" s="8" t="s">
        <v>415</v>
      </c>
      <c r="C162" s="2">
        <f t="shared" si="69"/>
        <v>42168.68</v>
      </c>
      <c r="D162" s="3">
        <f t="shared" si="67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6" t="e">
        <f t="shared" si="68"/>
        <v>#DIV/0!</v>
      </c>
    </row>
    <row r="163" spans="1:22" ht="21.95" customHeight="1" x14ac:dyDescent="0.25">
      <c r="A163" s="40" t="s">
        <v>1768</v>
      </c>
      <c r="B163" s="8" t="s">
        <v>412</v>
      </c>
      <c r="C163" s="2">
        <f t="shared" si="69"/>
        <v>44381.3</v>
      </c>
      <c r="D163" s="3">
        <f t="shared" si="67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6" t="e">
        <f t="shared" si="68"/>
        <v>#DIV/0!</v>
      </c>
    </row>
    <row r="164" spans="1:22" ht="21.95" customHeight="1" x14ac:dyDescent="0.25">
      <c r="A164" s="40" t="s">
        <v>1769</v>
      </c>
      <c r="B164" s="8" t="s">
        <v>505</v>
      </c>
      <c r="C164" s="2">
        <f t="shared" si="69"/>
        <v>24442991.599999998</v>
      </c>
      <c r="D164" s="3">
        <f t="shared" si="67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6">
        <f t="shared" si="68"/>
        <v>2949.1103359971739</v>
      </c>
    </row>
    <row r="165" spans="1:22" ht="21.95" customHeight="1" x14ac:dyDescent="0.25">
      <c r="A165" s="40" t="s">
        <v>1770</v>
      </c>
      <c r="B165" s="24" t="s">
        <v>1401</v>
      </c>
      <c r="C165" s="2">
        <f t="shared" si="69"/>
        <v>1845974.65</v>
      </c>
      <c r="D165" s="3">
        <f t="shared" si="67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6">
        <f t="shared" si="68"/>
        <v>4651.1755102040815</v>
      </c>
    </row>
    <row r="166" spans="1:22" ht="21.95" customHeight="1" x14ac:dyDescent="0.25">
      <c r="A166" s="40" t="s">
        <v>1771</v>
      </c>
      <c r="B166" s="8" t="s">
        <v>466</v>
      </c>
      <c r="C166" s="2">
        <f t="shared" si="69"/>
        <v>60640.68</v>
      </c>
      <c r="D166" s="3">
        <f t="shared" si="67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6" t="e">
        <f t="shared" si="68"/>
        <v>#DIV/0!</v>
      </c>
    </row>
    <row r="167" spans="1:22" ht="21.95" customHeight="1" x14ac:dyDescent="0.25">
      <c r="A167" s="40" t="s">
        <v>1772</v>
      </c>
      <c r="B167" s="8" t="s">
        <v>455</v>
      </c>
      <c r="C167" s="2">
        <f t="shared" si="69"/>
        <v>21399145.73</v>
      </c>
      <c r="D167" s="3">
        <f t="shared" si="67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7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6" t="e">
        <f t="shared" si="68"/>
        <v>#DIV/0!</v>
      </c>
    </row>
    <row r="168" spans="1:22" ht="21.95" customHeight="1" x14ac:dyDescent="0.25">
      <c r="A168" s="40" t="s">
        <v>1773</v>
      </c>
      <c r="B168" s="8" t="s">
        <v>444</v>
      </c>
      <c r="C168" s="2">
        <f t="shared" si="69"/>
        <v>128639.99</v>
      </c>
      <c r="D168" s="3">
        <f t="shared" si="67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7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6" t="e">
        <f t="shared" si="68"/>
        <v>#DIV/0!</v>
      </c>
    </row>
    <row r="169" spans="1:22" ht="21.95" customHeight="1" x14ac:dyDescent="0.25">
      <c r="A169" s="40" t="s">
        <v>1619</v>
      </c>
      <c r="B169" s="8" t="s">
        <v>436</v>
      </c>
      <c r="C169" s="2">
        <f t="shared" si="69"/>
        <v>200000</v>
      </c>
      <c r="D169" s="3">
        <f t="shared" si="67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7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6" t="e">
        <f t="shared" si="68"/>
        <v>#DIV/0!</v>
      </c>
    </row>
    <row r="170" spans="1:22" ht="21.95" customHeight="1" x14ac:dyDescent="0.25">
      <c r="A170" s="40" t="s">
        <v>1620</v>
      </c>
      <c r="B170" s="8" t="s">
        <v>421</v>
      </c>
      <c r="C170" s="2">
        <f t="shared" si="69"/>
        <v>2315708.7499999995</v>
      </c>
      <c r="D170" s="3">
        <f t="shared" si="67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7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6" t="e">
        <f t="shared" si="68"/>
        <v>#DIV/0!</v>
      </c>
    </row>
    <row r="171" spans="1:22" ht="21.95" customHeight="1" x14ac:dyDescent="0.25">
      <c r="A171" s="40" t="s">
        <v>1774</v>
      </c>
      <c r="B171" s="8" t="s">
        <v>437</v>
      </c>
      <c r="C171" s="2">
        <f t="shared" si="69"/>
        <v>200000</v>
      </c>
      <c r="D171" s="3">
        <f t="shared" si="67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7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6" t="e">
        <f t="shared" si="68"/>
        <v>#DIV/0!</v>
      </c>
    </row>
    <row r="172" spans="1:22" ht="21.95" customHeight="1" x14ac:dyDescent="0.25">
      <c r="A172" s="40" t="s">
        <v>1621</v>
      </c>
      <c r="B172" s="8" t="s">
        <v>443</v>
      </c>
      <c r="C172" s="2">
        <f t="shared" si="69"/>
        <v>128923.69</v>
      </c>
      <c r="D172" s="3">
        <f t="shared" si="67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7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6" t="e">
        <f t="shared" si="68"/>
        <v>#DIV/0!</v>
      </c>
    </row>
    <row r="173" spans="1:22" ht="21.95" customHeight="1" x14ac:dyDescent="0.25">
      <c r="A173" s="40" t="s">
        <v>1622</v>
      </c>
      <c r="B173" s="8" t="s">
        <v>480</v>
      </c>
      <c r="C173" s="2">
        <f t="shared" si="69"/>
        <v>6825610.0200000005</v>
      </c>
      <c r="D173" s="3">
        <f t="shared" si="67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6" t="e">
        <f t="shared" si="68"/>
        <v>#DIV/0!</v>
      </c>
    </row>
    <row r="174" spans="1:22" ht="21.95" customHeight="1" x14ac:dyDescent="0.25">
      <c r="A174" s="40" t="s">
        <v>1775</v>
      </c>
      <c r="B174" s="8" t="s">
        <v>401</v>
      </c>
      <c r="C174" s="2">
        <f t="shared" si="69"/>
        <v>200000</v>
      </c>
      <c r="D174" s="3">
        <f t="shared" si="67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6" t="e">
        <f t="shared" si="68"/>
        <v>#DIV/0!</v>
      </c>
    </row>
    <row r="175" spans="1:22" ht="21.95" customHeight="1" x14ac:dyDescent="0.25">
      <c r="A175" s="40" t="s">
        <v>1776</v>
      </c>
      <c r="B175" s="23" t="s">
        <v>446</v>
      </c>
      <c r="C175" s="2">
        <f t="shared" ref="C175:C210" si="71">D175+L175+N175+P175+R175+S175+T175+U175</f>
        <v>200000</v>
      </c>
      <c r="D175" s="3">
        <f t="shared" ref="D175:D209" si="72">SUM(E175:J175)</f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 t="shared" ref="J175:J534" si="73"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6" t="e">
        <f t="shared" ref="V175:V211" si="74">N175/M175</f>
        <v>#DIV/0!</v>
      </c>
    </row>
    <row r="176" spans="1:22" ht="21.95" customHeight="1" x14ac:dyDescent="0.25">
      <c r="A176" s="40" t="s">
        <v>1777</v>
      </c>
      <c r="B176" s="8" t="s">
        <v>481</v>
      </c>
      <c r="C176" s="2">
        <f t="shared" si="71"/>
        <v>3724471.58</v>
      </c>
      <c r="D176" s="3">
        <f t="shared" si="72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6">
        <f t="shared" si="74"/>
        <v>4537.3351607276354</v>
      </c>
    </row>
    <row r="177" spans="1:22" ht="21.95" customHeight="1" x14ac:dyDescent="0.25">
      <c r="A177" s="40" t="s">
        <v>1778</v>
      </c>
      <c r="B177" s="8" t="s">
        <v>467</v>
      </c>
      <c r="C177" s="2">
        <f t="shared" si="71"/>
        <v>62674.98</v>
      </c>
      <c r="D177" s="3">
        <f t="shared" si="72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6" t="e">
        <f t="shared" si="74"/>
        <v>#DIV/0!</v>
      </c>
    </row>
    <row r="178" spans="1:22" ht="21.95" customHeight="1" x14ac:dyDescent="0.25">
      <c r="A178" s="40" t="s">
        <v>1779</v>
      </c>
      <c r="B178" s="8" t="s">
        <v>468</v>
      </c>
      <c r="C178" s="2">
        <f t="shared" si="71"/>
        <v>63754.32</v>
      </c>
      <c r="D178" s="3">
        <f t="shared" si="72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6" t="e">
        <f t="shared" si="74"/>
        <v>#DIV/0!</v>
      </c>
    </row>
    <row r="179" spans="1:22" ht="21.95" customHeight="1" x14ac:dyDescent="0.25">
      <c r="A179" s="40" t="s">
        <v>1780</v>
      </c>
      <c r="B179" s="23" t="s">
        <v>451</v>
      </c>
      <c r="C179" s="2">
        <f t="shared" si="71"/>
        <v>4392186.8099999996</v>
      </c>
      <c r="D179" s="3">
        <f t="shared" si="72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6">
        <f t="shared" si="74"/>
        <v>4332.3694015748033</v>
      </c>
    </row>
    <row r="180" spans="1:22" ht="21.95" customHeight="1" x14ac:dyDescent="0.25">
      <c r="A180" s="40" t="s">
        <v>1781</v>
      </c>
      <c r="B180" s="8" t="s">
        <v>423</v>
      </c>
      <c r="C180" s="2">
        <f t="shared" si="71"/>
        <v>42590.11</v>
      </c>
      <c r="D180" s="3">
        <f t="shared" si="72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6" t="e">
        <f t="shared" si="74"/>
        <v>#DIV/0!</v>
      </c>
    </row>
    <row r="181" spans="1:22" ht="21.95" customHeight="1" x14ac:dyDescent="0.25">
      <c r="A181" s="40" t="s">
        <v>1782</v>
      </c>
      <c r="B181" s="8" t="s">
        <v>482</v>
      </c>
      <c r="C181" s="2">
        <f t="shared" si="71"/>
        <v>200000</v>
      </c>
      <c r="D181" s="3">
        <f t="shared" si="72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6" t="e">
        <f t="shared" si="74"/>
        <v>#DIV/0!</v>
      </c>
    </row>
    <row r="182" spans="1:22" ht="21.95" customHeight="1" x14ac:dyDescent="0.25">
      <c r="A182" s="40" t="s">
        <v>1783</v>
      </c>
      <c r="B182" s="8" t="s">
        <v>452</v>
      </c>
      <c r="C182" s="2">
        <f t="shared" si="71"/>
        <v>4615765.99</v>
      </c>
      <c r="D182" s="3">
        <f t="shared" si="72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6" t="e">
        <f t="shared" si="74"/>
        <v>#DIV/0!</v>
      </c>
    </row>
    <row r="183" spans="1:22" ht="21.95" customHeight="1" x14ac:dyDescent="0.25">
      <c r="A183" s="40" t="s">
        <v>1623</v>
      </c>
      <c r="B183" s="23" t="s">
        <v>483</v>
      </c>
      <c r="C183" s="2">
        <f t="shared" si="71"/>
        <v>5786822.2199999997</v>
      </c>
      <c r="D183" s="3">
        <f t="shared" si="72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6">
        <f t="shared" si="74"/>
        <v>5115.7037556942187</v>
      </c>
    </row>
    <row r="184" spans="1:22" ht="21.95" customHeight="1" x14ac:dyDescent="0.25">
      <c r="A184" s="40" t="s">
        <v>1784</v>
      </c>
      <c r="B184" s="24" t="s">
        <v>1390</v>
      </c>
      <c r="C184" s="2">
        <f>D184+L184+N184+P184+R184+S184+T184+U184</f>
        <v>2176312.8000000003</v>
      </c>
      <c r="D184" s="3">
        <f>SUM(E184:J184)</f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5">
        <v>0</v>
      </c>
      <c r="S184" s="3">
        <v>0</v>
      </c>
      <c r="T184" s="3">
        <v>0</v>
      </c>
      <c r="U184" s="3">
        <v>0</v>
      </c>
      <c r="V184" s="6" t="e">
        <f>N184/M184</f>
        <v>#DIV/0!</v>
      </c>
    </row>
    <row r="185" spans="1:22" ht="21.95" customHeight="1" x14ac:dyDescent="0.25">
      <c r="A185" s="40" t="s">
        <v>1785</v>
      </c>
      <c r="B185" s="23" t="s">
        <v>395</v>
      </c>
      <c r="C185" s="2">
        <f t="shared" si="71"/>
        <v>78903.490000000005</v>
      </c>
      <c r="D185" s="3">
        <f t="shared" si="72"/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6" t="e">
        <f t="shared" si="74"/>
        <v>#DIV/0!</v>
      </c>
    </row>
    <row r="186" spans="1:22" ht="21.95" customHeight="1" x14ac:dyDescent="0.25">
      <c r="A186" s="40" t="s">
        <v>1786</v>
      </c>
      <c r="B186" s="8" t="s">
        <v>389</v>
      </c>
      <c r="C186" s="2">
        <f t="shared" si="71"/>
        <v>65980.28</v>
      </c>
      <c r="D186" s="3">
        <f t="shared" si="7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6" t="e">
        <f t="shared" si="74"/>
        <v>#DIV/0!</v>
      </c>
    </row>
    <row r="187" spans="1:22" ht="21.95" customHeight="1" x14ac:dyDescent="0.25">
      <c r="A187" s="40" t="s">
        <v>1787</v>
      </c>
      <c r="B187" s="8" t="s">
        <v>403</v>
      </c>
      <c r="C187" s="2">
        <f>D187+L187+N187+P187+R187+S187+T187+U187</f>
        <v>118539.22</v>
      </c>
      <c r="D187" s="3">
        <f>SUM(E187:J187)</f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75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6" t="e">
        <f>N187/M187</f>
        <v>#DIV/0!</v>
      </c>
    </row>
    <row r="188" spans="1:22" ht="21.95" customHeight="1" x14ac:dyDescent="0.25">
      <c r="A188" s="40" t="s">
        <v>1788</v>
      </c>
      <c r="B188" s="8" t="s">
        <v>504</v>
      </c>
      <c r="C188" s="2">
        <f t="shared" si="71"/>
        <v>11697685.68</v>
      </c>
      <c r="D188" s="3">
        <f t="shared" si="7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75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6">
        <f t="shared" si="74"/>
        <v>4614.2002518597983</v>
      </c>
    </row>
    <row r="189" spans="1:22" ht="21.95" customHeight="1" x14ac:dyDescent="0.25">
      <c r="A189" s="40" t="s">
        <v>1789</v>
      </c>
      <c r="B189" s="8" t="s">
        <v>1388</v>
      </c>
      <c r="C189" s="2">
        <f t="shared" si="71"/>
        <v>367317.96</v>
      </c>
      <c r="D189" s="3">
        <f t="shared" si="7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75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6" t="e">
        <f t="shared" si="74"/>
        <v>#DIV/0!</v>
      </c>
    </row>
    <row r="190" spans="1:22" ht="21.95" customHeight="1" x14ac:dyDescent="0.25">
      <c r="A190" s="40" t="s">
        <v>1790</v>
      </c>
      <c r="B190" s="8" t="s">
        <v>1412</v>
      </c>
      <c r="C190" s="2">
        <f t="shared" si="71"/>
        <v>13956660.52</v>
      </c>
      <c r="D190" s="3">
        <f t="shared" si="7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75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6" t="e">
        <f t="shared" si="74"/>
        <v>#DIV/0!</v>
      </c>
    </row>
    <row r="191" spans="1:22" ht="21.95" customHeight="1" x14ac:dyDescent="0.25">
      <c r="A191" s="40" t="s">
        <v>1791</v>
      </c>
      <c r="B191" s="8" t="s">
        <v>398</v>
      </c>
      <c r="C191" s="2">
        <f t="shared" si="71"/>
        <v>200000</v>
      </c>
      <c r="D191" s="3">
        <f t="shared" si="7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75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6" t="e">
        <f t="shared" si="74"/>
        <v>#DIV/0!</v>
      </c>
    </row>
    <row r="192" spans="1:22" ht="21.95" customHeight="1" x14ac:dyDescent="0.25">
      <c r="A192" s="40" t="s">
        <v>1792</v>
      </c>
      <c r="B192" s="8" t="s">
        <v>392</v>
      </c>
      <c r="C192" s="2">
        <f t="shared" si="71"/>
        <v>186810.04</v>
      </c>
      <c r="D192" s="3">
        <f t="shared" si="7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75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6" t="e">
        <f t="shared" si="74"/>
        <v>#DIV/0!</v>
      </c>
    </row>
    <row r="193" spans="1:22" ht="21.95" customHeight="1" x14ac:dyDescent="0.25">
      <c r="A193" s="40" t="s">
        <v>1793</v>
      </c>
      <c r="B193" s="24" t="s">
        <v>1384</v>
      </c>
      <c r="C193" s="2">
        <f t="shared" si="71"/>
        <v>4548983.59</v>
      </c>
      <c r="D193" s="3">
        <f t="shared" si="7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5">
        <v>1970674.32</v>
      </c>
      <c r="S193" s="3">
        <v>0</v>
      </c>
      <c r="T193" s="3">
        <v>0</v>
      </c>
      <c r="U193" s="3">
        <v>0</v>
      </c>
      <c r="V193" s="6">
        <f t="shared" si="74"/>
        <v>3641.6797598870057</v>
      </c>
    </row>
    <row r="194" spans="1:22" ht="21.95" customHeight="1" x14ac:dyDescent="0.25">
      <c r="A194" s="40" t="s">
        <v>1794</v>
      </c>
      <c r="B194" s="8" t="s">
        <v>507</v>
      </c>
      <c r="C194" s="2">
        <f t="shared" si="71"/>
        <v>4309443.47</v>
      </c>
      <c r="D194" s="3">
        <f t="shared" si="7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6" t="e">
        <f t="shared" si="74"/>
        <v>#DIV/0!</v>
      </c>
    </row>
    <row r="195" spans="1:22" ht="21.95" customHeight="1" x14ac:dyDescent="0.25">
      <c r="A195" s="40" t="s">
        <v>1795</v>
      </c>
      <c r="B195" s="8" t="s">
        <v>469</v>
      </c>
      <c r="C195" s="2">
        <f t="shared" si="71"/>
        <v>80998.289999999994</v>
      </c>
      <c r="D195" s="3">
        <f t="shared" si="7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6" t="e">
        <f t="shared" si="74"/>
        <v>#DIV/0!</v>
      </c>
    </row>
    <row r="196" spans="1:22" ht="21.95" customHeight="1" x14ac:dyDescent="0.25">
      <c r="A196" s="40" t="s">
        <v>1796</v>
      </c>
      <c r="B196" s="8" t="s">
        <v>1413</v>
      </c>
      <c r="C196" s="2">
        <f t="shared" si="71"/>
        <v>268000</v>
      </c>
      <c r="D196" s="3">
        <f t="shared" si="7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1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268000</v>
      </c>
      <c r="V196" s="6" t="e">
        <f t="shared" si="74"/>
        <v>#DIV/0!</v>
      </c>
    </row>
    <row r="197" spans="1:22" ht="21.95" customHeight="1" x14ac:dyDescent="0.25">
      <c r="A197" s="40" t="s">
        <v>1797</v>
      </c>
      <c r="B197" s="8" t="s">
        <v>409</v>
      </c>
      <c r="C197" s="2">
        <f t="shared" si="71"/>
        <v>200000</v>
      </c>
      <c r="D197" s="3">
        <f t="shared" si="7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6" t="e">
        <f t="shared" si="74"/>
        <v>#DIV/0!</v>
      </c>
    </row>
    <row r="198" spans="1:22" ht="21.95" customHeight="1" x14ac:dyDescent="0.25">
      <c r="A198" s="40" t="s">
        <v>1798</v>
      </c>
      <c r="B198" s="24" t="s">
        <v>1373</v>
      </c>
      <c r="C198" s="2">
        <f>D198+L198+N198+P198+R198+S198+T198+U198</f>
        <v>549889.57999999996</v>
      </c>
      <c r="D198" s="3">
        <f>SUM(E198:J198)</f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5">
        <f>Q198*3000</f>
        <v>0</v>
      </c>
      <c r="S198" s="3">
        <v>0</v>
      </c>
      <c r="T198" s="3">
        <v>0</v>
      </c>
      <c r="U198" s="3">
        <v>549889.57999999996</v>
      </c>
      <c r="V198" s="6" t="e">
        <f>N198/M198</f>
        <v>#DIV/0!</v>
      </c>
    </row>
    <row r="199" spans="1:22" ht="21.95" customHeight="1" x14ac:dyDescent="0.25">
      <c r="A199" s="40" t="s">
        <v>1799</v>
      </c>
      <c r="B199" s="8" t="s">
        <v>485</v>
      </c>
      <c r="C199" s="2">
        <f t="shared" si="71"/>
        <v>2317624.1</v>
      </c>
      <c r="D199" s="3">
        <f t="shared" si="7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6">
        <f t="shared" si="74"/>
        <v>4978.1390728476817</v>
      </c>
    </row>
    <row r="200" spans="1:22" ht="21.95" customHeight="1" x14ac:dyDescent="0.25">
      <c r="A200" s="40" t="s">
        <v>1800</v>
      </c>
      <c r="B200" s="8" t="s">
        <v>486</v>
      </c>
      <c r="C200" s="2">
        <f t="shared" si="71"/>
        <v>1057534.19</v>
      </c>
      <c r="D200" s="3">
        <f t="shared" si="7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6">
        <f t="shared" si="74"/>
        <v>4026.9552695092516</v>
      </c>
    </row>
    <row r="201" spans="1:22" ht="21.95" customHeight="1" x14ac:dyDescent="0.25">
      <c r="A201" s="40" t="s">
        <v>1801</v>
      </c>
      <c r="B201" s="8" t="s">
        <v>502</v>
      </c>
      <c r="C201" s="2">
        <f t="shared" si="71"/>
        <v>3327672.9299999997</v>
      </c>
      <c r="D201" s="3">
        <f t="shared" si="7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6">
        <f t="shared" si="74"/>
        <v>5134.7432423917835</v>
      </c>
    </row>
    <row r="202" spans="1:22" ht="21.95" customHeight="1" x14ac:dyDescent="0.25">
      <c r="A202" s="40" t="s">
        <v>1802</v>
      </c>
      <c r="B202" s="8" t="s">
        <v>432</v>
      </c>
      <c r="C202" s="2">
        <f t="shared" si="71"/>
        <v>2462464.0900000003</v>
      </c>
      <c r="D202" s="3">
        <f t="shared" si="7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6" t="e">
        <f t="shared" si="74"/>
        <v>#DIV/0!</v>
      </c>
    </row>
    <row r="203" spans="1:22" ht="21.95" customHeight="1" x14ac:dyDescent="0.25">
      <c r="A203" s="40" t="s">
        <v>1803</v>
      </c>
      <c r="B203" s="24" t="s">
        <v>1414</v>
      </c>
      <c r="C203" s="2">
        <f t="shared" si="71"/>
        <v>117294.52</v>
      </c>
      <c r="D203" s="3">
        <f t="shared" si="7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6" t="e">
        <f t="shared" si="74"/>
        <v>#DIV/0!</v>
      </c>
    </row>
    <row r="204" spans="1:22" ht="21.95" customHeight="1" x14ac:dyDescent="0.25">
      <c r="A204" s="40" t="s">
        <v>1804</v>
      </c>
      <c r="B204" s="8" t="s">
        <v>419</v>
      </c>
      <c r="C204" s="2">
        <f t="shared" si="71"/>
        <v>58789.59</v>
      </c>
      <c r="D204" s="3">
        <f t="shared" si="7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6" t="e">
        <f t="shared" si="74"/>
        <v>#DIV/0!</v>
      </c>
    </row>
    <row r="205" spans="1:22" ht="21.95" customHeight="1" x14ac:dyDescent="0.25">
      <c r="A205" s="40" t="s">
        <v>1624</v>
      </c>
      <c r="B205" s="8" t="s">
        <v>404</v>
      </c>
      <c r="C205" s="2">
        <f t="shared" si="71"/>
        <v>2630727.2000000002</v>
      </c>
      <c r="D205" s="3">
        <f t="shared" si="7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6" t="e">
        <f t="shared" si="74"/>
        <v>#DIV/0!</v>
      </c>
    </row>
    <row r="206" spans="1:22" ht="21.95" customHeight="1" x14ac:dyDescent="0.25">
      <c r="A206" s="40" t="s">
        <v>1805</v>
      </c>
      <c r="B206" s="8" t="s">
        <v>503</v>
      </c>
      <c r="C206" s="2">
        <f t="shared" si="71"/>
        <v>20198852.490000002</v>
      </c>
      <c r="D206" s="3">
        <f t="shared" si="7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6">
        <f t="shared" si="74"/>
        <v>4840.0854947869029</v>
      </c>
    </row>
    <row r="207" spans="1:22" ht="21.95" customHeight="1" x14ac:dyDescent="0.25">
      <c r="A207" s="40" t="s">
        <v>1806</v>
      </c>
      <c r="B207" s="8" t="s">
        <v>831</v>
      </c>
      <c r="C207" s="2">
        <f t="shared" si="71"/>
        <v>3611336.3299999996</v>
      </c>
      <c r="D207" s="3">
        <f t="shared" si="7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5">
        <v>0</v>
      </c>
      <c r="N207" s="5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6" t="e">
        <f t="shared" si="74"/>
        <v>#DIV/0!</v>
      </c>
    </row>
    <row r="208" spans="1:22" ht="21.95" customHeight="1" x14ac:dyDescent="0.25">
      <c r="A208" s="40" t="s">
        <v>1807</v>
      </c>
      <c r="B208" s="8" t="s">
        <v>411</v>
      </c>
      <c r="C208" s="2">
        <f t="shared" si="71"/>
        <v>2281426.62</v>
      </c>
      <c r="D208" s="3">
        <f t="shared" si="7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6" t="e">
        <f t="shared" si="74"/>
        <v>#DIV/0!</v>
      </c>
    </row>
    <row r="209" spans="1:22" ht="21.95" customHeight="1" x14ac:dyDescent="0.25">
      <c r="A209" s="40" t="s">
        <v>1808</v>
      </c>
      <c r="B209" s="24" t="s">
        <v>1364</v>
      </c>
      <c r="C209" s="2">
        <f t="shared" si="71"/>
        <v>3226159.2</v>
      </c>
      <c r="D209" s="3">
        <f t="shared" si="7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6" t="e">
        <f t="shared" si="74"/>
        <v>#DIV/0!</v>
      </c>
    </row>
    <row r="210" spans="1:22" ht="21.95" customHeight="1" x14ac:dyDescent="0.25">
      <c r="A210" s="40" t="s">
        <v>1809</v>
      </c>
      <c r="B210" s="24" t="s">
        <v>1389</v>
      </c>
      <c r="C210" s="2">
        <f t="shared" si="71"/>
        <v>3368829.6</v>
      </c>
      <c r="D210" s="3">
        <f t="shared" ref="D210:D236" si="76">SUM(E210:J210)</f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6">
        <f t="shared" si="74"/>
        <v>2177.779961342289</v>
      </c>
    </row>
    <row r="211" spans="1:22" ht="21.95" customHeight="1" x14ac:dyDescent="0.25">
      <c r="A211" s="40" t="s">
        <v>1810</v>
      </c>
      <c r="B211" s="24" t="s">
        <v>1387</v>
      </c>
      <c r="C211" s="2">
        <f t="shared" ref="C211:C260" si="77">D211+L211+N211+P211+R211+S211+T211+U211</f>
        <v>4094363</v>
      </c>
      <c r="D211" s="3">
        <f t="shared" si="76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6" t="e">
        <f t="shared" si="74"/>
        <v>#DIV/0!</v>
      </c>
    </row>
    <row r="212" spans="1:22" ht="21.95" customHeight="1" x14ac:dyDescent="0.25">
      <c r="A212" s="40" t="s">
        <v>1811</v>
      </c>
      <c r="B212" s="8" t="s">
        <v>447</v>
      </c>
      <c r="C212" s="2">
        <f t="shared" si="77"/>
        <v>338823.02999999997</v>
      </c>
      <c r="D212" s="3">
        <f t="shared" si="76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6" t="e">
        <f t="shared" ref="V212:V236" si="78">N212/M212</f>
        <v>#DIV/0!</v>
      </c>
    </row>
    <row r="213" spans="1:22" ht="21.95" customHeight="1" x14ac:dyDescent="0.25">
      <c r="A213" s="40" t="s">
        <v>1812</v>
      </c>
      <c r="B213" s="8" t="s">
        <v>453</v>
      </c>
      <c r="C213" s="2">
        <f t="shared" si="77"/>
        <v>1100401.56</v>
      </c>
      <c r="D213" s="3">
        <f t="shared" si="76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6">
        <f t="shared" si="78"/>
        <v>4021.7486725663721</v>
      </c>
    </row>
    <row r="214" spans="1:22" ht="21.95" customHeight="1" x14ac:dyDescent="0.25">
      <c r="A214" s="40" t="s">
        <v>1813</v>
      </c>
      <c r="B214" s="8" t="s">
        <v>457</v>
      </c>
      <c r="C214" s="2">
        <f t="shared" si="77"/>
        <v>99358.51</v>
      </c>
      <c r="D214" s="3">
        <f t="shared" si="76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6" t="e">
        <f t="shared" si="78"/>
        <v>#DIV/0!</v>
      </c>
    </row>
    <row r="215" spans="1:22" ht="21.95" customHeight="1" x14ac:dyDescent="0.25">
      <c r="A215" s="40" t="s">
        <v>1814</v>
      </c>
      <c r="B215" s="8" t="s">
        <v>438</v>
      </c>
      <c r="C215" s="2">
        <f t="shared" si="77"/>
        <v>104881.83</v>
      </c>
      <c r="D215" s="3">
        <f t="shared" si="76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6" t="e">
        <f t="shared" si="78"/>
        <v>#DIV/0!</v>
      </c>
    </row>
    <row r="216" spans="1:22" ht="21.95" customHeight="1" x14ac:dyDescent="0.25">
      <c r="A216" s="40" t="s">
        <v>1815</v>
      </c>
      <c r="B216" s="23" t="s">
        <v>458</v>
      </c>
      <c r="C216" s="2">
        <f t="shared" si="77"/>
        <v>6160573.5499999998</v>
      </c>
      <c r="D216" s="3">
        <f t="shared" si="76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6">
        <f t="shared" si="78"/>
        <v>5034.6326649471666</v>
      </c>
    </row>
    <row r="217" spans="1:22" ht="21.95" customHeight="1" x14ac:dyDescent="0.25">
      <c r="A217" s="40" t="s">
        <v>1816</v>
      </c>
      <c r="B217" s="8" t="s">
        <v>487</v>
      </c>
      <c r="C217" s="2">
        <f t="shared" si="77"/>
        <v>3600310.75</v>
      </c>
      <c r="D217" s="3">
        <f t="shared" si="76"/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6">
        <f t="shared" si="78"/>
        <v>5101.9482407676651</v>
      </c>
    </row>
    <row r="218" spans="1:22" ht="21.95" customHeight="1" x14ac:dyDescent="0.25">
      <c r="A218" s="40" t="s">
        <v>1625</v>
      </c>
      <c r="B218" s="8" t="s">
        <v>405</v>
      </c>
      <c r="C218" s="2">
        <f t="shared" si="77"/>
        <v>164909.60999999999</v>
      </c>
      <c r="D218" s="3">
        <f t="shared" si="7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6" t="e">
        <f t="shared" si="78"/>
        <v>#DIV/0!</v>
      </c>
    </row>
    <row r="219" spans="1:22" ht="21.95" customHeight="1" x14ac:dyDescent="0.25">
      <c r="A219" s="40" t="s">
        <v>1817</v>
      </c>
      <c r="B219" s="8" t="s">
        <v>460</v>
      </c>
      <c r="C219" s="2">
        <f t="shared" si="77"/>
        <v>4921900.3999999994</v>
      </c>
      <c r="D219" s="3">
        <f t="shared" si="7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6" t="e">
        <f t="shared" si="78"/>
        <v>#DIV/0!</v>
      </c>
    </row>
    <row r="220" spans="1:22" ht="21.95" customHeight="1" x14ac:dyDescent="0.25">
      <c r="A220" s="40" t="s">
        <v>1818</v>
      </c>
      <c r="B220" s="8" t="s">
        <v>471</v>
      </c>
      <c r="C220" s="2">
        <f t="shared" si="77"/>
        <v>12226422.870000001</v>
      </c>
      <c r="D220" s="3">
        <f t="shared" si="7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6">
        <f t="shared" si="78"/>
        <v>5272.3918395748988</v>
      </c>
    </row>
    <row r="221" spans="1:22" ht="21.95" customHeight="1" x14ac:dyDescent="0.25">
      <c r="A221" s="40" t="s">
        <v>1819</v>
      </c>
      <c r="B221" s="23" t="s">
        <v>461</v>
      </c>
      <c r="C221" s="2">
        <f t="shared" si="77"/>
        <v>4823836.51</v>
      </c>
      <c r="D221" s="3">
        <f t="shared" si="7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6">
        <f t="shared" si="78"/>
        <v>4896.4427320125133</v>
      </c>
    </row>
    <row r="222" spans="1:22" ht="21.95" customHeight="1" x14ac:dyDescent="0.25">
      <c r="A222" s="40" t="s">
        <v>1820</v>
      </c>
      <c r="B222" s="8" t="s">
        <v>472</v>
      </c>
      <c r="C222" s="2">
        <f t="shared" si="77"/>
        <v>54862.78</v>
      </c>
      <c r="D222" s="3">
        <f t="shared" si="7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6" t="e">
        <f t="shared" si="78"/>
        <v>#DIV/0!</v>
      </c>
    </row>
    <row r="223" spans="1:22" ht="21.95" customHeight="1" x14ac:dyDescent="0.25">
      <c r="A223" s="40" t="s">
        <v>1821</v>
      </c>
      <c r="B223" s="8" t="s">
        <v>488</v>
      </c>
      <c r="C223" s="2">
        <f t="shared" si="77"/>
        <v>1824644.4600000002</v>
      </c>
      <c r="D223" s="3">
        <f t="shared" si="7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6">
        <f t="shared" si="78"/>
        <v>4552.9635824742272</v>
      </c>
    </row>
    <row r="224" spans="1:22" ht="21.95" customHeight="1" x14ac:dyDescent="0.25">
      <c r="A224" s="40" t="s">
        <v>1822</v>
      </c>
      <c r="B224" s="8" t="s">
        <v>406</v>
      </c>
      <c r="C224" s="2">
        <f t="shared" si="77"/>
        <v>75456.38</v>
      </c>
      <c r="D224" s="3">
        <f t="shared" si="7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6" t="e">
        <f t="shared" si="78"/>
        <v>#DIV/0!</v>
      </c>
    </row>
    <row r="225" spans="1:22" ht="21.95" customHeight="1" x14ac:dyDescent="0.25">
      <c r="A225" s="40" t="s">
        <v>1626</v>
      </c>
      <c r="B225" s="8" t="s">
        <v>489</v>
      </c>
      <c r="C225" s="2">
        <f t="shared" si="77"/>
        <v>2965032.13</v>
      </c>
      <c r="D225" s="3">
        <f t="shared" si="7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6">
        <f t="shared" si="78"/>
        <v>4881.4706849315071</v>
      </c>
    </row>
    <row r="226" spans="1:22" ht="21.95" customHeight="1" x14ac:dyDescent="0.25">
      <c r="A226" s="40" t="s">
        <v>1627</v>
      </c>
      <c r="B226" s="8" t="s">
        <v>473</v>
      </c>
      <c r="C226" s="2">
        <f t="shared" si="77"/>
        <v>2904799.21</v>
      </c>
      <c r="D226" s="3">
        <f t="shared" si="7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6">
        <f t="shared" si="78"/>
        <v>4778.2834680134674</v>
      </c>
    </row>
    <row r="227" spans="1:22" ht="21.95" customHeight="1" x14ac:dyDescent="0.25">
      <c r="A227" s="40" t="s">
        <v>1823</v>
      </c>
      <c r="B227" s="8" t="s">
        <v>387</v>
      </c>
      <c r="C227" s="2">
        <f t="shared" si="77"/>
        <v>2062847.55</v>
      </c>
      <c r="D227" s="3">
        <f t="shared" si="7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6" t="e">
        <f t="shared" si="78"/>
        <v>#DIV/0!</v>
      </c>
    </row>
    <row r="228" spans="1:22" ht="21.95" customHeight="1" x14ac:dyDescent="0.25">
      <c r="A228" s="40" t="s">
        <v>1824</v>
      </c>
      <c r="B228" s="8" t="s">
        <v>462</v>
      </c>
      <c r="C228" s="2">
        <f t="shared" si="77"/>
        <v>72988.7</v>
      </c>
      <c r="D228" s="3">
        <f t="shared" si="7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6" t="e">
        <f t="shared" si="78"/>
        <v>#DIV/0!</v>
      </c>
    </row>
    <row r="229" spans="1:22" ht="21.95" customHeight="1" x14ac:dyDescent="0.25">
      <c r="A229" s="40" t="s">
        <v>1825</v>
      </c>
      <c r="B229" s="8" t="s">
        <v>448</v>
      </c>
      <c r="C229" s="2">
        <f t="shared" si="77"/>
        <v>6267141.54</v>
      </c>
      <c r="D229" s="3">
        <f t="shared" si="7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6">
        <f t="shared" si="78"/>
        <v>5230.0817686343744</v>
      </c>
    </row>
    <row r="230" spans="1:22" ht="21.95" customHeight="1" x14ac:dyDescent="0.25">
      <c r="A230" s="40" t="s">
        <v>1826</v>
      </c>
      <c r="B230" s="8" t="s">
        <v>474</v>
      </c>
      <c r="C230" s="2">
        <f t="shared" si="77"/>
        <v>3566948.55</v>
      </c>
      <c r="D230" s="3">
        <f t="shared" ref="D230:D235" si="79">SUM(E230:J230)</f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6">
        <f t="shared" si="78"/>
        <v>5031.924877697842</v>
      </c>
    </row>
    <row r="231" spans="1:22" ht="21.95" customHeight="1" x14ac:dyDescent="0.25">
      <c r="A231" s="40" t="s">
        <v>1827</v>
      </c>
      <c r="B231" s="24" t="s">
        <v>1361</v>
      </c>
      <c r="C231" s="2">
        <f>D231+L231+N231+P231+R231+S231+T231+U231</f>
        <v>5179580.74</v>
      </c>
      <c r="D231" s="3">
        <f t="shared" si="79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6">
        <f t="shared" si="78"/>
        <v>4983.7368120300753</v>
      </c>
    </row>
    <row r="232" spans="1:22" ht="21.95" customHeight="1" x14ac:dyDescent="0.25">
      <c r="A232" s="40" t="s">
        <v>1828</v>
      </c>
      <c r="B232" s="8" t="s">
        <v>475</v>
      </c>
      <c r="C232" s="2">
        <f t="shared" si="77"/>
        <v>39357.33</v>
      </c>
      <c r="D232" s="3">
        <f t="shared" si="79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6" t="e">
        <f t="shared" si="78"/>
        <v>#DIV/0!</v>
      </c>
    </row>
    <row r="233" spans="1:22" ht="21.95" customHeight="1" x14ac:dyDescent="0.25">
      <c r="A233" s="40" t="s">
        <v>1829</v>
      </c>
      <c r="B233" s="8" t="s">
        <v>490</v>
      </c>
      <c r="C233" s="2">
        <f t="shared" si="77"/>
        <v>1742990.48</v>
      </c>
      <c r="D233" s="3">
        <f t="shared" si="79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6">
        <f t="shared" si="78"/>
        <v>4535.4692485985333</v>
      </c>
    </row>
    <row r="234" spans="1:22" ht="21.95" customHeight="1" x14ac:dyDescent="0.25">
      <c r="A234" s="40" t="s">
        <v>1830</v>
      </c>
      <c r="B234" s="8" t="s">
        <v>424</v>
      </c>
      <c r="C234" s="2">
        <f t="shared" si="77"/>
        <v>42605.66</v>
      </c>
      <c r="D234" s="3">
        <f t="shared" si="79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6" t="e">
        <f t="shared" si="78"/>
        <v>#DIV/0!</v>
      </c>
    </row>
    <row r="235" spans="1:22" ht="21.95" customHeight="1" x14ac:dyDescent="0.25">
      <c r="A235" s="40" t="s">
        <v>1628</v>
      </c>
      <c r="B235" s="8" t="s">
        <v>439</v>
      </c>
      <c r="C235" s="2">
        <f t="shared" si="77"/>
        <v>46635.76</v>
      </c>
      <c r="D235" s="3">
        <f t="shared" si="79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6" t="e">
        <f t="shared" si="78"/>
        <v>#DIV/0!</v>
      </c>
    </row>
    <row r="236" spans="1:22" ht="21.95" customHeight="1" x14ac:dyDescent="0.25">
      <c r="A236" s="40" t="s">
        <v>1831</v>
      </c>
      <c r="B236" s="8" t="s">
        <v>440</v>
      </c>
      <c r="C236" s="2">
        <f t="shared" si="77"/>
        <v>2255774.0699999998</v>
      </c>
      <c r="D236" s="3">
        <f t="shared" si="7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6" t="e">
        <f t="shared" si="78"/>
        <v>#DIV/0!</v>
      </c>
    </row>
    <row r="237" spans="1:22" ht="45" customHeight="1" x14ac:dyDescent="0.25">
      <c r="A237" s="51" t="s">
        <v>305</v>
      </c>
      <c r="B237" s="51"/>
      <c r="C237" s="2">
        <f>SUM(C238:C241)</f>
        <v>2538146.2999999998</v>
      </c>
      <c r="D237" s="2">
        <f t="shared" ref="D237:U237" si="80">SUM(D238:D241)</f>
        <v>2538146.2999999998</v>
      </c>
      <c r="E237" s="2">
        <f t="shared" si="80"/>
        <v>0</v>
      </c>
      <c r="F237" s="2">
        <f t="shared" si="80"/>
        <v>1951709.6399999997</v>
      </c>
      <c r="G237" s="2">
        <f t="shared" si="80"/>
        <v>276757.42</v>
      </c>
      <c r="H237" s="2">
        <f t="shared" si="80"/>
        <v>0</v>
      </c>
      <c r="I237" s="2">
        <f t="shared" si="80"/>
        <v>309679.24</v>
      </c>
      <c r="J237" s="2">
        <f t="shared" si="80"/>
        <v>0</v>
      </c>
      <c r="K237" s="14">
        <f t="shared" si="80"/>
        <v>0</v>
      </c>
      <c r="L237" s="2">
        <f t="shared" si="80"/>
        <v>0</v>
      </c>
      <c r="M237" s="2">
        <f t="shared" si="80"/>
        <v>0</v>
      </c>
      <c r="N237" s="2">
        <f t="shared" si="80"/>
        <v>0</v>
      </c>
      <c r="O237" s="2">
        <f t="shared" si="80"/>
        <v>0</v>
      </c>
      <c r="P237" s="2">
        <f t="shared" si="80"/>
        <v>0</v>
      </c>
      <c r="Q237" s="2">
        <f t="shared" si="80"/>
        <v>0</v>
      </c>
      <c r="R237" s="2">
        <f t="shared" si="80"/>
        <v>0</v>
      </c>
      <c r="S237" s="2">
        <f t="shared" si="80"/>
        <v>0</v>
      </c>
      <c r="T237" s="2">
        <f t="shared" si="80"/>
        <v>0</v>
      </c>
      <c r="U237" s="2">
        <f t="shared" si="80"/>
        <v>0</v>
      </c>
      <c r="V237" s="18">
        <f>C237+C1089</f>
        <v>11147541.300000001</v>
      </c>
    </row>
    <row r="238" spans="1:22" ht="21.95" customHeight="1" x14ac:dyDescent="0.25">
      <c r="A238" s="40" t="s">
        <v>1832</v>
      </c>
      <c r="B238" s="8" t="s">
        <v>1368</v>
      </c>
      <c r="C238" s="2">
        <f t="shared" si="77"/>
        <v>419071.85</v>
      </c>
      <c r="D238" s="3">
        <f t="shared" ref="D238:D241" si="81"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5">
        <v>0</v>
      </c>
      <c r="N238" s="5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6" t="e">
        <f t="shared" ref="V238:V241" si="82">N238/M238</f>
        <v>#DIV/0!</v>
      </c>
    </row>
    <row r="239" spans="1:22" ht="21.95" customHeight="1" x14ac:dyDescent="0.25">
      <c r="A239" s="40" t="s">
        <v>1833</v>
      </c>
      <c r="B239" s="8" t="s">
        <v>1367</v>
      </c>
      <c r="C239" s="2">
        <f t="shared" si="77"/>
        <v>709295.13</v>
      </c>
      <c r="D239" s="3">
        <f t="shared" si="81"/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5">
        <v>0</v>
      </c>
      <c r="N239" s="5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6" t="e">
        <f t="shared" si="82"/>
        <v>#DIV/0!</v>
      </c>
    </row>
    <row r="240" spans="1:22" ht="21.95" customHeight="1" x14ac:dyDescent="0.25">
      <c r="A240" s="40" t="s">
        <v>1834</v>
      </c>
      <c r="B240" s="8" t="s">
        <v>1366</v>
      </c>
      <c r="C240" s="2">
        <f t="shared" si="77"/>
        <v>668196.1</v>
      </c>
      <c r="D240" s="3">
        <f t="shared" si="81"/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5">
        <v>0</v>
      </c>
      <c r="N240" s="5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6" t="e">
        <f t="shared" si="82"/>
        <v>#DIV/0!</v>
      </c>
    </row>
    <row r="241" spans="1:22" ht="21.95" customHeight="1" x14ac:dyDescent="0.25">
      <c r="A241" s="40" t="s">
        <v>1835</v>
      </c>
      <c r="B241" s="8" t="s">
        <v>1365</v>
      </c>
      <c r="C241" s="2">
        <f t="shared" si="77"/>
        <v>741583.22</v>
      </c>
      <c r="D241" s="3">
        <f t="shared" si="81"/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5">
        <v>0</v>
      </c>
      <c r="N241" s="5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6" t="e">
        <f t="shared" si="82"/>
        <v>#DIV/0!</v>
      </c>
    </row>
    <row r="242" spans="1:22" ht="45" customHeight="1" x14ac:dyDescent="0.25">
      <c r="A242" s="51" t="s">
        <v>281</v>
      </c>
      <c r="B242" s="51"/>
      <c r="C242" s="2">
        <f>SUM(C243)</f>
        <v>34252.04</v>
      </c>
      <c r="D242" s="2">
        <f t="shared" ref="D242:U242" si="83">SUM(D243)</f>
        <v>0</v>
      </c>
      <c r="E242" s="2">
        <f t="shared" si="83"/>
        <v>0</v>
      </c>
      <c r="F242" s="2">
        <f t="shared" si="83"/>
        <v>0</v>
      </c>
      <c r="G242" s="2">
        <f t="shared" si="83"/>
        <v>0</v>
      </c>
      <c r="H242" s="2">
        <f t="shared" si="83"/>
        <v>0</v>
      </c>
      <c r="I242" s="2">
        <f t="shared" si="83"/>
        <v>0</v>
      </c>
      <c r="J242" s="2">
        <f t="shared" si="83"/>
        <v>0</v>
      </c>
      <c r="K242" s="14">
        <f t="shared" si="83"/>
        <v>0</v>
      </c>
      <c r="L242" s="2">
        <f t="shared" si="83"/>
        <v>0</v>
      </c>
      <c r="M242" s="2">
        <f t="shared" si="83"/>
        <v>0</v>
      </c>
      <c r="N242" s="2">
        <f t="shared" si="83"/>
        <v>0</v>
      </c>
      <c r="O242" s="2">
        <f t="shared" si="83"/>
        <v>0</v>
      </c>
      <c r="P242" s="2">
        <f t="shared" si="83"/>
        <v>0</v>
      </c>
      <c r="Q242" s="2">
        <f t="shared" si="83"/>
        <v>0</v>
      </c>
      <c r="R242" s="2">
        <f t="shared" si="83"/>
        <v>0</v>
      </c>
      <c r="S242" s="2">
        <f t="shared" si="83"/>
        <v>0</v>
      </c>
      <c r="T242" s="2">
        <f t="shared" si="83"/>
        <v>0</v>
      </c>
      <c r="U242" s="2">
        <f t="shared" si="83"/>
        <v>34252.04</v>
      </c>
      <c r="V242" s="18">
        <f>C242+C727+C1091</f>
        <v>18390752.039999999</v>
      </c>
    </row>
    <row r="243" spans="1:22" ht="21.95" customHeight="1" x14ac:dyDescent="0.25">
      <c r="A243" s="40" t="s">
        <v>1836</v>
      </c>
      <c r="B243" s="8" t="s">
        <v>307</v>
      </c>
      <c r="C243" s="2">
        <f t="shared" si="77"/>
        <v>34252.04</v>
      </c>
      <c r="D243" s="3">
        <f t="shared" ref="D243" si="84"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6" t="e">
        <f>N243/M243</f>
        <v>#DIV/0!</v>
      </c>
    </row>
    <row r="244" spans="1:22" ht="45" customHeight="1" x14ac:dyDescent="0.25">
      <c r="A244" s="51" t="s">
        <v>286</v>
      </c>
      <c r="B244" s="51"/>
      <c r="C244" s="2">
        <f>SUM(C245:C246)</f>
        <v>6414068.6400000006</v>
      </c>
      <c r="D244" s="2">
        <f t="shared" ref="D244:U244" si="85">SUM(D245:D246)</f>
        <v>517361.39</v>
      </c>
      <c r="E244" s="2">
        <f t="shared" si="85"/>
        <v>264982.02</v>
      </c>
      <c r="F244" s="2">
        <f t="shared" si="85"/>
        <v>159810.94</v>
      </c>
      <c r="G244" s="2">
        <f t="shared" si="85"/>
        <v>54255.360000000001</v>
      </c>
      <c r="H244" s="2">
        <f t="shared" si="85"/>
        <v>0</v>
      </c>
      <c r="I244" s="2">
        <f t="shared" si="85"/>
        <v>38313.07</v>
      </c>
      <c r="J244" s="2">
        <f t="shared" si="85"/>
        <v>0</v>
      </c>
      <c r="K244" s="14">
        <f t="shared" si="85"/>
        <v>0</v>
      </c>
      <c r="L244" s="2">
        <f t="shared" si="85"/>
        <v>0</v>
      </c>
      <c r="M244" s="2">
        <f t="shared" si="85"/>
        <v>753.21</v>
      </c>
      <c r="N244" s="2">
        <f t="shared" si="85"/>
        <v>3858635.48</v>
      </c>
      <c r="O244" s="2">
        <f t="shared" si="85"/>
        <v>0</v>
      </c>
      <c r="P244" s="2">
        <f t="shared" si="85"/>
        <v>0</v>
      </c>
      <c r="Q244" s="2">
        <f t="shared" si="85"/>
        <v>1152</v>
      </c>
      <c r="R244" s="2">
        <f t="shared" si="85"/>
        <v>1646478.24</v>
      </c>
      <c r="S244" s="2">
        <f t="shared" si="85"/>
        <v>0</v>
      </c>
      <c r="T244" s="2">
        <f t="shared" si="85"/>
        <v>0</v>
      </c>
      <c r="U244" s="2">
        <f t="shared" si="85"/>
        <v>391593.53</v>
      </c>
      <c r="V244" s="18">
        <f>C244+C733+C1097</f>
        <v>22775573.640000001</v>
      </c>
    </row>
    <row r="245" spans="1:22" ht="21.95" customHeight="1" x14ac:dyDescent="0.25">
      <c r="A245" s="40" t="s">
        <v>1837</v>
      </c>
      <c r="B245" s="8" t="s">
        <v>287</v>
      </c>
      <c r="C245" s="2">
        <f t="shared" si="77"/>
        <v>3331574.8200000003</v>
      </c>
      <c r="D245" s="3">
        <f t="shared" ref="D245:D246" si="86"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6">
        <f t="shared" ref="V245:V246" si="87">N245/M245</f>
        <v>5194.1586609617607</v>
      </c>
    </row>
    <row r="246" spans="1:22" ht="21.95" customHeight="1" x14ac:dyDescent="0.25">
      <c r="A246" s="40" t="s">
        <v>1838</v>
      </c>
      <c r="B246" s="8" t="s">
        <v>288</v>
      </c>
      <c r="C246" s="2">
        <f t="shared" si="77"/>
        <v>3082493.82</v>
      </c>
      <c r="D246" s="3">
        <f t="shared" si="86"/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6">
        <f t="shared" si="87"/>
        <v>5053.5486897274632</v>
      </c>
    </row>
    <row r="247" spans="1:22" ht="45" customHeight="1" x14ac:dyDescent="0.25">
      <c r="A247" s="51" t="s">
        <v>291</v>
      </c>
      <c r="B247" s="51"/>
      <c r="C247" s="2">
        <f>SUM(C248:C250)</f>
        <v>145766.94</v>
      </c>
      <c r="D247" s="2">
        <f t="shared" ref="D247:U247" si="88">SUM(D248:D250)</f>
        <v>0</v>
      </c>
      <c r="E247" s="2">
        <f t="shared" si="88"/>
        <v>0</v>
      </c>
      <c r="F247" s="2">
        <f t="shared" si="88"/>
        <v>0</v>
      </c>
      <c r="G247" s="2">
        <f t="shared" si="88"/>
        <v>0</v>
      </c>
      <c r="H247" s="2">
        <f t="shared" si="88"/>
        <v>0</v>
      </c>
      <c r="I247" s="2">
        <f t="shared" si="88"/>
        <v>0</v>
      </c>
      <c r="J247" s="2">
        <f t="shared" si="88"/>
        <v>0</v>
      </c>
      <c r="K247" s="14">
        <f t="shared" si="88"/>
        <v>0</v>
      </c>
      <c r="L247" s="2">
        <f t="shared" si="88"/>
        <v>0</v>
      </c>
      <c r="M247" s="2">
        <f t="shared" si="88"/>
        <v>0</v>
      </c>
      <c r="N247" s="2">
        <f t="shared" si="88"/>
        <v>0</v>
      </c>
      <c r="O247" s="2">
        <f t="shared" si="88"/>
        <v>0</v>
      </c>
      <c r="P247" s="2">
        <f t="shared" si="88"/>
        <v>0</v>
      </c>
      <c r="Q247" s="2">
        <f t="shared" si="88"/>
        <v>0</v>
      </c>
      <c r="R247" s="2">
        <f t="shared" si="88"/>
        <v>0</v>
      </c>
      <c r="S247" s="2">
        <f t="shared" si="88"/>
        <v>0</v>
      </c>
      <c r="T247" s="2">
        <f t="shared" si="88"/>
        <v>0</v>
      </c>
      <c r="U247" s="2">
        <f t="shared" si="88"/>
        <v>145766.94</v>
      </c>
      <c r="V247" s="18">
        <f>C247+C736+C1101</f>
        <v>45085651.939999998</v>
      </c>
    </row>
    <row r="248" spans="1:22" ht="21.95" customHeight="1" x14ac:dyDescent="0.25">
      <c r="A248" s="40" t="s">
        <v>1839</v>
      </c>
      <c r="B248" s="8" t="s">
        <v>296</v>
      </c>
      <c r="C248" s="2">
        <f t="shared" si="77"/>
        <v>49421.84</v>
      </c>
      <c r="D248" s="3">
        <f t="shared" ref="D248:D250" si="89"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6" t="e">
        <f t="shared" ref="V248:V250" si="90">N248/M248</f>
        <v>#DIV/0!</v>
      </c>
    </row>
    <row r="249" spans="1:22" ht="21.95" customHeight="1" x14ac:dyDescent="0.25">
      <c r="A249" s="40" t="s">
        <v>1840</v>
      </c>
      <c r="B249" s="8" t="s">
        <v>297</v>
      </c>
      <c r="C249" s="2">
        <f t="shared" si="77"/>
        <v>50355.93</v>
      </c>
      <c r="D249" s="3">
        <f t="shared" si="89"/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6" t="e">
        <f t="shared" si="90"/>
        <v>#DIV/0!</v>
      </c>
    </row>
    <row r="250" spans="1:22" ht="21.95" customHeight="1" x14ac:dyDescent="0.25">
      <c r="A250" s="40" t="s">
        <v>1841</v>
      </c>
      <c r="B250" s="8" t="s">
        <v>299</v>
      </c>
      <c r="C250" s="2">
        <f t="shared" si="77"/>
        <v>45989.17</v>
      </c>
      <c r="D250" s="3">
        <f t="shared" si="89"/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6" t="e">
        <f t="shared" si="90"/>
        <v>#DIV/0!</v>
      </c>
    </row>
    <row r="251" spans="1:22" ht="45" customHeight="1" x14ac:dyDescent="0.25">
      <c r="A251" s="51" t="s">
        <v>309</v>
      </c>
      <c r="B251" s="51"/>
      <c r="C251" s="2">
        <f>SUM(C252:C254)</f>
        <v>7854268.2100000009</v>
      </c>
      <c r="D251" s="2">
        <f t="shared" ref="D251:U251" si="91">SUM(D252:D254)</f>
        <v>180683</v>
      </c>
      <c r="E251" s="2">
        <f t="shared" si="91"/>
        <v>147697</v>
      </c>
      <c r="F251" s="2">
        <f t="shared" si="91"/>
        <v>0</v>
      </c>
      <c r="G251" s="2">
        <f t="shared" si="91"/>
        <v>16717</v>
      </c>
      <c r="H251" s="2">
        <f t="shared" si="91"/>
        <v>0</v>
      </c>
      <c r="I251" s="2">
        <f t="shared" si="91"/>
        <v>16269</v>
      </c>
      <c r="J251" s="2">
        <f t="shared" si="91"/>
        <v>0</v>
      </c>
      <c r="K251" s="14">
        <f t="shared" si="91"/>
        <v>0</v>
      </c>
      <c r="L251" s="2">
        <f t="shared" si="91"/>
        <v>0</v>
      </c>
      <c r="M251" s="2">
        <f t="shared" si="91"/>
        <v>758</v>
      </c>
      <c r="N251" s="2">
        <f t="shared" si="91"/>
        <v>3934473</v>
      </c>
      <c r="O251" s="2">
        <f t="shared" si="91"/>
        <v>0</v>
      </c>
      <c r="P251" s="2">
        <f t="shared" si="91"/>
        <v>0</v>
      </c>
      <c r="Q251" s="2">
        <f t="shared" si="91"/>
        <v>1168.8000000000002</v>
      </c>
      <c r="R251" s="2">
        <f t="shared" si="91"/>
        <v>3044652.5</v>
      </c>
      <c r="S251" s="2">
        <f t="shared" si="91"/>
        <v>290445.24</v>
      </c>
      <c r="T251" s="2">
        <f t="shared" si="91"/>
        <v>0</v>
      </c>
      <c r="U251" s="2">
        <f t="shared" si="91"/>
        <v>404014.47</v>
      </c>
      <c r="V251" s="18">
        <f>C251+C747</f>
        <v>11627192.210000001</v>
      </c>
    </row>
    <row r="252" spans="1:22" ht="21.95" customHeight="1" x14ac:dyDescent="0.25">
      <c r="A252" s="40" t="s">
        <v>1842</v>
      </c>
      <c r="B252" s="8" t="s">
        <v>310</v>
      </c>
      <c r="C252" s="2">
        <f t="shared" si="77"/>
        <v>2428435.9</v>
      </c>
      <c r="D252" s="3">
        <f t="shared" ref="D252:D254" si="92"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6">
        <f t="shared" ref="V252:V254" si="93">N252/M252</f>
        <v>5293.4708333333338</v>
      </c>
    </row>
    <row r="253" spans="1:22" ht="21.95" customHeight="1" x14ac:dyDescent="0.25">
      <c r="A253" s="40" t="s">
        <v>1843</v>
      </c>
      <c r="B253" s="8" t="s">
        <v>311</v>
      </c>
      <c r="C253" s="2">
        <f t="shared" si="77"/>
        <v>2365776.25</v>
      </c>
      <c r="D253" s="3">
        <f t="shared" si="92"/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6">
        <f t="shared" si="93"/>
        <v>5007.2745901639346</v>
      </c>
    </row>
    <row r="254" spans="1:22" ht="21.95" customHeight="1" x14ac:dyDescent="0.25">
      <c r="A254" s="40" t="s">
        <v>1844</v>
      </c>
      <c r="B254" s="8" t="s">
        <v>312</v>
      </c>
      <c r="C254" s="2">
        <f t="shared" si="77"/>
        <v>3060056.06</v>
      </c>
      <c r="D254" s="3">
        <f t="shared" si="92"/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6">
        <f t="shared" si="93"/>
        <v>5263.7408759124091</v>
      </c>
    </row>
    <row r="255" spans="1:22" ht="45" customHeight="1" x14ac:dyDescent="0.25">
      <c r="A255" s="51" t="s">
        <v>314</v>
      </c>
      <c r="B255" s="51"/>
      <c r="C255" s="2">
        <f>SUM(C256)</f>
        <v>48130.46</v>
      </c>
      <c r="D255" s="2">
        <f t="shared" ref="D255:U255" si="94">SUM(D256)</f>
        <v>0</v>
      </c>
      <c r="E255" s="2">
        <f t="shared" si="94"/>
        <v>0</v>
      </c>
      <c r="F255" s="2">
        <f t="shared" si="94"/>
        <v>0</v>
      </c>
      <c r="G255" s="2">
        <f t="shared" si="94"/>
        <v>0</v>
      </c>
      <c r="H255" s="2">
        <f t="shared" si="94"/>
        <v>0</v>
      </c>
      <c r="I255" s="2">
        <f t="shared" si="94"/>
        <v>0</v>
      </c>
      <c r="J255" s="2">
        <f t="shared" si="94"/>
        <v>0</v>
      </c>
      <c r="K255" s="14">
        <f t="shared" si="94"/>
        <v>0</v>
      </c>
      <c r="L255" s="2">
        <f t="shared" si="94"/>
        <v>0</v>
      </c>
      <c r="M255" s="2">
        <f t="shared" si="94"/>
        <v>0</v>
      </c>
      <c r="N255" s="2">
        <f t="shared" si="94"/>
        <v>0</v>
      </c>
      <c r="O255" s="2">
        <f t="shared" si="94"/>
        <v>0</v>
      </c>
      <c r="P255" s="2">
        <f t="shared" si="94"/>
        <v>0</v>
      </c>
      <c r="Q255" s="2">
        <f t="shared" si="94"/>
        <v>0</v>
      </c>
      <c r="R255" s="2">
        <f t="shared" si="94"/>
        <v>0</v>
      </c>
      <c r="S255" s="2">
        <f t="shared" si="94"/>
        <v>0</v>
      </c>
      <c r="T255" s="2">
        <f t="shared" si="94"/>
        <v>0</v>
      </c>
      <c r="U255" s="2">
        <f t="shared" si="94"/>
        <v>48130.46</v>
      </c>
      <c r="V255" s="18">
        <f>C255+C749+C1104</f>
        <v>16757425.460000001</v>
      </c>
    </row>
    <row r="256" spans="1:22" ht="21.95" customHeight="1" x14ac:dyDescent="0.25">
      <c r="A256" s="39" t="s">
        <v>1845</v>
      </c>
      <c r="B256" s="8" t="s">
        <v>318</v>
      </c>
      <c r="C256" s="2">
        <f t="shared" si="77"/>
        <v>48130.46</v>
      </c>
      <c r="D256" s="3">
        <f t="shared" ref="D256" si="95"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5">
        <v>0</v>
      </c>
      <c r="N256" s="5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6" t="e">
        <f>N256/M256</f>
        <v>#DIV/0!</v>
      </c>
    </row>
    <row r="257" spans="1:22" ht="40.15" customHeight="1" x14ac:dyDescent="0.25">
      <c r="A257" s="51" t="s">
        <v>1165</v>
      </c>
      <c r="B257" s="51"/>
      <c r="C257" s="2">
        <f>SUM(C258)</f>
        <v>2999935.13</v>
      </c>
      <c r="D257" s="2">
        <f t="shared" ref="D257:U257" si="96">SUM(D258)</f>
        <v>97668.77</v>
      </c>
      <c r="E257" s="2">
        <f t="shared" si="96"/>
        <v>97668.77</v>
      </c>
      <c r="F257" s="2">
        <f t="shared" si="96"/>
        <v>0</v>
      </c>
      <c r="G257" s="2">
        <f t="shared" si="96"/>
        <v>0</v>
      </c>
      <c r="H257" s="2">
        <f t="shared" si="96"/>
        <v>0</v>
      </c>
      <c r="I257" s="2">
        <f t="shared" si="96"/>
        <v>0</v>
      </c>
      <c r="J257" s="2">
        <f t="shared" si="96"/>
        <v>0</v>
      </c>
      <c r="K257" s="14">
        <f t="shared" si="96"/>
        <v>0</v>
      </c>
      <c r="L257" s="2">
        <f t="shared" si="96"/>
        <v>0</v>
      </c>
      <c r="M257" s="2">
        <f t="shared" si="96"/>
        <v>414</v>
      </c>
      <c r="N257" s="2">
        <f t="shared" si="96"/>
        <v>2020023.69</v>
      </c>
      <c r="O257" s="2">
        <f t="shared" si="96"/>
        <v>0</v>
      </c>
      <c r="P257" s="2">
        <f t="shared" si="96"/>
        <v>0</v>
      </c>
      <c r="Q257" s="2">
        <f t="shared" si="96"/>
        <v>556</v>
      </c>
      <c r="R257" s="2">
        <f t="shared" si="96"/>
        <v>776040.08</v>
      </c>
      <c r="S257" s="2">
        <f t="shared" si="96"/>
        <v>0</v>
      </c>
      <c r="T257" s="2">
        <f t="shared" si="96"/>
        <v>0</v>
      </c>
      <c r="U257" s="2">
        <f t="shared" si="96"/>
        <v>106202.59</v>
      </c>
      <c r="V257" s="18">
        <f>C257+C753+C1111</f>
        <v>7892825.1299999999</v>
      </c>
    </row>
    <row r="258" spans="1:22" ht="21.95" customHeight="1" x14ac:dyDescent="0.25">
      <c r="A258" s="40" t="s">
        <v>1846</v>
      </c>
      <c r="B258" s="8" t="s">
        <v>325</v>
      </c>
      <c r="C258" s="2">
        <f t="shared" si="77"/>
        <v>2999935.13</v>
      </c>
      <c r="D258" s="3">
        <f t="shared" ref="D258" si="97"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6">
        <f>N258/M258</f>
        <v>4879.284275362319</v>
      </c>
    </row>
    <row r="259" spans="1:22" ht="42.95" customHeight="1" x14ac:dyDescent="0.25">
      <c r="A259" s="51" t="s">
        <v>326</v>
      </c>
      <c r="B259" s="51"/>
      <c r="C259" s="2">
        <f>SUM(C260:C261)</f>
        <v>1151732.3800000001</v>
      </c>
      <c r="D259" s="2">
        <f t="shared" ref="D259:U259" si="98">SUM(D260:D261)</f>
        <v>0</v>
      </c>
      <c r="E259" s="2">
        <f t="shared" si="98"/>
        <v>0</v>
      </c>
      <c r="F259" s="2">
        <f t="shared" si="98"/>
        <v>0</v>
      </c>
      <c r="G259" s="2">
        <f t="shared" si="98"/>
        <v>0</v>
      </c>
      <c r="H259" s="2">
        <f t="shared" si="98"/>
        <v>0</v>
      </c>
      <c r="I259" s="2">
        <f t="shared" si="98"/>
        <v>0</v>
      </c>
      <c r="J259" s="2">
        <f t="shared" si="98"/>
        <v>0</v>
      </c>
      <c r="K259" s="14">
        <f t="shared" si="98"/>
        <v>0</v>
      </c>
      <c r="L259" s="2">
        <f t="shared" si="98"/>
        <v>0</v>
      </c>
      <c r="M259" s="2">
        <f t="shared" si="98"/>
        <v>315.04000000000002</v>
      </c>
      <c r="N259" s="2">
        <f t="shared" si="98"/>
        <v>1069200</v>
      </c>
      <c r="O259" s="2">
        <f t="shared" si="98"/>
        <v>0</v>
      </c>
      <c r="P259" s="2">
        <f t="shared" si="98"/>
        <v>0</v>
      </c>
      <c r="Q259" s="2">
        <f t="shared" si="98"/>
        <v>0</v>
      </c>
      <c r="R259" s="2">
        <f t="shared" si="98"/>
        <v>0</v>
      </c>
      <c r="S259" s="2">
        <f t="shared" si="98"/>
        <v>0</v>
      </c>
      <c r="T259" s="2">
        <f t="shared" si="98"/>
        <v>0</v>
      </c>
      <c r="U259" s="2">
        <f t="shared" si="98"/>
        <v>82532.38</v>
      </c>
      <c r="V259" s="18">
        <f>C259+C755+C1113</f>
        <v>23302332.380000003</v>
      </c>
    </row>
    <row r="260" spans="1:22" ht="23.1" customHeight="1" x14ac:dyDescent="0.25">
      <c r="A260" s="39" t="s">
        <v>1847</v>
      </c>
      <c r="B260" s="8" t="s">
        <v>1168</v>
      </c>
      <c r="C260" s="2">
        <f t="shared" si="77"/>
        <v>1102862.77</v>
      </c>
      <c r="D260" s="3">
        <f t="shared" ref="D260:D261" si="99"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1">
        <v>0</v>
      </c>
      <c r="L260" s="5">
        <v>0</v>
      </c>
      <c r="M260" s="5">
        <v>315.04000000000002</v>
      </c>
      <c r="N260" s="5">
        <v>1069200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33662.769999999997</v>
      </c>
      <c r="V260" s="6">
        <f t="shared" ref="V260:V261" si="100">N260/M260</f>
        <v>3393.8547486033517</v>
      </c>
    </row>
    <row r="261" spans="1:22" ht="23.1" customHeight="1" x14ac:dyDescent="0.25">
      <c r="A261" s="39" t="s">
        <v>1848</v>
      </c>
      <c r="B261" s="8" t="s">
        <v>328</v>
      </c>
      <c r="C261" s="2">
        <f t="shared" ref="C261:C282" si="101">D261+L261+N261+P261+R261+S261+T261+U261</f>
        <v>48869.61</v>
      </c>
      <c r="D261" s="3">
        <f t="shared" si="99"/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6" t="e">
        <f t="shared" si="100"/>
        <v>#DIV/0!</v>
      </c>
    </row>
    <row r="262" spans="1:22" ht="42.95" customHeight="1" x14ac:dyDescent="0.25">
      <c r="A262" s="51" t="s">
        <v>330</v>
      </c>
      <c r="B262" s="51"/>
      <c r="C262" s="2">
        <f>SUM(C263)</f>
        <v>2990808.4</v>
      </c>
      <c r="D262" s="2">
        <f t="shared" ref="D262:U262" si="102">SUM(D263)</f>
        <v>0</v>
      </c>
      <c r="E262" s="2">
        <f t="shared" si="102"/>
        <v>0</v>
      </c>
      <c r="F262" s="2">
        <f t="shared" si="102"/>
        <v>0</v>
      </c>
      <c r="G262" s="2">
        <f t="shared" si="102"/>
        <v>0</v>
      </c>
      <c r="H262" s="2">
        <f t="shared" si="102"/>
        <v>0</v>
      </c>
      <c r="I262" s="2">
        <f t="shared" si="102"/>
        <v>0</v>
      </c>
      <c r="J262" s="2">
        <f t="shared" si="102"/>
        <v>0</v>
      </c>
      <c r="K262" s="14">
        <f t="shared" si="102"/>
        <v>0</v>
      </c>
      <c r="L262" s="2">
        <f t="shared" si="102"/>
        <v>0</v>
      </c>
      <c r="M262" s="2">
        <f t="shared" si="102"/>
        <v>366.4</v>
      </c>
      <c r="N262" s="2">
        <f t="shared" si="102"/>
        <v>1920360.81</v>
      </c>
      <c r="O262" s="2">
        <f t="shared" si="102"/>
        <v>0</v>
      </c>
      <c r="P262" s="2">
        <f t="shared" si="102"/>
        <v>0</v>
      </c>
      <c r="Q262" s="2">
        <f t="shared" si="102"/>
        <v>426</v>
      </c>
      <c r="R262" s="2">
        <f t="shared" si="102"/>
        <v>990609.29</v>
      </c>
      <c r="S262" s="2">
        <f t="shared" si="102"/>
        <v>0</v>
      </c>
      <c r="T262" s="2">
        <f t="shared" si="102"/>
        <v>0</v>
      </c>
      <c r="U262" s="2">
        <f t="shared" si="102"/>
        <v>79838.3</v>
      </c>
      <c r="V262" s="18">
        <f>C262+C759</f>
        <v>7300808.4000000004</v>
      </c>
    </row>
    <row r="263" spans="1:22" ht="23.1" customHeight="1" x14ac:dyDescent="0.25">
      <c r="A263" s="40" t="s">
        <v>1849</v>
      </c>
      <c r="B263" s="1" t="s">
        <v>332</v>
      </c>
      <c r="C263" s="2">
        <f t="shared" si="101"/>
        <v>2990808.4</v>
      </c>
      <c r="D263" s="3">
        <f t="shared" ref="D263" si="103"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6">
        <f>N263/M263</f>
        <v>5241.1594159388651</v>
      </c>
    </row>
    <row r="264" spans="1:22" ht="42.95" customHeight="1" x14ac:dyDescent="0.25">
      <c r="A264" s="51" t="s">
        <v>1558</v>
      </c>
      <c r="B264" s="51"/>
      <c r="C264" s="2">
        <f>SUM(C265)</f>
        <v>4068458.4</v>
      </c>
      <c r="D264" s="2">
        <f t="shared" ref="D264:U264" si="104">SUM(D265)</f>
        <v>0</v>
      </c>
      <c r="E264" s="2">
        <f t="shared" si="104"/>
        <v>0</v>
      </c>
      <c r="F264" s="2">
        <f t="shared" si="104"/>
        <v>0</v>
      </c>
      <c r="G264" s="2">
        <f t="shared" si="104"/>
        <v>0</v>
      </c>
      <c r="H264" s="2">
        <f t="shared" si="104"/>
        <v>0</v>
      </c>
      <c r="I264" s="2">
        <f t="shared" si="104"/>
        <v>0</v>
      </c>
      <c r="J264" s="2">
        <f t="shared" si="104"/>
        <v>0</v>
      </c>
      <c r="K264" s="14">
        <f t="shared" si="104"/>
        <v>0</v>
      </c>
      <c r="L264" s="2">
        <f t="shared" si="104"/>
        <v>0</v>
      </c>
      <c r="M264" s="2">
        <f t="shared" si="104"/>
        <v>1220.3</v>
      </c>
      <c r="N264" s="2">
        <f t="shared" si="104"/>
        <v>4068458.4</v>
      </c>
      <c r="O264" s="2">
        <f t="shared" si="104"/>
        <v>0</v>
      </c>
      <c r="P264" s="2">
        <f t="shared" si="104"/>
        <v>0</v>
      </c>
      <c r="Q264" s="2">
        <f t="shared" si="104"/>
        <v>0</v>
      </c>
      <c r="R264" s="2">
        <f t="shared" si="104"/>
        <v>0</v>
      </c>
      <c r="S264" s="2">
        <f t="shared" si="104"/>
        <v>0</v>
      </c>
      <c r="T264" s="2">
        <f t="shared" si="104"/>
        <v>0</v>
      </c>
      <c r="U264" s="2">
        <f t="shared" si="104"/>
        <v>0</v>
      </c>
      <c r="V264" s="18">
        <f>C264+C763</f>
        <v>31337108.399999999</v>
      </c>
    </row>
    <row r="265" spans="1:22" ht="24.95" customHeight="1" x14ac:dyDescent="0.25">
      <c r="A265" s="40" t="s">
        <v>1850</v>
      </c>
      <c r="B265" s="1" t="s">
        <v>1559</v>
      </c>
      <c r="C265" s="2">
        <f t="shared" ref="C265" si="105">D265+L265+N265+P265+R265+S265+T265+U265</f>
        <v>4068458.4</v>
      </c>
      <c r="D265" s="3">
        <f t="shared" ref="D265" si="106"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6">
        <f>N265/M265</f>
        <v>3333.982135540441</v>
      </c>
    </row>
    <row r="266" spans="1:22" ht="35.1" customHeight="1" x14ac:dyDescent="0.25">
      <c r="A266" s="51" t="s">
        <v>333</v>
      </c>
      <c r="B266" s="51"/>
      <c r="C266" s="2">
        <f>SUM(C267)</f>
        <v>2367169.1</v>
      </c>
      <c r="D266" s="2">
        <f t="shared" ref="D266:U266" si="107">SUM(D267:D267)</f>
        <v>0</v>
      </c>
      <c r="E266" s="2">
        <f t="shared" si="107"/>
        <v>0</v>
      </c>
      <c r="F266" s="2">
        <f t="shared" si="107"/>
        <v>0</v>
      </c>
      <c r="G266" s="2">
        <f t="shared" si="107"/>
        <v>0</v>
      </c>
      <c r="H266" s="2">
        <f t="shared" si="107"/>
        <v>0</v>
      </c>
      <c r="I266" s="2">
        <f t="shared" si="107"/>
        <v>0</v>
      </c>
      <c r="J266" s="2">
        <f t="shared" si="107"/>
        <v>0</v>
      </c>
      <c r="K266" s="14">
        <f t="shared" si="107"/>
        <v>0</v>
      </c>
      <c r="L266" s="2">
        <f t="shared" si="107"/>
        <v>0</v>
      </c>
      <c r="M266" s="2">
        <f t="shared" si="107"/>
        <v>488.37</v>
      </c>
      <c r="N266" s="2">
        <f t="shared" si="107"/>
        <v>2367169.1</v>
      </c>
      <c r="O266" s="2">
        <f t="shared" si="107"/>
        <v>0</v>
      </c>
      <c r="P266" s="2">
        <f t="shared" si="107"/>
        <v>0</v>
      </c>
      <c r="Q266" s="2">
        <f t="shared" si="107"/>
        <v>0</v>
      </c>
      <c r="R266" s="2">
        <f t="shared" si="107"/>
        <v>0</v>
      </c>
      <c r="S266" s="2">
        <f t="shared" si="107"/>
        <v>0</v>
      </c>
      <c r="T266" s="2">
        <f t="shared" si="107"/>
        <v>0</v>
      </c>
      <c r="U266" s="2">
        <f t="shared" si="107"/>
        <v>0</v>
      </c>
      <c r="V266" s="18">
        <f>C266</f>
        <v>2367169.1</v>
      </c>
    </row>
    <row r="267" spans="1:22" ht="24.95" customHeight="1" x14ac:dyDescent="0.25">
      <c r="A267" s="39" t="s">
        <v>1851</v>
      </c>
      <c r="B267" s="8" t="s">
        <v>1554</v>
      </c>
      <c r="C267" s="2">
        <f t="shared" si="101"/>
        <v>2367169.1</v>
      </c>
      <c r="D267" s="3">
        <f t="shared" ref="D267" si="108">SUM(E267:J267)</f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11">
        <v>0</v>
      </c>
      <c r="L267" s="5">
        <v>0</v>
      </c>
      <c r="M267" s="5">
        <v>488.37</v>
      </c>
      <c r="N267" s="5">
        <v>2367169.1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6">
        <f t="shared" ref="V267" si="109">N267/M267</f>
        <v>4847.081311300858</v>
      </c>
    </row>
    <row r="268" spans="1:22" ht="40.15" customHeight="1" x14ac:dyDescent="0.25">
      <c r="A268" s="51" t="s">
        <v>337</v>
      </c>
      <c r="B268" s="51"/>
      <c r="C268" s="2">
        <f>SUM(C269)</f>
        <v>1083858.1100000001</v>
      </c>
      <c r="D268" s="2">
        <f t="shared" ref="D268:U268" si="110">SUM(D269)</f>
        <v>0</v>
      </c>
      <c r="E268" s="2">
        <f t="shared" si="110"/>
        <v>0</v>
      </c>
      <c r="F268" s="2">
        <f t="shared" si="110"/>
        <v>0</v>
      </c>
      <c r="G268" s="2">
        <f t="shared" si="110"/>
        <v>0</v>
      </c>
      <c r="H268" s="2">
        <f t="shared" si="110"/>
        <v>0</v>
      </c>
      <c r="I268" s="2">
        <f t="shared" si="110"/>
        <v>0</v>
      </c>
      <c r="J268" s="2">
        <f t="shared" si="110"/>
        <v>0</v>
      </c>
      <c r="K268" s="14">
        <f t="shared" si="110"/>
        <v>0</v>
      </c>
      <c r="L268" s="2">
        <f t="shared" si="110"/>
        <v>0</v>
      </c>
      <c r="M268" s="2">
        <f t="shared" si="110"/>
        <v>321.10000000000002</v>
      </c>
      <c r="N268" s="2">
        <f t="shared" si="110"/>
        <v>1059307.8500000001</v>
      </c>
      <c r="O268" s="2">
        <f t="shared" si="110"/>
        <v>0</v>
      </c>
      <c r="P268" s="2">
        <f t="shared" si="110"/>
        <v>0</v>
      </c>
      <c r="Q268" s="2">
        <f t="shared" si="110"/>
        <v>0</v>
      </c>
      <c r="R268" s="2">
        <f t="shared" si="110"/>
        <v>0</v>
      </c>
      <c r="S268" s="2">
        <f t="shared" si="110"/>
        <v>0</v>
      </c>
      <c r="T268" s="2">
        <f t="shared" si="110"/>
        <v>0</v>
      </c>
      <c r="U268" s="2">
        <f t="shared" si="110"/>
        <v>24550.26</v>
      </c>
      <c r="V268" s="18">
        <f>C268</f>
        <v>1083858.1100000001</v>
      </c>
    </row>
    <row r="269" spans="1:22" ht="21.95" customHeight="1" x14ac:dyDescent="0.25">
      <c r="A269" s="40" t="s">
        <v>1852</v>
      </c>
      <c r="B269" s="8" t="s">
        <v>338</v>
      </c>
      <c r="C269" s="2">
        <f t="shared" si="101"/>
        <v>1083858.1100000001</v>
      </c>
      <c r="D269" s="3">
        <f t="shared" ref="D269" si="111"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6">
        <f>N269/M269</f>
        <v>3298.9967299906571</v>
      </c>
    </row>
    <row r="270" spans="1:22" ht="40.15" customHeight="1" x14ac:dyDescent="0.25">
      <c r="A270" s="51" t="s">
        <v>1637</v>
      </c>
      <c r="B270" s="51"/>
      <c r="C270" s="2">
        <f>SUM(C271:C283)</f>
        <v>51998849.679999992</v>
      </c>
      <c r="D270" s="2">
        <f t="shared" ref="D270:U270" si="112">SUM(D271:D283)</f>
        <v>713279.95</v>
      </c>
      <c r="E270" s="2">
        <f t="shared" si="112"/>
        <v>316423.8</v>
      </c>
      <c r="F270" s="2">
        <f t="shared" si="112"/>
        <v>0</v>
      </c>
      <c r="G270" s="2">
        <f t="shared" si="112"/>
        <v>203648.15</v>
      </c>
      <c r="H270" s="2">
        <f t="shared" si="112"/>
        <v>0</v>
      </c>
      <c r="I270" s="2">
        <f t="shared" si="112"/>
        <v>193208</v>
      </c>
      <c r="J270" s="2">
        <f t="shared" si="112"/>
        <v>0</v>
      </c>
      <c r="K270" s="14">
        <f t="shared" si="112"/>
        <v>0</v>
      </c>
      <c r="L270" s="2">
        <f t="shared" si="112"/>
        <v>0</v>
      </c>
      <c r="M270" s="2">
        <f t="shared" si="112"/>
        <v>7845</v>
      </c>
      <c r="N270" s="2">
        <f t="shared" si="112"/>
        <v>25612943.949999999</v>
      </c>
      <c r="O270" s="2">
        <f t="shared" si="112"/>
        <v>0</v>
      </c>
      <c r="P270" s="2">
        <f t="shared" si="112"/>
        <v>0</v>
      </c>
      <c r="Q270" s="2">
        <f t="shared" si="112"/>
        <v>9809.4</v>
      </c>
      <c r="R270" s="2">
        <f t="shared" si="112"/>
        <v>22910394.800000001</v>
      </c>
      <c r="S270" s="2">
        <f t="shared" si="112"/>
        <v>488565.26</v>
      </c>
      <c r="T270" s="2">
        <f t="shared" si="112"/>
        <v>0</v>
      </c>
      <c r="U270" s="2">
        <f t="shared" si="112"/>
        <v>2273665.7200000002</v>
      </c>
      <c r="V270" s="18">
        <f>C270+C766+C1118</f>
        <v>312420119.68000001</v>
      </c>
    </row>
    <row r="271" spans="1:22" ht="21.95" customHeight="1" x14ac:dyDescent="0.25">
      <c r="A271" s="40" t="s">
        <v>1853</v>
      </c>
      <c r="B271" s="8" t="s">
        <v>339</v>
      </c>
      <c r="C271" s="2">
        <f t="shared" si="101"/>
        <v>2925706.35</v>
      </c>
      <c r="D271" s="3">
        <f t="shared" ref="D271:D283" si="113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6">
        <f t="shared" ref="V271:V283" si="114">N271/M271</f>
        <v>3103.5535602559739</v>
      </c>
    </row>
    <row r="272" spans="1:22" ht="21.95" customHeight="1" x14ac:dyDescent="0.25">
      <c r="A272" s="40" t="s">
        <v>1854</v>
      </c>
      <c r="B272" s="8" t="s">
        <v>340</v>
      </c>
      <c r="C272" s="2">
        <f t="shared" si="101"/>
        <v>3929419.09</v>
      </c>
      <c r="D272" s="3">
        <f t="shared" si="113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6">
        <f t="shared" si="114"/>
        <v>3096.7366155937029</v>
      </c>
    </row>
    <row r="273" spans="1:22" ht="21.95" customHeight="1" x14ac:dyDescent="0.25">
      <c r="A273" s="40" t="s">
        <v>1855</v>
      </c>
      <c r="B273" s="8" t="s">
        <v>341</v>
      </c>
      <c r="C273" s="2">
        <f t="shared" si="101"/>
        <v>4817880.9799999995</v>
      </c>
      <c r="D273" s="3">
        <f t="shared" si="113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6">
        <f t="shared" si="114"/>
        <v>2964.71859999244</v>
      </c>
    </row>
    <row r="274" spans="1:22" ht="21.95" customHeight="1" x14ac:dyDescent="0.25">
      <c r="A274" s="40" t="s">
        <v>1856</v>
      </c>
      <c r="B274" s="8" t="s">
        <v>342</v>
      </c>
      <c r="C274" s="2">
        <f t="shared" si="101"/>
        <v>4998407.29</v>
      </c>
      <c r="D274" s="3">
        <f t="shared" si="113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6">
        <f t="shared" si="114"/>
        <v>2937.7836222355049</v>
      </c>
    </row>
    <row r="275" spans="1:22" ht="21.95" customHeight="1" x14ac:dyDescent="0.25">
      <c r="A275" s="40" t="s">
        <v>1857</v>
      </c>
      <c r="B275" s="8" t="s">
        <v>343</v>
      </c>
      <c r="C275" s="2">
        <f t="shared" si="101"/>
        <v>4568951.93</v>
      </c>
      <c r="D275" s="3">
        <f t="shared" si="113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6" t="e">
        <f t="shared" si="114"/>
        <v>#DIV/0!</v>
      </c>
    </row>
    <row r="276" spans="1:22" ht="21.95" customHeight="1" x14ac:dyDescent="0.25">
      <c r="A276" s="40" t="s">
        <v>1858</v>
      </c>
      <c r="B276" s="8" t="s">
        <v>345</v>
      </c>
      <c r="C276" s="2">
        <f t="shared" si="101"/>
        <v>4381271.97</v>
      </c>
      <c r="D276" s="3">
        <f t="shared" si="113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6" t="e">
        <f t="shared" si="114"/>
        <v>#DIV/0!</v>
      </c>
    </row>
    <row r="277" spans="1:22" ht="21.95" customHeight="1" x14ac:dyDescent="0.25">
      <c r="A277" s="40" t="s">
        <v>1859</v>
      </c>
      <c r="B277" s="8" t="s">
        <v>346</v>
      </c>
      <c r="C277" s="2">
        <f t="shared" si="101"/>
        <v>4530496.58</v>
      </c>
      <c r="D277" s="3">
        <f t="shared" si="113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6" t="e">
        <f t="shared" si="114"/>
        <v>#DIV/0!</v>
      </c>
    </row>
    <row r="278" spans="1:22" ht="21.95" customHeight="1" x14ac:dyDescent="0.25">
      <c r="A278" s="40" t="s">
        <v>1860</v>
      </c>
      <c r="B278" s="8" t="s">
        <v>347</v>
      </c>
      <c r="C278" s="2">
        <f t="shared" si="101"/>
        <v>4528460.6399999997</v>
      </c>
      <c r="D278" s="3">
        <f t="shared" si="113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6" t="e">
        <f t="shared" si="114"/>
        <v>#DIV/0!</v>
      </c>
    </row>
    <row r="279" spans="1:22" ht="21.95" customHeight="1" x14ac:dyDescent="0.25">
      <c r="A279" s="40" t="s">
        <v>1861</v>
      </c>
      <c r="B279" s="8" t="s">
        <v>344</v>
      </c>
      <c r="C279" s="2">
        <f>D279+L279+N279+P279+R279+S279+T279+U279</f>
        <v>105201.37</v>
      </c>
      <c r="D279" s="3">
        <f>SUM(E279:J279)</f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6" t="e">
        <f>N279/M279</f>
        <v>#DIV/0!</v>
      </c>
    </row>
    <row r="280" spans="1:22" ht="21.95" customHeight="1" x14ac:dyDescent="0.25">
      <c r="A280" s="40" t="s">
        <v>1862</v>
      </c>
      <c r="B280" s="8" t="s">
        <v>1399</v>
      </c>
      <c r="C280" s="2">
        <f t="shared" si="101"/>
        <v>3104305.26</v>
      </c>
      <c r="D280" s="3">
        <f t="shared" si="113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5">
        <v>0</v>
      </c>
      <c r="N280" s="5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6" t="e">
        <f t="shared" si="114"/>
        <v>#DIV/0!</v>
      </c>
    </row>
    <row r="281" spans="1:22" ht="21.95" customHeight="1" x14ac:dyDescent="0.25">
      <c r="A281" s="40" t="s">
        <v>1863</v>
      </c>
      <c r="B281" s="8" t="s">
        <v>1360</v>
      </c>
      <c r="C281" s="2">
        <f t="shared" ref="C281" si="115">D281+L281+N281+P281+R281+S281+T281+U281</f>
        <v>435666.08</v>
      </c>
      <c r="D281" s="3">
        <f t="shared" ref="D281" si="116">SUM(E281:J281)</f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6">
        <f>N775/M775</f>
        <v>5500</v>
      </c>
    </row>
    <row r="282" spans="1:22" ht="21.95" customHeight="1" x14ac:dyDescent="0.25">
      <c r="A282" s="40" t="s">
        <v>1864</v>
      </c>
      <c r="B282" s="8" t="s">
        <v>1400</v>
      </c>
      <c r="C282" s="2">
        <f t="shared" si="101"/>
        <v>8063449.2299999995</v>
      </c>
      <c r="D282" s="3">
        <f t="shared" si="113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5">
        <v>746</v>
      </c>
      <c r="N282" s="5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6">
        <f t="shared" si="114"/>
        <v>5328.1704423592491</v>
      </c>
    </row>
    <row r="283" spans="1:22" ht="21.95" customHeight="1" x14ac:dyDescent="0.25">
      <c r="A283" s="40" t="s">
        <v>1865</v>
      </c>
      <c r="B283" s="8" t="s">
        <v>372</v>
      </c>
      <c r="C283" s="2">
        <f>D283+L283+N283+P283+R283+S283+T283+U283</f>
        <v>5609632.9100000001</v>
      </c>
      <c r="D283" s="3">
        <f t="shared" si="113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6">
        <f t="shared" si="114"/>
        <v>3169.8599393405498</v>
      </c>
    </row>
    <row r="284" spans="1:22" s="16" customFormat="1" ht="24.95" customHeight="1" x14ac:dyDescent="0.25">
      <c r="A284" s="59" t="s">
        <v>209</v>
      </c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15"/>
    </row>
    <row r="285" spans="1:22" ht="24.95" customHeight="1" x14ac:dyDescent="0.25">
      <c r="A285" s="60" t="s">
        <v>210</v>
      </c>
      <c r="B285" s="60"/>
      <c r="C285" s="2">
        <f>C286+C291+C313+C315+C319+C321+C325+C327+C331+C333+C339+C347+C349+C351+C355+C357+C360+C362+C364+C368+C372+C375+C377+C384+C386+C409+C411+C421+C429+C431+C433+C452+C454+C456+C459+C461+C727+C731+C733+C736+C747+C749+C753+C755+C759+C761+C763+C766+C783+C786</f>
        <v>1979795024.76</v>
      </c>
      <c r="D285" s="2">
        <f t="shared" ref="D285:U285" si="117">D286+D291+D313+D315+D319+D321+D325+D327+D331+D333+D339+D347+D349+D351+D355+D357+D360+D362+D364+D368+D372+D375+D377+D384+D386+D409+D411+D421+D429+D431+D433+D452+D454+D456+D459+D461+D727+D731+D733+D736+D747+D749+D753+D755+D759+D761+D763+D766+D783+D786</f>
        <v>403949409</v>
      </c>
      <c r="E285" s="2">
        <f t="shared" si="117"/>
        <v>68845088.939999998</v>
      </c>
      <c r="F285" s="2">
        <f t="shared" si="117"/>
        <v>183969581.97</v>
      </c>
      <c r="G285" s="2">
        <f t="shared" si="117"/>
        <v>53169948.710000001</v>
      </c>
      <c r="H285" s="2">
        <f t="shared" si="117"/>
        <v>44947091.740000002</v>
      </c>
      <c r="I285" s="2">
        <f t="shared" si="117"/>
        <v>53017697.640000001</v>
      </c>
      <c r="J285" s="2">
        <f t="shared" si="117"/>
        <v>0</v>
      </c>
      <c r="K285" s="14">
        <f t="shared" si="117"/>
        <v>39</v>
      </c>
      <c r="L285" s="2">
        <f t="shared" si="117"/>
        <v>84600000</v>
      </c>
      <c r="M285" s="2">
        <f t="shared" si="117"/>
        <v>191093.06000000006</v>
      </c>
      <c r="N285" s="2">
        <f t="shared" si="117"/>
        <v>998457499.74999976</v>
      </c>
      <c r="O285" s="2">
        <f t="shared" si="117"/>
        <v>3554.35</v>
      </c>
      <c r="P285" s="2">
        <f t="shared" si="117"/>
        <v>5536923.4100000001</v>
      </c>
      <c r="Q285" s="2">
        <f t="shared" si="117"/>
        <v>147972.43000000002</v>
      </c>
      <c r="R285" s="2">
        <f t="shared" si="117"/>
        <v>438850696.38</v>
      </c>
      <c r="S285" s="2">
        <f t="shared" si="117"/>
        <v>12709538.32</v>
      </c>
      <c r="T285" s="2">
        <f t="shared" si="117"/>
        <v>0</v>
      </c>
      <c r="U285" s="2">
        <f t="shared" si="117"/>
        <v>35690957.899999999</v>
      </c>
    </row>
    <row r="286" spans="1:22" ht="45" customHeight="1" x14ac:dyDescent="0.25">
      <c r="A286" s="51" t="s">
        <v>1636</v>
      </c>
      <c r="B286" s="51"/>
      <c r="C286" s="2">
        <f>SUM(C287:C290)</f>
        <v>18646741</v>
      </c>
      <c r="D286" s="2">
        <f t="shared" ref="D286:U286" si="118">SUM(D287:D290)</f>
        <v>2688165</v>
      </c>
      <c r="E286" s="2">
        <f t="shared" si="118"/>
        <v>787045</v>
      </c>
      <c r="F286" s="2">
        <f t="shared" si="118"/>
        <v>664335</v>
      </c>
      <c r="G286" s="2">
        <f t="shared" si="118"/>
        <v>674610</v>
      </c>
      <c r="H286" s="2">
        <f t="shared" si="118"/>
        <v>0</v>
      </c>
      <c r="I286" s="2">
        <f t="shared" si="118"/>
        <v>562175</v>
      </c>
      <c r="J286" s="2">
        <f t="shared" si="118"/>
        <v>0</v>
      </c>
      <c r="K286" s="14">
        <f t="shared" si="118"/>
        <v>0</v>
      </c>
      <c r="L286" s="2">
        <f t="shared" si="118"/>
        <v>0</v>
      </c>
      <c r="M286" s="2">
        <f t="shared" si="118"/>
        <v>1654</v>
      </c>
      <c r="N286" s="2">
        <f t="shared" si="118"/>
        <v>8360516</v>
      </c>
      <c r="O286" s="2">
        <f t="shared" si="118"/>
        <v>0</v>
      </c>
      <c r="P286" s="2">
        <f t="shared" si="118"/>
        <v>0</v>
      </c>
      <c r="Q286" s="2">
        <f t="shared" si="118"/>
        <v>2066.02</v>
      </c>
      <c r="R286" s="2">
        <f t="shared" si="118"/>
        <v>6198060</v>
      </c>
      <c r="S286" s="2">
        <f t="shared" si="118"/>
        <v>0</v>
      </c>
      <c r="T286" s="2">
        <f t="shared" si="118"/>
        <v>0</v>
      </c>
      <c r="U286" s="2">
        <f t="shared" si="118"/>
        <v>1400000</v>
      </c>
    </row>
    <row r="287" spans="1:22" ht="21.95" customHeight="1" x14ac:dyDescent="0.25">
      <c r="A287" s="40" t="s">
        <v>1866</v>
      </c>
      <c r="B287" s="41" t="s">
        <v>20</v>
      </c>
      <c r="C287" s="2">
        <f>D287+L287+N287+P287+R287+S287+T287+U287</f>
        <v>5592200</v>
      </c>
      <c r="D287" s="3">
        <f>SUM(E287:J287)</f>
        <v>623700</v>
      </c>
      <c r="E287" s="3">
        <f>350*693</f>
        <v>242550</v>
      </c>
      <c r="F287" s="3">
        <f>800*0</f>
        <v>0</v>
      </c>
      <c r="G287" s="3">
        <f>300*693</f>
        <v>207900</v>
      </c>
      <c r="H287" s="3">
        <f>400*0</f>
        <v>0</v>
      </c>
      <c r="I287" s="3">
        <f>250*693</f>
        <v>173250</v>
      </c>
      <c r="J287" s="3">
        <f>350*0</f>
        <v>0</v>
      </c>
      <c r="K287" s="4">
        <v>0</v>
      </c>
      <c r="L287" s="3">
        <v>0</v>
      </c>
      <c r="M287" s="3">
        <v>532</v>
      </c>
      <c r="N287" s="3">
        <f>M287*5500</f>
        <v>2926000</v>
      </c>
      <c r="O287" s="3">
        <v>0</v>
      </c>
      <c r="P287" s="3">
        <v>0</v>
      </c>
      <c r="Q287" s="3">
        <v>647.5</v>
      </c>
      <c r="R287" s="3">
        <f>Q287*3000</f>
        <v>1942500</v>
      </c>
      <c r="S287" s="3">
        <v>0</v>
      </c>
      <c r="T287" s="3">
        <v>0</v>
      </c>
      <c r="U287" s="3">
        <v>100000</v>
      </c>
      <c r="V287" s="6">
        <f>N287/M287</f>
        <v>5500</v>
      </c>
    </row>
    <row r="288" spans="1:22" ht="21.95" customHeight="1" x14ac:dyDescent="0.25">
      <c r="A288" s="40" t="s">
        <v>1867</v>
      </c>
      <c r="B288" s="41" t="s">
        <v>21</v>
      </c>
      <c r="C288" s="2">
        <f>D288+L288+N288+P288+R288+S288+T288+U288</f>
        <v>3134801</v>
      </c>
      <c r="D288" s="3">
        <f>SUM(E288:J288)</f>
        <v>658905</v>
      </c>
      <c r="E288" s="3">
        <f>350*337.9</f>
        <v>118264.99999999999</v>
      </c>
      <c r="F288" s="3">
        <f>1050*337.9</f>
        <v>354795</v>
      </c>
      <c r="G288" s="3">
        <f>300*337.9</f>
        <v>101370</v>
      </c>
      <c r="H288" s="3">
        <f>500*0</f>
        <v>0</v>
      </c>
      <c r="I288" s="3">
        <f>250*337.9</f>
        <v>84475</v>
      </c>
      <c r="J288" s="3">
        <f>350*0</f>
        <v>0</v>
      </c>
      <c r="K288" s="4">
        <v>0</v>
      </c>
      <c r="L288" s="3">
        <v>0</v>
      </c>
      <c r="M288" s="3">
        <v>196</v>
      </c>
      <c r="N288" s="3">
        <f>M288*3686</f>
        <v>722456</v>
      </c>
      <c r="O288" s="3">
        <v>0</v>
      </c>
      <c r="P288" s="3">
        <v>0</v>
      </c>
      <c r="Q288" s="3">
        <v>384.48</v>
      </c>
      <c r="R288" s="3">
        <f>Q288*3000</f>
        <v>1153440</v>
      </c>
      <c r="S288" s="3">
        <v>0</v>
      </c>
      <c r="T288" s="3">
        <v>0</v>
      </c>
      <c r="U288" s="3">
        <v>600000</v>
      </c>
      <c r="V288" s="6">
        <f>N288/M288</f>
        <v>3686</v>
      </c>
    </row>
    <row r="289" spans="1:22" ht="21.95" customHeight="1" x14ac:dyDescent="0.25">
      <c r="A289" s="40" t="s">
        <v>1868</v>
      </c>
      <c r="B289" s="42" t="s">
        <v>22</v>
      </c>
      <c r="C289" s="2">
        <f>D289+L289+N289+P289+R289+S289+T289+U289</f>
        <v>2795040</v>
      </c>
      <c r="D289" s="3">
        <f>SUM(E289:J289)</f>
        <v>574860</v>
      </c>
      <c r="E289" s="3">
        <f>350*294.8</f>
        <v>103180</v>
      </c>
      <c r="F289" s="3">
        <f>1050*294.8</f>
        <v>309540</v>
      </c>
      <c r="G289" s="3">
        <f>300*294.8</f>
        <v>88440</v>
      </c>
      <c r="H289" s="3">
        <f>500*0</f>
        <v>0</v>
      </c>
      <c r="I289" s="3">
        <f>250*294.8</f>
        <v>73700</v>
      </c>
      <c r="J289" s="3">
        <f>350*0</f>
        <v>0</v>
      </c>
      <c r="K289" s="4">
        <v>0</v>
      </c>
      <c r="L289" s="3">
        <v>0</v>
      </c>
      <c r="M289" s="3">
        <v>210</v>
      </c>
      <c r="N289" s="3">
        <f>M289*3686</f>
        <v>774060</v>
      </c>
      <c r="O289" s="3">
        <v>0</v>
      </c>
      <c r="P289" s="3">
        <v>0</v>
      </c>
      <c r="Q289" s="3">
        <v>282.04000000000002</v>
      </c>
      <c r="R289" s="3">
        <f>Q289*3000</f>
        <v>846120.00000000012</v>
      </c>
      <c r="S289" s="3">
        <v>0</v>
      </c>
      <c r="T289" s="3">
        <v>0</v>
      </c>
      <c r="U289" s="3">
        <v>600000</v>
      </c>
      <c r="V289" s="6">
        <f>N289/M289</f>
        <v>3686</v>
      </c>
    </row>
    <row r="290" spans="1:22" ht="21.95" customHeight="1" x14ac:dyDescent="0.25">
      <c r="A290" s="40" t="s">
        <v>1869</v>
      </c>
      <c r="B290" s="43" t="s">
        <v>23</v>
      </c>
      <c r="C290" s="2">
        <f>D290+L290+N290+P290+R290+S290+T290+U290</f>
        <v>7124700</v>
      </c>
      <c r="D290" s="3">
        <f>SUM(E290:J290)</f>
        <v>830700</v>
      </c>
      <c r="E290" s="3">
        <f>350*923</f>
        <v>323050</v>
      </c>
      <c r="F290" s="3">
        <f>800*0</f>
        <v>0</v>
      </c>
      <c r="G290" s="3">
        <f>300*923</f>
        <v>276900</v>
      </c>
      <c r="H290" s="3">
        <f>400*0</f>
        <v>0</v>
      </c>
      <c r="I290" s="3">
        <f>250*923</f>
        <v>230750</v>
      </c>
      <c r="J290" s="3">
        <f>350*0</f>
        <v>0</v>
      </c>
      <c r="K290" s="4">
        <v>0</v>
      </c>
      <c r="L290" s="3">
        <v>0</v>
      </c>
      <c r="M290" s="3">
        <v>716</v>
      </c>
      <c r="N290" s="3">
        <f>M290*5500</f>
        <v>3938000</v>
      </c>
      <c r="O290" s="3">
        <v>0</v>
      </c>
      <c r="P290" s="3">
        <v>0</v>
      </c>
      <c r="Q290" s="3">
        <v>752</v>
      </c>
      <c r="R290" s="3">
        <f>Q290*3000</f>
        <v>2256000</v>
      </c>
      <c r="S290" s="3">
        <v>0</v>
      </c>
      <c r="T290" s="3">
        <v>0</v>
      </c>
      <c r="U290" s="3">
        <v>100000</v>
      </c>
      <c r="V290" s="6">
        <f>N290/M290</f>
        <v>5500</v>
      </c>
    </row>
    <row r="291" spans="1:22" ht="45" customHeight="1" x14ac:dyDescent="0.25">
      <c r="A291" s="51" t="s">
        <v>0</v>
      </c>
      <c r="B291" s="51"/>
      <c r="C291" s="2">
        <f>SUM(C292:C312)</f>
        <v>148966477.45999998</v>
      </c>
      <c r="D291" s="2">
        <f t="shared" ref="D291:U291" si="119">SUM(D292:D312)</f>
        <v>20801965</v>
      </c>
      <c r="E291" s="2">
        <f t="shared" si="119"/>
        <v>3098165</v>
      </c>
      <c r="F291" s="2">
        <f t="shared" si="119"/>
        <v>9294495</v>
      </c>
      <c r="G291" s="2">
        <f t="shared" si="119"/>
        <v>2655570</v>
      </c>
      <c r="H291" s="2">
        <f t="shared" si="119"/>
        <v>3540760</v>
      </c>
      <c r="I291" s="2">
        <f t="shared" si="119"/>
        <v>2212975</v>
      </c>
      <c r="J291" s="2">
        <f t="shared" si="119"/>
        <v>0</v>
      </c>
      <c r="K291" s="14">
        <f t="shared" si="119"/>
        <v>10</v>
      </c>
      <c r="L291" s="2">
        <f t="shared" si="119"/>
        <v>21500000</v>
      </c>
      <c r="M291" s="2">
        <f t="shared" si="119"/>
        <v>14469.790000000003</v>
      </c>
      <c r="N291" s="2">
        <f t="shared" si="119"/>
        <v>66338797.020000003</v>
      </c>
      <c r="O291" s="2">
        <f t="shared" si="119"/>
        <v>383.4</v>
      </c>
      <c r="P291" s="2">
        <f t="shared" si="119"/>
        <v>1195680</v>
      </c>
      <c r="Q291" s="2">
        <f t="shared" si="119"/>
        <v>12193.7</v>
      </c>
      <c r="R291" s="2">
        <f t="shared" si="119"/>
        <v>36581100</v>
      </c>
      <c r="S291" s="2">
        <f t="shared" si="119"/>
        <v>0</v>
      </c>
      <c r="T291" s="2">
        <f t="shared" si="119"/>
        <v>0</v>
      </c>
      <c r="U291" s="2">
        <f t="shared" si="119"/>
        <v>2548935.44</v>
      </c>
    </row>
    <row r="292" spans="1:22" ht="23.1" customHeight="1" x14ac:dyDescent="0.25">
      <c r="A292" s="40" t="s">
        <v>1870</v>
      </c>
      <c r="B292" s="19" t="s">
        <v>40</v>
      </c>
      <c r="C292" s="2">
        <f t="shared" ref="C292:C356" si="120">D292+L292+N292+P292+R292+S292+T292+U292</f>
        <v>3781250</v>
      </c>
      <c r="D292" s="3">
        <f t="shared" ref="D292:D312" si="121">SUM(E292:J292)</f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4">
        <v>0</v>
      </c>
      <c r="L292" s="3">
        <v>0</v>
      </c>
      <c r="M292" s="3">
        <v>687.5</v>
      </c>
      <c r="N292" s="3">
        <f t="shared" ref="N292:N293" si="122">M292*5500</f>
        <v>3781250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6">
        <f t="shared" ref="V292:V312" si="123">N292/M292</f>
        <v>5500</v>
      </c>
    </row>
    <row r="293" spans="1:22" ht="23.1" customHeight="1" x14ac:dyDescent="0.25">
      <c r="A293" s="40" t="s">
        <v>1871</v>
      </c>
      <c r="B293" s="8" t="s">
        <v>44</v>
      </c>
      <c r="C293" s="2">
        <f t="shared" si="120"/>
        <v>4675000</v>
      </c>
      <c r="D293" s="3">
        <f t="shared" si="121"/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850</v>
      </c>
      <c r="N293" s="3">
        <f t="shared" si="122"/>
        <v>4675000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6">
        <f t="shared" si="123"/>
        <v>5500</v>
      </c>
    </row>
    <row r="294" spans="1:22" ht="23.1" customHeight="1" x14ac:dyDescent="0.25">
      <c r="A294" s="40" t="s">
        <v>1872</v>
      </c>
      <c r="B294" s="8" t="s">
        <v>17</v>
      </c>
      <c r="C294" s="2">
        <f t="shared" si="120"/>
        <v>14724680.439999999</v>
      </c>
      <c r="D294" s="3">
        <f t="shared" si="121"/>
        <v>4928655</v>
      </c>
      <c r="E294" s="3">
        <f>350*2097.3</f>
        <v>734055.00000000012</v>
      </c>
      <c r="F294" s="3">
        <f>1050*2097.3</f>
        <v>2202165</v>
      </c>
      <c r="G294" s="3">
        <f>300*2097.3</f>
        <v>629190</v>
      </c>
      <c r="H294" s="3">
        <f>400*2097.3</f>
        <v>838920.00000000012</v>
      </c>
      <c r="I294" s="3">
        <f>250*2097.3</f>
        <v>524325</v>
      </c>
      <c r="J294" s="3">
        <f>350*0</f>
        <v>0</v>
      </c>
      <c r="K294" s="4">
        <v>0</v>
      </c>
      <c r="L294" s="3">
        <v>0</v>
      </c>
      <c r="M294" s="3">
        <v>1315</v>
      </c>
      <c r="N294" s="3">
        <f>M294*3686</f>
        <v>4847090</v>
      </c>
      <c r="O294" s="3">
        <v>0</v>
      </c>
      <c r="P294" s="3">
        <v>0</v>
      </c>
      <c r="Q294" s="3">
        <v>1500</v>
      </c>
      <c r="R294" s="3">
        <f>Q294*3000</f>
        <v>4500000</v>
      </c>
      <c r="S294" s="3">
        <v>0</v>
      </c>
      <c r="T294" s="3">
        <v>0</v>
      </c>
      <c r="U294" s="3">
        <v>448935.44</v>
      </c>
      <c r="V294" s="6">
        <f t="shared" si="123"/>
        <v>3686</v>
      </c>
    </row>
    <row r="295" spans="1:22" ht="23.1" customHeight="1" x14ac:dyDescent="0.25">
      <c r="A295" s="40" t="s">
        <v>1873</v>
      </c>
      <c r="B295" s="8" t="s">
        <v>47</v>
      </c>
      <c r="C295" s="2">
        <f t="shared" si="120"/>
        <v>1409650</v>
      </c>
      <c r="D295" s="3">
        <f t="shared" si="121"/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256.3</v>
      </c>
      <c r="N295" s="3">
        <f t="shared" ref="N295:N301" si="124">M295*5500</f>
        <v>1409650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6">
        <f t="shared" si="123"/>
        <v>5500</v>
      </c>
    </row>
    <row r="296" spans="1:22" ht="23.1" customHeight="1" x14ac:dyDescent="0.25">
      <c r="A296" s="40" t="s">
        <v>1874</v>
      </c>
      <c r="B296" s="8" t="s">
        <v>32</v>
      </c>
      <c r="C296" s="2">
        <f t="shared" si="120"/>
        <v>10227570</v>
      </c>
      <c r="D296" s="3">
        <f t="shared" si="121"/>
        <v>2341540</v>
      </c>
      <c r="E296" s="3">
        <f>350*996.4</f>
        <v>348740</v>
      </c>
      <c r="F296" s="3">
        <f>1050*996.4</f>
        <v>1046220</v>
      </c>
      <c r="G296" s="3">
        <f>300*996.4</f>
        <v>298920</v>
      </c>
      <c r="H296" s="3">
        <f>400*996.4</f>
        <v>398560</v>
      </c>
      <c r="I296" s="3">
        <f>250*996.4</f>
        <v>249100</v>
      </c>
      <c r="J296" s="3">
        <f>350*0</f>
        <v>0</v>
      </c>
      <c r="K296" s="4">
        <v>0</v>
      </c>
      <c r="L296" s="3">
        <v>0</v>
      </c>
      <c r="M296" s="3">
        <v>774.3</v>
      </c>
      <c r="N296" s="3">
        <f t="shared" si="124"/>
        <v>4258650</v>
      </c>
      <c r="O296" s="3">
        <v>383.4</v>
      </c>
      <c r="P296" s="3">
        <v>1195680</v>
      </c>
      <c r="Q296" s="3">
        <v>743.9</v>
      </c>
      <c r="R296" s="3">
        <f>Q296*3000</f>
        <v>2231700</v>
      </c>
      <c r="S296" s="3">
        <v>0</v>
      </c>
      <c r="T296" s="3">
        <v>0</v>
      </c>
      <c r="U296" s="3">
        <v>200000</v>
      </c>
      <c r="V296" s="6">
        <f t="shared" si="123"/>
        <v>5500</v>
      </c>
    </row>
    <row r="297" spans="1:22" ht="23.1" customHeight="1" x14ac:dyDescent="0.25">
      <c r="A297" s="40" t="s">
        <v>1875</v>
      </c>
      <c r="B297" s="8" t="s">
        <v>51</v>
      </c>
      <c r="C297" s="2">
        <f t="shared" si="120"/>
        <v>6689100</v>
      </c>
      <c r="D297" s="3">
        <f t="shared" si="121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1216.2</v>
      </c>
      <c r="N297" s="3">
        <f t="shared" si="124"/>
        <v>6689100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6">
        <f t="shared" si="123"/>
        <v>5500</v>
      </c>
    </row>
    <row r="298" spans="1:22" ht="21.95" customHeight="1" x14ac:dyDescent="0.25">
      <c r="A298" s="40" t="s">
        <v>1876</v>
      </c>
      <c r="B298" s="19" t="s">
        <v>1369</v>
      </c>
      <c r="C298" s="2">
        <f>D298+L298+N298+P298+R298+S298+T298+U298</f>
        <v>3856760.0000000005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610.32000000000005</v>
      </c>
      <c r="N298" s="20">
        <f>M298*5500</f>
        <v>3356760.0000000005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500000</v>
      </c>
      <c r="V298" s="6">
        <f>N298/M298</f>
        <v>5500</v>
      </c>
    </row>
    <row r="299" spans="1:22" ht="21.95" customHeight="1" x14ac:dyDescent="0.25">
      <c r="A299" s="40" t="s">
        <v>1877</v>
      </c>
      <c r="B299" s="8" t="s">
        <v>54</v>
      </c>
      <c r="C299" s="2">
        <f>D299+L299+N299+P299+R299+S299+T299+U299</f>
        <v>2745000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0</v>
      </c>
      <c r="L299" s="3">
        <v>0</v>
      </c>
      <c r="M299" s="3">
        <v>390</v>
      </c>
      <c r="N299" s="20">
        <f>M299*5500</f>
        <v>2145000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600000</v>
      </c>
      <c r="V299" s="6">
        <f>N299/M299</f>
        <v>5500</v>
      </c>
    </row>
    <row r="300" spans="1:22" ht="23.1" customHeight="1" x14ac:dyDescent="0.25">
      <c r="A300" s="40" t="s">
        <v>1878</v>
      </c>
      <c r="B300" s="8" t="s">
        <v>52</v>
      </c>
      <c r="C300" s="2">
        <f t="shared" si="120"/>
        <v>2772000</v>
      </c>
      <c r="D300" s="3">
        <f t="shared" si="121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504</v>
      </c>
      <c r="N300" s="3">
        <f t="shared" si="124"/>
        <v>2772000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6">
        <f t="shared" si="123"/>
        <v>5500</v>
      </c>
    </row>
    <row r="301" spans="1:22" ht="23.1" customHeight="1" x14ac:dyDescent="0.25">
      <c r="A301" s="40" t="s">
        <v>1879</v>
      </c>
      <c r="B301" s="19" t="s">
        <v>58</v>
      </c>
      <c r="C301" s="2">
        <f t="shared" si="120"/>
        <v>3345649.9999999995</v>
      </c>
      <c r="D301" s="3">
        <f t="shared" si="121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608.29999999999995</v>
      </c>
      <c r="N301" s="3">
        <f t="shared" si="124"/>
        <v>3345649.9999999995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6">
        <f t="shared" si="123"/>
        <v>5500</v>
      </c>
    </row>
    <row r="302" spans="1:22" ht="23.1" customHeight="1" x14ac:dyDescent="0.25">
      <c r="A302" s="40" t="s">
        <v>1880</v>
      </c>
      <c r="B302" s="8" t="s">
        <v>33</v>
      </c>
      <c r="C302" s="2">
        <f t="shared" si="120"/>
        <v>3384485.2</v>
      </c>
      <c r="D302" s="3">
        <f t="shared" si="121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918.2</v>
      </c>
      <c r="N302" s="3">
        <f t="shared" ref="N302:N304" si="125">M302*3686</f>
        <v>3384485.2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6">
        <f t="shared" si="123"/>
        <v>3686</v>
      </c>
    </row>
    <row r="303" spans="1:22" ht="23.1" customHeight="1" x14ac:dyDescent="0.25">
      <c r="A303" s="40" t="s">
        <v>1881</v>
      </c>
      <c r="B303" s="8" t="s">
        <v>1644</v>
      </c>
      <c r="C303" s="2">
        <f t="shared" ref="C303" si="126">D303+L303+N303+P303+R303+S303+T303+U303</f>
        <v>13400000</v>
      </c>
      <c r="D303" s="3">
        <f t="shared" ref="D303" si="127">SUM(E303:J303)</f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6</v>
      </c>
      <c r="L303" s="3">
        <f>K303*2150000</f>
        <v>12900000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500000</v>
      </c>
      <c r="V303" s="6" t="e">
        <f t="shared" si="123"/>
        <v>#DIV/0!</v>
      </c>
    </row>
    <row r="304" spans="1:22" ht="23.1" customHeight="1" x14ac:dyDescent="0.25">
      <c r="A304" s="40" t="s">
        <v>1882</v>
      </c>
      <c r="B304" s="8" t="s">
        <v>34</v>
      </c>
      <c r="C304" s="2">
        <f t="shared" si="120"/>
        <v>1232229.8</v>
      </c>
      <c r="D304" s="3">
        <f t="shared" si="121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334.3</v>
      </c>
      <c r="N304" s="3">
        <f t="shared" si="125"/>
        <v>1232229.8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6">
        <f t="shared" si="123"/>
        <v>3686</v>
      </c>
    </row>
    <row r="305" spans="1:22" ht="23.1" customHeight="1" x14ac:dyDescent="0.25">
      <c r="A305" s="40" t="s">
        <v>1883</v>
      </c>
      <c r="B305" s="8" t="s">
        <v>61</v>
      </c>
      <c r="C305" s="2">
        <f>D305+L305+N305+P305+R305+S305+T305+U305</f>
        <v>5286600</v>
      </c>
      <c r="D305" s="3">
        <f>SUM(E305:J305)</f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961.2</v>
      </c>
      <c r="N305" s="3">
        <f>M305*5500</f>
        <v>5286600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6">
        <f>N305/M305</f>
        <v>5500</v>
      </c>
    </row>
    <row r="306" spans="1:22" ht="23.1" customHeight="1" x14ac:dyDescent="0.25">
      <c r="A306" s="40" t="s">
        <v>1884</v>
      </c>
      <c r="B306" s="8" t="s">
        <v>60</v>
      </c>
      <c r="C306" s="2">
        <f t="shared" si="120"/>
        <v>1705550.0000000002</v>
      </c>
      <c r="D306" s="3">
        <f t="shared" si="121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0</v>
      </c>
      <c r="L306" s="3">
        <v>0</v>
      </c>
      <c r="M306" s="3">
        <v>310.10000000000002</v>
      </c>
      <c r="N306" s="3">
        <f t="shared" ref="N306" si="128">M306*5500</f>
        <v>1705550.0000000002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6">
        <f t="shared" si="123"/>
        <v>5500</v>
      </c>
    </row>
    <row r="307" spans="1:22" ht="23.1" customHeight="1" x14ac:dyDescent="0.25">
      <c r="A307" s="40" t="s">
        <v>1885</v>
      </c>
      <c r="B307" s="8" t="s">
        <v>64</v>
      </c>
      <c r="C307" s="2">
        <f t="shared" si="120"/>
        <v>13097316</v>
      </c>
      <c r="D307" s="3">
        <f t="shared" si="121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1206</v>
      </c>
      <c r="N307" s="3">
        <f t="shared" ref="N307:N309" si="129">M307*3686</f>
        <v>4445316</v>
      </c>
      <c r="O307" s="3">
        <v>0</v>
      </c>
      <c r="P307" s="3">
        <v>0</v>
      </c>
      <c r="Q307" s="3">
        <v>2884</v>
      </c>
      <c r="R307" s="3">
        <f t="shared" ref="R307:R308" si="130">Q307*3000</f>
        <v>8652000</v>
      </c>
      <c r="S307" s="3">
        <v>0</v>
      </c>
      <c r="T307" s="3">
        <v>0</v>
      </c>
      <c r="U307" s="3">
        <v>0</v>
      </c>
      <c r="V307" s="6">
        <f t="shared" si="123"/>
        <v>3686</v>
      </c>
    </row>
    <row r="308" spans="1:22" ht="23.1" customHeight="1" x14ac:dyDescent="0.25">
      <c r="A308" s="40" t="s">
        <v>1886</v>
      </c>
      <c r="B308" s="8" t="s">
        <v>1181</v>
      </c>
      <c r="C308" s="2">
        <f t="shared" si="120"/>
        <v>9951322.8200000003</v>
      </c>
      <c r="D308" s="3">
        <f t="shared" si="121"/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4">
        <v>0</v>
      </c>
      <c r="L308" s="3">
        <v>0</v>
      </c>
      <c r="M308" s="3">
        <v>1006.87</v>
      </c>
      <c r="N308" s="3">
        <f t="shared" si="129"/>
        <v>3711322.82</v>
      </c>
      <c r="O308" s="3">
        <v>0</v>
      </c>
      <c r="P308" s="3">
        <v>0</v>
      </c>
      <c r="Q308" s="3">
        <v>2080</v>
      </c>
      <c r="R308" s="3">
        <f t="shared" si="130"/>
        <v>6240000</v>
      </c>
      <c r="S308" s="3">
        <v>0</v>
      </c>
      <c r="T308" s="3">
        <v>0</v>
      </c>
      <c r="U308" s="3">
        <v>0</v>
      </c>
      <c r="V308" s="6">
        <f t="shared" si="123"/>
        <v>3686</v>
      </c>
    </row>
    <row r="309" spans="1:22" ht="23.1" customHeight="1" x14ac:dyDescent="0.25">
      <c r="A309" s="40" t="s">
        <v>1887</v>
      </c>
      <c r="B309" s="19" t="s">
        <v>36</v>
      </c>
      <c r="C309" s="2">
        <f t="shared" si="120"/>
        <v>4556264.5999999996</v>
      </c>
      <c r="D309" s="3">
        <f t="shared" si="121"/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4">
        <v>0</v>
      </c>
      <c r="L309" s="3">
        <v>0</v>
      </c>
      <c r="M309" s="3">
        <v>1236.0999999999999</v>
      </c>
      <c r="N309" s="3">
        <f t="shared" si="129"/>
        <v>4556264.5999999996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6">
        <f t="shared" si="123"/>
        <v>3686</v>
      </c>
    </row>
    <row r="310" spans="1:22" ht="23.1" customHeight="1" x14ac:dyDescent="0.25">
      <c r="A310" s="40" t="s">
        <v>1888</v>
      </c>
      <c r="B310" s="8" t="s">
        <v>1352</v>
      </c>
      <c r="C310" s="2">
        <f t="shared" si="120"/>
        <v>8800000</v>
      </c>
      <c r="D310" s="3">
        <f t="shared" si="121"/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4</v>
      </c>
      <c r="L310" s="3">
        <f>K310*2150000</f>
        <v>8600000</v>
      </c>
      <c r="M310" s="3">
        <v>0</v>
      </c>
      <c r="N310" s="20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200000</v>
      </c>
      <c r="V310" s="6" t="e">
        <f t="shared" si="123"/>
        <v>#DIV/0!</v>
      </c>
    </row>
    <row r="311" spans="1:22" ht="23.1" customHeight="1" x14ac:dyDescent="0.25">
      <c r="A311" s="40" t="s">
        <v>1889</v>
      </c>
      <c r="B311" s="19" t="s">
        <v>37</v>
      </c>
      <c r="C311" s="2">
        <f t="shared" si="120"/>
        <v>14957400</v>
      </c>
      <c r="D311" s="3">
        <f t="shared" si="121"/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4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4985.8</v>
      </c>
      <c r="R311" s="3">
        <f>Q311*3000</f>
        <v>14957400</v>
      </c>
      <c r="S311" s="3">
        <v>0</v>
      </c>
      <c r="T311" s="3">
        <v>0</v>
      </c>
      <c r="U311" s="3">
        <v>0</v>
      </c>
      <c r="V311" s="6" t="e">
        <f t="shared" si="123"/>
        <v>#DIV/0!</v>
      </c>
    </row>
    <row r="312" spans="1:22" ht="23.1" customHeight="1" x14ac:dyDescent="0.25">
      <c r="A312" s="40" t="s">
        <v>1890</v>
      </c>
      <c r="B312" s="19" t="s">
        <v>38</v>
      </c>
      <c r="C312" s="2">
        <f t="shared" si="120"/>
        <v>18368648.600000001</v>
      </c>
      <c r="D312" s="3">
        <f t="shared" si="121"/>
        <v>13531770</v>
      </c>
      <c r="E312" s="3">
        <f>350*5758.2</f>
        <v>2015370</v>
      </c>
      <c r="F312" s="3">
        <f>1050*5758.2</f>
        <v>6046110</v>
      </c>
      <c r="G312" s="3">
        <f>300*5758.2</f>
        <v>1727460</v>
      </c>
      <c r="H312" s="3">
        <f>400*5758.2</f>
        <v>2303280</v>
      </c>
      <c r="I312" s="3">
        <f>250*5758.2</f>
        <v>1439550</v>
      </c>
      <c r="J312" s="3">
        <f>350*0</f>
        <v>0</v>
      </c>
      <c r="K312" s="4">
        <v>0</v>
      </c>
      <c r="L312" s="3">
        <v>0</v>
      </c>
      <c r="M312" s="3">
        <v>1285.0999999999999</v>
      </c>
      <c r="N312" s="3">
        <f>M312*3686</f>
        <v>4736878.5999999996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100000</v>
      </c>
      <c r="V312" s="6">
        <f t="shared" si="123"/>
        <v>3686</v>
      </c>
    </row>
    <row r="313" spans="1:22" ht="42.95" customHeight="1" x14ac:dyDescent="0.25">
      <c r="A313" s="51" t="s">
        <v>30</v>
      </c>
      <c r="B313" s="51"/>
      <c r="C313" s="2">
        <f>SUM(C314)</f>
        <v>1963500</v>
      </c>
      <c r="D313" s="2">
        <f t="shared" ref="D313:U313" si="131">SUM(D314)</f>
        <v>0</v>
      </c>
      <c r="E313" s="2">
        <f t="shared" si="131"/>
        <v>0</v>
      </c>
      <c r="F313" s="2">
        <f t="shared" si="131"/>
        <v>0</v>
      </c>
      <c r="G313" s="2">
        <f t="shared" si="131"/>
        <v>0</v>
      </c>
      <c r="H313" s="2">
        <f t="shared" si="131"/>
        <v>0</v>
      </c>
      <c r="I313" s="2">
        <f t="shared" si="131"/>
        <v>0</v>
      </c>
      <c r="J313" s="2">
        <f t="shared" si="131"/>
        <v>0</v>
      </c>
      <c r="K313" s="14">
        <f t="shared" si="131"/>
        <v>0</v>
      </c>
      <c r="L313" s="2">
        <f t="shared" si="131"/>
        <v>0</v>
      </c>
      <c r="M313" s="2">
        <f t="shared" si="131"/>
        <v>357</v>
      </c>
      <c r="N313" s="2">
        <f t="shared" si="131"/>
        <v>1963500</v>
      </c>
      <c r="O313" s="2">
        <f t="shared" si="131"/>
        <v>0</v>
      </c>
      <c r="P313" s="2">
        <f t="shared" si="131"/>
        <v>0</v>
      </c>
      <c r="Q313" s="2">
        <f t="shared" si="131"/>
        <v>0</v>
      </c>
      <c r="R313" s="2">
        <f t="shared" si="131"/>
        <v>0</v>
      </c>
      <c r="S313" s="2">
        <f t="shared" si="131"/>
        <v>0</v>
      </c>
      <c r="T313" s="2">
        <f t="shared" si="131"/>
        <v>0</v>
      </c>
      <c r="U313" s="2">
        <f t="shared" si="131"/>
        <v>0</v>
      </c>
      <c r="V313" s="18">
        <f>C313</f>
        <v>1963500</v>
      </c>
    </row>
    <row r="314" spans="1:22" ht="21.95" customHeight="1" x14ac:dyDescent="0.25">
      <c r="A314" s="40" t="s">
        <v>1891</v>
      </c>
      <c r="B314" s="8" t="s">
        <v>31</v>
      </c>
      <c r="C314" s="2">
        <f t="shared" si="120"/>
        <v>1963500</v>
      </c>
      <c r="D314" s="3">
        <f t="shared" ref="D314" si="132"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357</v>
      </c>
      <c r="N314" s="3">
        <f t="shared" ref="N314" si="133">M314*5500</f>
        <v>1963500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6">
        <f>N314/M314</f>
        <v>5500</v>
      </c>
    </row>
    <row r="315" spans="1:22" ht="42.95" customHeight="1" x14ac:dyDescent="0.25">
      <c r="A315" s="51" t="s">
        <v>74</v>
      </c>
      <c r="B315" s="51"/>
      <c r="C315" s="2">
        <f>SUM(C316:C318)</f>
        <v>7505000</v>
      </c>
      <c r="D315" s="2">
        <f t="shared" ref="D315:U315" si="134">SUM(D316:D318)</f>
        <v>0</v>
      </c>
      <c r="E315" s="2">
        <f t="shared" si="134"/>
        <v>0</v>
      </c>
      <c r="F315" s="2">
        <f t="shared" si="134"/>
        <v>0</v>
      </c>
      <c r="G315" s="2">
        <f t="shared" si="134"/>
        <v>0</v>
      </c>
      <c r="H315" s="2">
        <f t="shared" si="134"/>
        <v>0</v>
      </c>
      <c r="I315" s="2">
        <f t="shared" si="134"/>
        <v>0</v>
      </c>
      <c r="J315" s="2">
        <f t="shared" si="134"/>
        <v>0</v>
      </c>
      <c r="K315" s="14">
        <f t="shared" si="134"/>
        <v>0</v>
      </c>
      <c r="L315" s="2">
        <f t="shared" si="134"/>
        <v>0</v>
      </c>
      <c r="M315" s="2">
        <f t="shared" si="134"/>
        <v>1310</v>
      </c>
      <c r="N315" s="2">
        <f t="shared" si="134"/>
        <v>7205000</v>
      </c>
      <c r="O315" s="2">
        <f t="shared" si="134"/>
        <v>0</v>
      </c>
      <c r="P315" s="2">
        <f t="shared" si="134"/>
        <v>0</v>
      </c>
      <c r="Q315" s="2">
        <f t="shared" si="134"/>
        <v>0</v>
      </c>
      <c r="R315" s="2">
        <f t="shared" si="134"/>
        <v>0</v>
      </c>
      <c r="S315" s="2">
        <f t="shared" si="134"/>
        <v>0</v>
      </c>
      <c r="T315" s="2">
        <f t="shared" si="134"/>
        <v>0</v>
      </c>
      <c r="U315" s="2">
        <f t="shared" si="134"/>
        <v>300000</v>
      </c>
    </row>
    <row r="316" spans="1:22" ht="23.1" customHeight="1" x14ac:dyDescent="0.25">
      <c r="A316" s="39" t="s">
        <v>1892</v>
      </c>
      <c r="B316" s="8" t="s">
        <v>1176</v>
      </c>
      <c r="C316" s="2">
        <f t="shared" si="120"/>
        <v>300000</v>
      </c>
      <c r="D316" s="3">
        <f t="shared" ref="D316:D318" si="135"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11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300000</v>
      </c>
      <c r="V316" s="6" t="e">
        <f t="shared" ref="V316:V318" si="136">N316/M316</f>
        <v>#DIV/0!</v>
      </c>
    </row>
    <row r="317" spans="1:22" ht="23.1" customHeight="1" x14ac:dyDescent="0.25">
      <c r="A317" s="39" t="s">
        <v>1893</v>
      </c>
      <c r="B317" s="8" t="s">
        <v>1177</v>
      </c>
      <c r="C317" s="2">
        <f t="shared" si="120"/>
        <v>4565000</v>
      </c>
      <c r="D317" s="3">
        <f t="shared" si="135"/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3">
        <v>830</v>
      </c>
      <c r="N317" s="3">
        <f t="shared" ref="N317:N318" si="137">M317*5500</f>
        <v>4565000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5">
        <v>0</v>
      </c>
      <c r="U317" s="3">
        <v>0</v>
      </c>
      <c r="V317" s="6">
        <f t="shared" si="136"/>
        <v>5500</v>
      </c>
    </row>
    <row r="318" spans="1:22" ht="23.1" customHeight="1" x14ac:dyDescent="0.25">
      <c r="A318" s="39" t="s">
        <v>1894</v>
      </c>
      <c r="B318" s="8" t="s">
        <v>1178</v>
      </c>
      <c r="C318" s="2">
        <f t="shared" si="120"/>
        <v>2640000</v>
      </c>
      <c r="D318" s="3">
        <f t="shared" si="135"/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4">
        <v>0</v>
      </c>
      <c r="L318" s="3">
        <v>0</v>
      </c>
      <c r="M318" s="3">
        <v>480</v>
      </c>
      <c r="N318" s="3">
        <f t="shared" si="137"/>
        <v>2640000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5">
        <v>0</v>
      </c>
      <c r="U318" s="3">
        <v>0</v>
      </c>
      <c r="V318" s="6">
        <f t="shared" si="136"/>
        <v>5500</v>
      </c>
    </row>
    <row r="319" spans="1:22" ht="45" customHeight="1" x14ac:dyDescent="0.25">
      <c r="A319" s="51" t="s">
        <v>1409</v>
      </c>
      <c r="B319" s="51"/>
      <c r="C319" s="2">
        <f>SUM(C320)</f>
        <v>2051640.0000000002</v>
      </c>
      <c r="D319" s="2">
        <f t="shared" ref="D319:U319" si="138">SUM(D320)</f>
        <v>0</v>
      </c>
      <c r="E319" s="2">
        <f t="shared" si="138"/>
        <v>0</v>
      </c>
      <c r="F319" s="2">
        <f t="shared" si="138"/>
        <v>0</v>
      </c>
      <c r="G319" s="2">
        <f t="shared" si="138"/>
        <v>0</v>
      </c>
      <c r="H319" s="2">
        <f t="shared" si="138"/>
        <v>0</v>
      </c>
      <c r="I319" s="2">
        <f t="shared" si="138"/>
        <v>0</v>
      </c>
      <c r="J319" s="2">
        <f t="shared" si="138"/>
        <v>0</v>
      </c>
      <c r="K319" s="14">
        <f t="shared" si="138"/>
        <v>0</v>
      </c>
      <c r="L319" s="2">
        <f t="shared" si="138"/>
        <v>0</v>
      </c>
      <c r="M319" s="2">
        <f t="shared" si="138"/>
        <v>0</v>
      </c>
      <c r="N319" s="2">
        <f t="shared" si="138"/>
        <v>0</v>
      </c>
      <c r="O319" s="2">
        <f t="shared" si="138"/>
        <v>323.25</v>
      </c>
      <c r="P319" s="2">
        <f t="shared" si="138"/>
        <v>387900</v>
      </c>
      <c r="Q319" s="2">
        <f t="shared" si="138"/>
        <v>554.58000000000004</v>
      </c>
      <c r="R319" s="2">
        <f t="shared" si="138"/>
        <v>1663740.0000000002</v>
      </c>
      <c r="S319" s="2">
        <f t="shared" si="138"/>
        <v>0</v>
      </c>
      <c r="T319" s="2">
        <f t="shared" si="138"/>
        <v>0</v>
      </c>
      <c r="U319" s="2">
        <f t="shared" si="138"/>
        <v>0</v>
      </c>
      <c r="V319" s="18">
        <f>C319</f>
        <v>2051640.0000000002</v>
      </c>
    </row>
    <row r="320" spans="1:22" ht="27" customHeight="1" x14ac:dyDescent="0.25">
      <c r="A320" s="40" t="s">
        <v>1895</v>
      </c>
      <c r="B320" s="8" t="s">
        <v>1410</v>
      </c>
      <c r="C320" s="2">
        <f>D320+L320+N320+P320+R320+S320+T320+U320</f>
        <v>2051640.0000000002</v>
      </c>
      <c r="D320" s="3">
        <f>SUM(E320:J320)</f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4">
        <v>0</v>
      </c>
      <c r="L320" s="3">
        <v>0</v>
      </c>
      <c r="M320" s="3">
        <v>0</v>
      </c>
      <c r="N320" s="3">
        <v>0</v>
      </c>
      <c r="O320" s="3">
        <v>323.25</v>
      </c>
      <c r="P320" s="3">
        <f>O320*1200</f>
        <v>387900</v>
      </c>
      <c r="Q320" s="3">
        <v>554.58000000000004</v>
      </c>
      <c r="R320" s="3">
        <f>Q320*3000</f>
        <v>1663740.0000000002</v>
      </c>
      <c r="S320" s="3">
        <v>0</v>
      </c>
      <c r="T320" s="3">
        <v>0</v>
      </c>
      <c r="U320" s="3">
        <v>0</v>
      </c>
      <c r="V320" s="6" t="e">
        <f>N320/M320</f>
        <v>#DIV/0!</v>
      </c>
    </row>
    <row r="321" spans="1:258" ht="42.95" customHeight="1" x14ac:dyDescent="0.25">
      <c r="A321" s="51" t="s">
        <v>2</v>
      </c>
      <c r="B321" s="51"/>
      <c r="C321" s="2">
        <f>SUM(C322:C324)</f>
        <v>12335800</v>
      </c>
      <c r="D321" s="2">
        <f t="shared" ref="D321:U321" si="139">SUM(D322:D324)</f>
        <v>802800</v>
      </c>
      <c r="E321" s="2">
        <f t="shared" si="139"/>
        <v>312200</v>
      </c>
      <c r="F321" s="2">
        <f t="shared" si="139"/>
        <v>0</v>
      </c>
      <c r="G321" s="2">
        <f t="shared" si="139"/>
        <v>267600</v>
      </c>
      <c r="H321" s="2">
        <f t="shared" si="139"/>
        <v>0</v>
      </c>
      <c r="I321" s="2">
        <f t="shared" si="139"/>
        <v>223000</v>
      </c>
      <c r="J321" s="2">
        <f t="shared" si="139"/>
        <v>0</v>
      </c>
      <c r="K321" s="14">
        <f t="shared" si="139"/>
        <v>0</v>
      </c>
      <c r="L321" s="2">
        <f t="shared" si="139"/>
        <v>0</v>
      </c>
      <c r="M321" s="2">
        <f t="shared" si="139"/>
        <v>1628</v>
      </c>
      <c r="N321" s="2">
        <f t="shared" si="139"/>
        <v>8954000</v>
      </c>
      <c r="O321" s="2">
        <f t="shared" si="139"/>
        <v>0</v>
      </c>
      <c r="P321" s="2">
        <f t="shared" si="139"/>
        <v>0</v>
      </c>
      <c r="Q321" s="2">
        <f t="shared" si="139"/>
        <v>730</v>
      </c>
      <c r="R321" s="2">
        <f t="shared" si="139"/>
        <v>2190000</v>
      </c>
      <c r="S321" s="2">
        <f t="shared" si="139"/>
        <v>189000</v>
      </c>
      <c r="T321" s="2">
        <f t="shared" si="139"/>
        <v>0</v>
      </c>
      <c r="U321" s="2">
        <f t="shared" si="139"/>
        <v>200000</v>
      </c>
    </row>
    <row r="322" spans="1:258" ht="23.1" customHeight="1" x14ac:dyDescent="0.25">
      <c r="A322" s="40" t="s">
        <v>1896</v>
      </c>
      <c r="B322" s="8" t="s">
        <v>77</v>
      </c>
      <c r="C322" s="2">
        <f t="shared" si="120"/>
        <v>6945800</v>
      </c>
      <c r="D322" s="3">
        <f t="shared" ref="D322:D324" si="140">SUM(E322:J322)</f>
        <v>802800</v>
      </c>
      <c r="E322" s="3">
        <f>350*892</f>
        <v>312200</v>
      </c>
      <c r="F322" s="3">
        <f>800*0</f>
        <v>0</v>
      </c>
      <c r="G322" s="3">
        <f>300*892</f>
        <v>267600</v>
      </c>
      <c r="H322" s="3">
        <f>400*0</f>
        <v>0</v>
      </c>
      <c r="I322" s="3">
        <f>250*892</f>
        <v>223000</v>
      </c>
      <c r="J322" s="3">
        <f>350*0</f>
        <v>0</v>
      </c>
      <c r="K322" s="4">
        <v>0</v>
      </c>
      <c r="L322" s="3">
        <v>0</v>
      </c>
      <c r="M322" s="5">
        <v>648</v>
      </c>
      <c r="N322" s="3">
        <f t="shared" ref="N322:N324" si="141">M322*5500</f>
        <v>3564000</v>
      </c>
      <c r="O322" s="3">
        <v>0</v>
      </c>
      <c r="P322" s="3">
        <v>0</v>
      </c>
      <c r="Q322" s="3">
        <v>730</v>
      </c>
      <c r="R322" s="3">
        <f>Q322*3000</f>
        <v>2190000</v>
      </c>
      <c r="S322" s="5">
        <v>189000</v>
      </c>
      <c r="T322" s="3">
        <v>0</v>
      </c>
      <c r="U322" s="3">
        <v>200000</v>
      </c>
      <c r="V322" s="6">
        <f t="shared" ref="V322:V324" si="142">N322/M322</f>
        <v>5500</v>
      </c>
    </row>
    <row r="323" spans="1:258" ht="23.1" customHeight="1" x14ac:dyDescent="0.25">
      <c r="A323" s="40" t="s">
        <v>1897</v>
      </c>
      <c r="B323" s="8" t="s">
        <v>79</v>
      </c>
      <c r="C323" s="2">
        <f t="shared" si="120"/>
        <v>2695000</v>
      </c>
      <c r="D323" s="3">
        <f t="shared" si="140"/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4">
        <v>0</v>
      </c>
      <c r="L323" s="3">
        <v>0</v>
      </c>
      <c r="M323" s="5">
        <v>490</v>
      </c>
      <c r="N323" s="3">
        <f t="shared" si="141"/>
        <v>2695000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5">
        <v>0</v>
      </c>
      <c r="V323" s="6">
        <f t="shared" si="142"/>
        <v>5500</v>
      </c>
    </row>
    <row r="324" spans="1:258" ht="23.1" customHeight="1" x14ac:dyDescent="0.25">
      <c r="A324" s="40" t="s">
        <v>1898</v>
      </c>
      <c r="B324" s="8" t="s">
        <v>80</v>
      </c>
      <c r="C324" s="2">
        <f t="shared" si="120"/>
        <v>2695000</v>
      </c>
      <c r="D324" s="3">
        <f t="shared" si="140"/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5">
        <v>490</v>
      </c>
      <c r="N324" s="3">
        <f t="shared" si="141"/>
        <v>2695000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5">
        <v>0</v>
      </c>
      <c r="V324" s="6">
        <f t="shared" si="142"/>
        <v>5500</v>
      </c>
    </row>
    <row r="325" spans="1:258" ht="45" customHeight="1" x14ac:dyDescent="0.25">
      <c r="A325" s="51" t="s">
        <v>81</v>
      </c>
      <c r="B325" s="51"/>
      <c r="C325" s="2">
        <f>SUM(C326)</f>
        <v>1663600</v>
      </c>
      <c r="D325" s="2">
        <f t="shared" ref="D325:U325" si="143">SUM(D326)</f>
        <v>117600</v>
      </c>
      <c r="E325" s="2">
        <f t="shared" si="143"/>
        <v>117600</v>
      </c>
      <c r="F325" s="2">
        <f t="shared" si="143"/>
        <v>0</v>
      </c>
      <c r="G325" s="2">
        <f t="shared" si="143"/>
        <v>0</v>
      </c>
      <c r="H325" s="2">
        <f t="shared" si="143"/>
        <v>0</v>
      </c>
      <c r="I325" s="2">
        <f t="shared" si="143"/>
        <v>0</v>
      </c>
      <c r="J325" s="2">
        <f t="shared" si="143"/>
        <v>0</v>
      </c>
      <c r="K325" s="14">
        <f t="shared" si="143"/>
        <v>0</v>
      </c>
      <c r="L325" s="2">
        <f t="shared" si="143"/>
        <v>0</v>
      </c>
      <c r="M325" s="2">
        <f t="shared" si="143"/>
        <v>0</v>
      </c>
      <c r="N325" s="2">
        <f t="shared" si="143"/>
        <v>0</v>
      </c>
      <c r="O325" s="2">
        <f t="shared" si="143"/>
        <v>0</v>
      </c>
      <c r="P325" s="2">
        <f t="shared" si="143"/>
        <v>0</v>
      </c>
      <c r="Q325" s="2">
        <f t="shared" si="143"/>
        <v>426</v>
      </c>
      <c r="R325" s="2">
        <f t="shared" si="143"/>
        <v>1278000</v>
      </c>
      <c r="S325" s="2">
        <f t="shared" si="143"/>
        <v>168000</v>
      </c>
      <c r="T325" s="2">
        <f t="shared" si="143"/>
        <v>0</v>
      </c>
      <c r="U325" s="2">
        <f t="shared" si="143"/>
        <v>100000</v>
      </c>
      <c r="V325" s="18">
        <f>C325+C823</f>
        <v>3724450</v>
      </c>
    </row>
    <row r="326" spans="1:258" ht="21.95" customHeight="1" x14ac:dyDescent="0.25">
      <c r="A326" s="39" t="s">
        <v>1899</v>
      </c>
      <c r="B326" s="1" t="s">
        <v>84</v>
      </c>
      <c r="C326" s="2">
        <f t="shared" si="120"/>
        <v>1663600</v>
      </c>
      <c r="D326" s="3">
        <f t="shared" ref="D326" si="144">SUM(E326:J326)</f>
        <v>117600</v>
      </c>
      <c r="E326" s="3">
        <f>350*336</f>
        <v>117600</v>
      </c>
      <c r="F326" s="3">
        <v>0</v>
      </c>
      <c r="G326" s="3">
        <v>0</v>
      </c>
      <c r="H326" s="3">
        <v>0</v>
      </c>
      <c r="I326" s="3">
        <v>0</v>
      </c>
      <c r="J326" s="3">
        <f>350*0</f>
        <v>0</v>
      </c>
      <c r="K326" s="11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426</v>
      </c>
      <c r="R326" s="3">
        <f>Q326*3000</f>
        <v>1278000</v>
      </c>
      <c r="S326" s="5">
        <v>168000</v>
      </c>
      <c r="T326" s="5">
        <v>0</v>
      </c>
      <c r="U326" s="5">
        <v>100000</v>
      </c>
      <c r="V326" s="6" t="e">
        <f>N326/M326</f>
        <v>#DIV/0!</v>
      </c>
    </row>
    <row r="327" spans="1:258" ht="45" customHeight="1" x14ac:dyDescent="0.25">
      <c r="A327" s="51" t="s">
        <v>832</v>
      </c>
      <c r="B327" s="51"/>
      <c r="C327" s="2">
        <f>SUM(C328:C330)</f>
        <v>10026218.4</v>
      </c>
      <c r="D327" s="2">
        <f t="shared" ref="D327:U327" si="145">SUM(D328:D330)</f>
        <v>0</v>
      </c>
      <c r="E327" s="2">
        <f t="shared" si="145"/>
        <v>0</v>
      </c>
      <c r="F327" s="2">
        <f t="shared" si="145"/>
        <v>0</v>
      </c>
      <c r="G327" s="2">
        <f t="shared" si="145"/>
        <v>0</v>
      </c>
      <c r="H327" s="2">
        <f t="shared" si="145"/>
        <v>0</v>
      </c>
      <c r="I327" s="2">
        <f t="shared" si="145"/>
        <v>0</v>
      </c>
      <c r="J327" s="2">
        <f t="shared" si="145"/>
        <v>0</v>
      </c>
      <c r="K327" s="14">
        <f t="shared" si="145"/>
        <v>0</v>
      </c>
      <c r="L327" s="2">
        <f t="shared" si="145"/>
        <v>0</v>
      </c>
      <c r="M327" s="2">
        <f t="shared" si="145"/>
        <v>1724.4</v>
      </c>
      <c r="N327" s="2">
        <f t="shared" si="145"/>
        <v>7390118.4000000004</v>
      </c>
      <c r="O327" s="2">
        <f t="shared" si="145"/>
        <v>0</v>
      </c>
      <c r="P327" s="2">
        <f t="shared" si="145"/>
        <v>0</v>
      </c>
      <c r="Q327" s="2">
        <f t="shared" si="145"/>
        <v>878.7</v>
      </c>
      <c r="R327" s="2">
        <f t="shared" si="145"/>
        <v>2636100</v>
      </c>
      <c r="S327" s="2">
        <f t="shared" si="145"/>
        <v>0</v>
      </c>
      <c r="T327" s="2">
        <f t="shared" si="145"/>
        <v>0</v>
      </c>
      <c r="U327" s="2">
        <f t="shared" si="145"/>
        <v>0</v>
      </c>
    </row>
    <row r="328" spans="1:258" ht="20.100000000000001" customHeight="1" x14ac:dyDescent="0.25">
      <c r="A328" s="40" t="s">
        <v>1900</v>
      </c>
      <c r="B328" s="8" t="s">
        <v>88</v>
      </c>
      <c r="C328" s="2">
        <f>D328+L328+N328+P328+R328+S328+T328+U328</f>
        <v>2930370</v>
      </c>
      <c r="D328" s="3">
        <f>SUM(E328:J328)</f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4">
        <v>0</v>
      </c>
      <c r="L328" s="3">
        <v>0</v>
      </c>
      <c r="M328" s="3">
        <v>795</v>
      </c>
      <c r="N328" s="20">
        <f>M328*3686</f>
        <v>2930370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6">
        <f>N328/M328</f>
        <v>3686</v>
      </c>
    </row>
    <row r="329" spans="1:258" ht="21.95" customHeight="1" x14ac:dyDescent="0.25">
      <c r="A329" s="40" t="s">
        <v>1901</v>
      </c>
      <c r="B329" s="8" t="s">
        <v>89</v>
      </c>
      <c r="C329" s="2">
        <f t="shared" si="120"/>
        <v>3135000</v>
      </c>
      <c r="D329" s="3">
        <f t="shared" ref="D329:D330" si="146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3">
        <v>570</v>
      </c>
      <c r="N329" s="3">
        <f t="shared" ref="N329" si="147">M329*5500</f>
        <v>3135000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6">
        <f t="shared" ref="V329:V330" si="148">N329/M329</f>
        <v>5500</v>
      </c>
    </row>
    <row r="330" spans="1:258" ht="21.95" customHeight="1" x14ac:dyDescent="0.25">
      <c r="A330" s="40" t="s">
        <v>1902</v>
      </c>
      <c r="B330" s="8" t="s">
        <v>90</v>
      </c>
      <c r="C330" s="2">
        <f t="shared" si="120"/>
        <v>3960848.4</v>
      </c>
      <c r="D330" s="3">
        <f t="shared" si="146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11">
        <v>0</v>
      </c>
      <c r="L330" s="5">
        <v>0</v>
      </c>
      <c r="M330" s="5">
        <v>359.4</v>
      </c>
      <c r="N330" s="5">
        <f>M330*3686</f>
        <v>1324748.3999999999</v>
      </c>
      <c r="O330" s="5">
        <v>0</v>
      </c>
      <c r="P330" s="5">
        <v>0</v>
      </c>
      <c r="Q330" s="5">
        <v>878.7</v>
      </c>
      <c r="R330" s="3">
        <f>Q330*3000</f>
        <v>2636100</v>
      </c>
      <c r="S330" s="5">
        <v>0</v>
      </c>
      <c r="T330" s="5">
        <v>0</v>
      </c>
      <c r="U330" s="5">
        <v>0</v>
      </c>
      <c r="V330" s="6">
        <f t="shared" si="148"/>
        <v>3686</v>
      </c>
      <c r="IX330" s="25"/>
    </row>
    <row r="331" spans="1:258" ht="45" customHeight="1" x14ac:dyDescent="0.25">
      <c r="A331" s="51" t="s">
        <v>92</v>
      </c>
      <c r="B331" s="51"/>
      <c r="C331" s="2">
        <f>SUM(C332)</f>
        <v>2370660</v>
      </c>
      <c r="D331" s="2">
        <f t="shared" ref="D331:U331" si="149">SUM(D332)</f>
        <v>176260</v>
      </c>
      <c r="E331" s="2">
        <f t="shared" si="149"/>
        <v>176260</v>
      </c>
      <c r="F331" s="2">
        <f t="shared" si="149"/>
        <v>0</v>
      </c>
      <c r="G331" s="2">
        <f t="shared" si="149"/>
        <v>0</v>
      </c>
      <c r="H331" s="2">
        <f t="shared" si="149"/>
        <v>0</v>
      </c>
      <c r="I331" s="2">
        <f t="shared" si="149"/>
        <v>0</v>
      </c>
      <c r="J331" s="2">
        <f t="shared" si="149"/>
        <v>0</v>
      </c>
      <c r="K331" s="14">
        <f t="shared" si="149"/>
        <v>0</v>
      </c>
      <c r="L331" s="2">
        <f t="shared" si="149"/>
        <v>0</v>
      </c>
      <c r="M331" s="2">
        <f t="shared" si="149"/>
        <v>380.8</v>
      </c>
      <c r="N331" s="2">
        <f t="shared" si="149"/>
        <v>2094400</v>
      </c>
      <c r="O331" s="2">
        <f t="shared" si="149"/>
        <v>0</v>
      </c>
      <c r="P331" s="2">
        <f t="shared" si="149"/>
        <v>0</v>
      </c>
      <c r="Q331" s="2">
        <f t="shared" si="149"/>
        <v>0</v>
      </c>
      <c r="R331" s="2">
        <f t="shared" si="149"/>
        <v>0</v>
      </c>
      <c r="S331" s="2">
        <f t="shared" si="149"/>
        <v>0</v>
      </c>
      <c r="T331" s="2">
        <f t="shared" si="149"/>
        <v>0</v>
      </c>
      <c r="U331" s="2">
        <f t="shared" si="149"/>
        <v>100000</v>
      </c>
      <c r="V331" s="18">
        <f>C331</f>
        <v>2370660</v>
      </c>
    </row>
    <row r="332" spans="1:258" ht="21.95" customHeight="1" x14ac:dyDescent="0.25">
      <c r="A332" s="40" t="s">
        <v>1903</v>
      </c>
      <c r="B332" s="1" t="s">
        <v>91</v>
      </c>
      <c r="C332" s="2">
        <f t="shared" si="120"/>
        <v>2370660</v>
      </c>
      <c r="D332" s="3">
        <f t="shared" ref="D332" si="150">SUM(E332:J332)</f>
        <v>176260</v>
      </c>
      <c r="E332" s="3">
        <f>350*503.6</f>
        <v>176260</v>
      </c>
      <c r="F332" s="3">
        <v>0</v>
      </c>
      <c r="G332" s="3">
        <v>0</v>
      </c>
      <c r="H332" s="3">
        <f>400*0</f>
        <v>0</v>
      </c>
      <c r="I332" s="3">
        <v>0</v>
      </c>
      <c r="J332" s="3">
        <f>350*0</f>
        <v>0</v>
      </c>
      <c r="K332" s="4">
        <v>0</v>
      </c>
      <c r="L332" s="3">
        <v>0</v>
      </c>
      <c r="M332" s="5">
        <v>380.8</v>
      </c>
      <c r="N332" s="3">
        <f t="shared" ref="N332" si="151">M332*5500</f>
        <v>2094400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100000</v>
      </c>
      <c r="V332" s="6">
        <f>N332/M332</f>
        <v>5500</v>
      </c>
    </row>
    <row r="333" spans="1:258" ht="45" customHeight="1" x14ac:dyDescent="0.25">
      <c r="A333" s="51" t="s">
        <v>93</v>
      </c>
      <c r="B333" s="51"/>
      <c r="C333" s="2">
        <f>SUM(C334:C338)</f>
        <v>16147084.120000001</v>
      </c>
      <c r="D333" s="2">
        <f t="shared" ref="D333:U333" si="152">SUM(D334:D338)</f>
        <v>1375212.12</v>
      </c>
      <c r="E333" s="2">
        <f t="shared" si="152"/>
        <v>151690</v>
      </c>
      <c r="F333" s="2">
        <f t="shared" si="152"/>
        <v>1093502.1200000001</v>
      </c>
      <c r="G333" s="2">
        <f t="shared" si="152"/>
        <v>130020</v>
      </c>
      <c r="H333" s="2">
        <f t="shared" si="152"/>
        <v>0</v>
      </c>
      <c r="I333" s="2">
        <f t="shared" si="152"/>
        <v>0</v>
      </c>
      <c r="J333" s="2">
        <f t="shared" si="152"/>
        <v>0</v>
      </c>
      <c r="K333" s="14">
        <f t="shared" si="152"/>
        <v>5</v>
      </c>
      <c r="L333" s="2">
        <f t="shared" si="152"/>
        <v>11500000</v>
      </c>
      <c r="M333" s="2">
        <f t="shared" si="152"/>
        <v>752</v>
      </c>
      <c r="N333" s="2">
        <f t="shared" si="152"/>
        <v>2771872</v>
      </c>
      <c r="O333" s="2">
        <f t="shared" si="152"/>
        <v>0</v>
      </c>
      <c r="P333" s="2">
        <f t="shared" si="152"/>
        <v>0</v>
      </c>
      <c r="Q333" s="2">
        <f t="shared" si="152"/>
        <v>0</v>
      </c>
      <c r="R333" s="2">
        <f t="shared" si="152"/>
        <v>0</v>
      </c>
      <c r="S333" s="2">
        <f t="shared" si="152"/>
        <v>0</v>
      </c>
      <c r="T333" s="2">
        <f t="shared" si="152"/>
        <v>0</v>
      </c>
      <c r="U333" s="2">
        <f t="shared" si="152"/>
        <v>500000</v>
      </c>
    </row>
    <row r="334" spans="1:258" s="26" customFormat="1" ht="21.95" customHeight="1" x14ac:dyDescent="0.25">
      <c r="A334" s="40" t="s">
        <v>1904</v>
      </c>
      <c r="B334" s="8" t="s">
        <v>94</v>
      </c>
      <c r="C334" s="2">
        <f t="shared" si="120"/>
        <v>2771872</v>
      </c>
      <c r="D334" s="3">
        <f t="shared" ref="D334:D337" si="153">SUM(E334:J334)</f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5">
        <v>752</v>
      </c>
      <c r="N334" s="3">
        <f>M334*3686</f>
        <v>2771872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6">
        <f t="shared" ref="V334:V337" si="154">N334/M334</f>
        <v>3686</v>
      </c>
    </row>
    <row r="335" spans="1:258" s="6" customFormat="1" ht="21.95" customHeight="1" x14ac:dyDescent="0.25">
      <c r="A335" s="40" t="s">
        <v>1905</v>
      </c>
      <c r="B335" s="8" t="s">
        <v>95</v>
      </c>
      <c r="C335" s="2">
        <f>D335+L335+N335+P335+R335+S335+T335+U335</f>
        <v>381710</v>
      </c>
      <c r="D335" s="3">
        <f>SUM(E335:J335)</f>
        <v>281710</v>
      </c>
      <c r="E335" s="5">
        <f>350*433.4</f>
        <v>151690</v>
      </c>
      <c r="F335" s="5">
        <f>800*0</f>
        <v>0</v>
      </c>
      <c r="G335" s="5">
        <f>300*433.4</f>
        <v>130020</v>
      </c>
      <c r="H335" s="5">
        <f>500*0</f>
        <v>0</v>
      </c>
      <c r="I335" s="5">
        <v>0</v>
      </c>
      <c r="J335" s="5">
        <f>350*0</f>
        <v>0</v>
      </c>
      <c r="K335" s="11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100000</v>
      </c>
      <c r="V335" s="6" t="e">
        <f>N335/M335</f>
        <v>#DIV/0!</v>
      </c>
    </row>
    <row r="336" spans="1:258" s="6" customFormat="1" ht="21.95" customHeight="1" x14ac:dyDescent="0.25">
      <c r="A336" s="40" t="s">
        <v>1906</v>
      </c>
      <c r="B336" s="8" t="s">
        <v>98</v>
      </c>
      <c r="C336" s="2">
        <f t="shared" si="120"/>
        <v>4800000</v>
      </c>
      <c r="D336" s="3">
        <f t="shared" si="153"/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11">
        <v>2</v>
      </c>
      <c r="L336" s="5">
        <v>4600000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200000</v>
      </c>
      <c r="V336" s="6" t="e">
        <f t="shared" si="154"/>
        <v>#DIV/0!</v>
      </c>
    </row>
    <row r="337" spans="1:22" ht="21.95" customHeight="1" x14ac:dyDescent="0.25">
      <c r="A337" s="40" t="s">
        <v>1907</v>
      </c>
      <c r="B337" s="8" t="s">
        <v>100</v>
      </c>
      <c r="C337" s="2">
        <f t="shared" si="120"/>
        <v>7100000</v>
      </c>
      <c r="D337" s="3">
        <f t="shared" si="153"/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3</v>
      </c>
      <c r="L337" s="3">
        <v>6900000</v>
      </c>
      <c r="M337" s="5">
        <v>0</v>
      </c>
      <c r="N337" s="5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200000</v>
      </c>
      <c r="V337" s="6" t="e">
        <f t="shared" si="154"/>
        <v>#DIV/0!</v>
      </c>
    </row>
    <row r="338" spans="1:22" ht="21.95" customHeight="1" x14ac:dyDescent="0.25">
      <c r="A338" s="40" t="s">
        <v>1908</v>
      </c>
      <c r="B338" s="8" t="s">
        <v>1555</v>
      </c>
      <c r="C338" s="2">
        <f>D338+L338+N338+P338+R338+S338+T338+U338</f>
        <v>1093502.1200000001</v>
      </c>
      <c r="D338" s="3">
        <f>SUM(E338:J338)</f>
        <v>1093502.1200000001</v>
      </c>
      <c r="E338" s="3">
        <v>0</v>
      </c>
      <c r="F338" s="3">
        <v>1093502.1200000001</v>
      </c>
      <c r="G338" s="3">
        <v>0</v>
      </c>
      <c r="H338" s="3">
        <v>0</v>
      </c>
      <c r="I338" s="3">
        <v>0</v>
      </c>
      <c r="J338" s="3">
        <v>0</v>
      </c>
      <c r="K338" s="4">
        <v>0</v>
      </c>
      <c r="L338" s="3">
        <v>0</v>
      </c>
      <c r="M338" s="5">
        <v>0</v>
      </c>
      <c r="N338" s="5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6" t="e">
        <f>N338/M338</f>
        <v>#DIV/0!</v>
      </c>
    </row>
    <row r="339" spans="1:22" ht="50.25" customHeight="1" x14ac:dyDescent="0.25">
      <c r="A339" s="51" t="s">
        <v>102</v>
      </c>
      <c r="B339" s="51"/>
      <c r="C339" s="2">
        <f>SUM(C340:C346)</f>
        <v>28122710</v>
      </c>
      <c r="D339" s="2">
        <f t="shared" ref="D339:U339" si="155">SUM(D340:D346)</f>
        <v>2151660</v>
      </c>
      <c r="E339" s="2">
        <f t="shared" si="155"/>
        <v>320460</v>
      </c>
      <c r="F339" s="2">
        <f t="shared" si="155"/>
        <v>961380</v>
      </c>
      <c r="G339" s="2">
        <f t="shared" si="155"/>
        <v>274680</v>
      </c>
      <c r="H339" s="2">
        <f t="shared" si="155"/>
        <v>366240</v>
      </c>
      <c r="I339" s="2">
        <f t="shared" si="155"/>
        <v>228900</v>
      </c>
      <c r="J339" s="2">
        <f t="shared" si="155"/>
        <v>0</v>
      </c>
      <c r="K339" s="14">
        <f t="shared" si="155"/>
        <v>0</v>
      </c>
      <c r="L339" s="2">
        <f t="shared" si="155"/>
        <v>0</v>
      </c>
      <c r="M339" s="2">
        <f t="shared" si="155"/>
        <v>4493.3999999999996</v>
      </c>
      <c r="N339" s="2">
        <f t="shared" si="155"/>
        <v>22945050</v>
      </c>
      <c r="O339" s="2">
        <f t="shared" si="155"/>
        <v>0</v>
      </c>
      <c r="P339" s="2">
        <f t="shared" si="155"/>
        <v>0</v>
      </c>
      <c r="Q339" s="2">
        <f t="shared" si="155"/>
        <v>942</v>
      </c>
      <c r="R339" s="2">
        <f t="shared" si="155"/>
        <v>2826000</v>
      </c>
      <c r="S339" s="2">
        <f t="shared" si="155"/>
        <v>0</v>
      </c>
      <c r="T339" s="2">
        <f t="shared" si="155"/>
        <v>0</v>
      </c>
      <c r="U339" s="2">
        <f t="shared" si="155"/>
        <v>200000</v>
      </c>
    </row>
    <row r="340" spans="1:22" s="17" customFormat="1" ht="21.95" customHeight="1" x14ac:dyDescent="0.25">
      <c r="A340" s="40" t="s">
        <v>1909</v>
      </c>
      <c r="B340" s="8" t="s">
        <v>103</v>
      </c>
      <c r="C340" s="2">
        <f t="shared" si="120"/>
        <v>3696000</v>
      </c>
      <c r="D340" s="3">
        <f t="shared" ref="D340:D346" si="156"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4">
        <v>0</v>
      </c>
      <c r="L340" s="3">
        <v>0</v>
      </c>
      <c r="M340" s="5">
        <v>672</v>
      </c>
      <c r="N340" s="3">
        <f t="shared" ref="N340:N341" si="157">M340*5500</f>
        <v>3696000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6">
        <f t="shared" ref="V340:V346" si="158">N340/M340</f>
        <v>5500</v>
      </c>
    </row>
    <row r="341" spans="1:22" ht="21.95" customHeight="1" x14ac:dyDescent="0.25">
      <c r="A341" s="40" t="s">
        <v>1910</v>
      </c>
      <c r="B341" s="8" t="s">
        <v>105</v>
      </c>
      <c r="C341" s="2">
        <f t="shared" si="120"/>
        <v>3696000</v>
      </c>
      <c r="D341" s="3">
        <f t="shared" si="156"/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4">
        <v>0</v>
      </c>
      <c r="L341" s="3">
        <v>0</v>
      </c>
      <c r="M341" s="5">
        <v>672</v>
      </c>
      <c r="N341" s="3">
        <f t="shared" si="157"/>
        <v>3696000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6">
        <f t="shared" si="158"/>
        <v>5500</v>
      </c>
    </row>
    <row r="342" spans="1:22" ht="21.95" customHeight="1" x14ac:dyDescent="0.25">
      <c r="A342" s="40" t="s">
        <v>1911</v>
      </c>
      <c r="B342" s="8" t="s">
        <v>1553</v>
      </c>
      <c r="C342" s="2">
        <f t="shared" si="120"/>
        <v>3593850</v>
      </c>
      <c r="D342" s="3">
        <f t="shared" si="156"/>
        <v>0</v>
      </c>
      <c r="E342" s="3">
        <f>350*0</f>
        <v>0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1">
        <v>0</v>
      </c>
      <c r="L342" s="5">
        <v>0</v>
      </c>
      <c r="M342" s="5">
        <v>975</v>
      </c>
      <c r="N342" s="5">
        <f>M342*3686</f>
        <v>3593850</v>
      </c>
      <c r="O342" s="5">
        <v>0</v>
      </c>
      <c r="P342" s="5">
        <v>0</v>
      </c>
      <c r="Q342" s="5">
        <v>0</v>
      </c>
      <c r="R342" s="5">
        <f>Q342*3000</f>
        <v>0</v>
      </c>
      <c r="S342" s="5">
        <v>0</v>
      </c>
      <c r="T342" s="5">
        <v>0</v>
      </c>
      <c r="U342" s="5">
        <v>0</v>
      </c>
      <c r="V342" s="6">
        <f t="shared" si="158"/>
        <v>3686</v>
      </c>
    </row>
    <row r="343" spans="1:22" ht="21" customHeight="1" x14ac:dyDescent="0.25">
      <c r="A343" s="40" t="s">
        <v>1912</v>
      </c>
      <c r="B343" s="8" t="s">
        <v>108</v>
      </c>
      <c r="C343" s="2">
        <f t="shared" si="120"/>
        <v>5177660</v>
      </c>
      <c r="D343" s="3">
        <f t="shared" si="156"/>
        <v>2151660</v>
      </c>
      <c r="E343" s="3">
        <f>350*915.6</f>
        <v>320460</v>
      </c>
      <c r="F343" s="3">
        <f>1050*915.6</f>
        <v>961380</v>
      </c>
      <c r="G343" s="3">
        <f>300*915.6</f>
        <v>274680</v>
      </c>
      <c r="H343" s="3">
        <f>400*915.6</f>
        <v>366240</v>
      </c>
      <c r="I343" s="3">
        <f>250*915.6</f>
        <v>228900</v>
      </c>
      <c r="J343" s="3">
        <v>0</v>
      </c>
      <c r="K343" s="4">
        <v>0</v>
      </c>
      <c r="L343" s="3">
        <v>0</v>
      </c>
      <c r="M343" s="5">
        <v>0</v>
      </c>
      <c r="N343" s="5">
        <v>0</v>
      </c>
      <c r="O343" s="3">
        <v>0</v>
      </c>
      <c r="P343" s="3">
        <v>0</v>
      </c>
      <c r="Q343" s="3">
        <v>942</v>
      </c>
      <c r="R343" s="3">
        <f>Q343*3000</f>
        <v>2826000</v>
      </c>
      <c r="S343" s="3">
        <v>0</v>
      </c>
      <c r="T343" s="3">
        <v>0</v>
      </c>
      <c r="U343" s="3">
        <v>200000</v>
      </c>
      <c r="V343" s="6" t="e">
        <f t="shared" si="158"/>
        <v>#DIV/0!</v>
      </c>
    </row>
    <row r="344" spans="1:22" ht="21.95" customHeight="1" x14ac:dyDescent="0.25">
      <c r="A344" s="40" t="s">
        <v>1913</v>
      </c>
      <c r="B344" s="8" t="s">
        <v>113</v>
      </c>
      <c r="C344" s="2">
        <f t="shared" si="120"/>
        <v>3696000</v>
      </c>
      <c r="D344" s="3">
        <f t="shared" si="156"/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5">
        <v>672</v>
      </c>
      <c r="N344" s="3">
        <f t="shared" ref="N344:N346" si="159">M344*5500</f>
        <v>3696000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6">
        <f t="shared" si="158"/>
        <v>5500</v>
      </c>
    </row>
    <row r="345" spans="1:22" ht="21.95" customHeight="1" x14ac:dyDescent="0.25">
      <c r="A345" s="40" t="s">
        <v>1914</v>
      </c>
      <c r="B345" s="8" t="s">
        <v>114</v>
      </c>
      <c r="C345" s="2">
        <f t="shared" si="120"/>
        <v>4567200</v>
      </c>
      <c r="D345" s="3">
        <f t="shared" si="156"/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5">
        <v>830.4</v>
      </c>
      <c r="N345" s="3">
        <f t="shared" si="159"/>
        <v>4567200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6">
        <f t="shared" si="158"/>
        <v>5500</v>
      </c>
    </row>
    <row r="346" spans="1:22" ht="21.95" customHeight="1" x14ac:dyDescent="0.25">
      <c r="A346" s="40" t="s">
        <v>1915</v>
      </c>
      <c r="B346" s="8" t="s">
        <v>115</v>
      </c>
      <c r="C346" s="2">
        <f t="shared" si="120"/>
        <v>3696000</v>
      </c>
      <c r="D346" s="3">
        <f t="shared" si="156"/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4">
        <v>0</v>
      </c>
      <c r="L346" s="3">
        <v>0</v>
      </c>
      <c r="M346" s="5">
        <v>672</v>
      </c>
      <c r="N346" s="3">
        <f t="shared" si="159"/>
        <v>3696000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6">
        <f t="shared" si="158"/>
        <v>5500</v>
      </c>
    </row>
    <row r="347" spans="1:22" ht="45" customHeight="1" x14ac:dyDescent="0.25">
      <c r="A347" s="51" t="s">
        <v>116</v>
      </c>
      <c r="B347" s="51"/>
      <c r="C347" s="2">
        <f>SUM(C348)</f>
        <v>1375000</v>
      </c>
      <c r="D347" s="2">
        <f t="shared" ref="D347:U347" si="160">SUM(D348)</f>
        <v>0</v>
      </c>
      <c r="E347" s="2">
        <f t="shared" si="160"/>
        <v>0</v>
      </c>
      <c r="F347" s="2">
        <f t="shared" si="160"/>
        <v>0</v>
      </c>
      <c r="G347" s="2">
        <f t="shared" si="160"/>
        <v>0</v>
      </c>
      <c r="H347" s="2">
        <f t="shared" si="160"/>
        <v>0</v>
      </c>
      <c r="I347" s="2">
        <f t="shared" si="160"/>
        <v>0</v>
      </c>
      <c r="J347" s="2">
        <f t="shared" si="160"/>
        <v>0</v>
      </c>
      <c r="K347" s="14">
        <f t="shared" si="160"/>
        <v>0</v>
      </c>
      <c r="L347" s="2">
        <f t="shared" si="160"/>
        <v>0</v>
      </c>
      <c r="M347" s="2">
        <f t="shared" si="160"/>
        <v>250</v>
      </c>
      <c r="N347" s="2">
        <f t="shared" si="160"/>
        <v>1375000</v>
      </c>
      <c r="O347" s="2">
        <f t="shared" si="160"/>
        <v>0</v>
      </c>
      <c r="P347" s="2">
        <f t="shared" si="160"/>
        <v>0</v>
      </c>
      <c r="Q347" s="2">
        <f t="shared" si="160"/>
        <v>0</v>
      </c>
      <c r="R347" s="2">
        <f t="shared" si="160"/>
        <v>0</v>
      </c>
      <c r="S347" s="2">
        <f t="shared" si="160"/>
        <v>0</v>
      </c>
      <c r="T347" s="2">
        <f t="shared" si="160"/>
        <v>0</v>
      </c>
      <c r="U347" s="2">
        <f t="shared" si="160"/>
        <v>0</v>
      </c>
      <c r="V347" s="18"/>
    </row>
    <row r="348" spans="1:22" ht="21.95" customHeight="1" x14ac:dyDescent="0.25">
      <c r="A348" s="40" t="s">
        <v>1916</v>
      </c>
      <c r="B348" s="8" t="s">
        <v>118</v>
      </c>
      <c r="C348" s="2">
        <f t="shared" si="120"/>
        <v>1375000</v>
      </c>
      <c r="D348" s="3">
        <f t="shared" ref="D348" si="161">SUM(E348:J348)</f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4">
        <v>0</v>
      </c>
      <c r="L348" s="3">
        <v>0</v>
      </c>
      <c r="M348" s="5">
        <v>250</v>
      </c>
      <c r="N348" s="3">
        <f t="shared" ref="N348" si="162">M348*5500</f>
        <v>1375000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6">
        <f>N348/M348</f>
        <v>5500</v>
      </c>
    </row>
    <row r="349" spans="1:22" ht="45" customHeight="1" x14ac:dyDescent="0.25">
      <c r="A349" s="51" t="s">
        <v>1539</v>
      </c>
      <c r="B349" s="51"/>
      <c r="C349" s="2">
        <f>SUM(C350)</f>
        <v>100000</v>
      </c>
      <c r="D349" s="2">
        <f t="shared" ref="D349:U349" si="163">SUM(D350)</f>
        <v>0</v>
      </c>
      <c r="E349" s="2">
        <f t="shared" si="163"/>
        <v>0</v>
      </c>
      <c r="F349" s="2">
        <f t="shared" si="163"/>
        <v>0</v>
      </c>
      <c r="G349" s="2">
        <f t="shared" si="163"/>
        <v>0</v>
      </c>
      <c r="H349" s="2">
        <f t="shared" si="163"/>
        <v>0</v>
      </c>
      <c r="I349" s="2">
        <f t="shared" si="163"/>
        <v>0</v>
      </c>
      <c r="J349" s="2">
        <f t="shared" si="163"/>
        <v>0</v>
      </c>
      <c r="K349" s="14">
        <f t="shared" si="163"/>
        <v>0</v>
      </c>
      <c r="L349" s="2">
        <f t="shared" si="163"/>
        <v>0</v>
      </c>
      <c r="M349" s="2">
        <f t="shared" si="163"/>
        <v>0</v>
      </c>
      <c r="N349" s="2">
        <f t="shared" si="163"/>
        <v>0</v>
      </c>
      <c r="O349" s="2">
        <f t="shared" si="163"/>
        <v>0</v>
      </c>
      <c r="P349" s="2">
        <f t="shared" si="163"/>
        <v>0</v>
      </c>
      <c r="Q349" s="2">
        <f t="shared" si="163"/>
        <v>0</v>
      </c>
      <c r="R349" s="2">
        <f t="shared" si="163"/>
        <v>0</v>
      </c>
      <c r="S349" s="2">
        <f t="shared" si="163"/>
        <v>0</v>
      </c>
      <c r="T349" s="2">
        <f t="shared" si="163"/>
        <v>0</v>
      </c>
      <c r="U349" s="2">
        <f t="shared" si="163"/>
        <v>100000</v>
      </c>
      <c r="V349" s="18"/>
    </row>
    <row r="350" spans="1:22" ht="21.95" customHeight="1" x14ac:dyDescent="0.25">
      <c r="A350" s="40" t="s">
        <v>1917</v>
      </c>
      <c r="B350" s="8" t="s">
        <v>1540</v>
      </c>
      <c r="C350" s="2">
        <f>D350+L350+N350+P350+R350+S350+T350+U350</f>
        <v>100000</v>
      </c>
      <c r="D350" s="3">
        <f t="shared" ref="D350" si="164"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100000</v>
      </c>
      <c r="V350" s="6" t="e">
        <f t="shared" ref="V350" si="165">N350/M350</f>
        <v>#DIV/0!</v>
      </c>
    </row>
    <row r="351" spans="1:22" ht="45" customHeight="1" x14ac:dyDescent="0.25">
      <c r="A351" s="51" t="s">
        <v>124</v>
      </c>
      <c r="B351" s="51"/>
      <c r="C351" s="2">
        <f>SUM(C352:C354)</f>
        <v>5918775</v>
      </c>
      <c r="D351" s="2">
        <f t="shared" ref="D351:U351" si="166">SUM(D352:D354)</f>
        <v>0</v>
      </c>
      <c r="E351" s="2">
        <f t="shared" si="166"/>
        <v>0</v>
      </c>
      <c r="F351" s="2">
        <f t="shared" si="166"/>
        <v>0</v>
      </c>
      <c r="G351" s="2">
        <f t="shared" si="166"/>
        <v>0</v>
      </c>
      <c r="H351" s="2">
        <f t="shared" si="166"/>
        <v>0</v>
      </c>
      <c r="I351" s="2">
        <f t="shared" si="166"/>
        <v>0</v>
      </c>
      <c r="J351" s="2">
        <f t="shared" si="166"/>
        <v>0</v>
      </c>
      <c r="K351" s="14">
        <f t="shared" si="166"/>
        <v>0</v>
      </c>
      <c r="L351" s="2">
        <f t="shared" si="166"/>
        <v>0</v>
      </c>
      <c r="M351" s="2">
        <f t="shared" si="166"/>
        <v>967.05</v>
      </c>
      <c r="N351" s="2">
        <f t="shared" si="166"/>
        <v>5318775</v>
      </c>
      <c r="O351" s="2">
        <f t="shared" si="166"/>
        <v>0</v>
      </c>
      <c r="P351" s="2">
        <f t="shared" si="166"/>
        <v>0</v>
      </c>
      <c r="Q351" s="2">
        <f t="shared" si="166"/>
        <v>0</v>
      </c>
      <c r="R351" s="2">
        <f t="shared" si="166"/>
        <v>0</v>
      </c>
      <c r="S351" s="2">
        <f t="shared" si="166"/>
        <v>0</v>
      </c>
      <c r="T351" s="2">
        <f t="shared" si="166"/>
        <v>0</v>
      </c>
      <c r="U351" s="2">
        <f t="shared" si="166"/>
        <v>600000</v>
      </c>
    </row>
    <row r="352" spans="1:22" ht="21.95" customHeight="1" x14ac:dyDescent="0.25">
      <c r="A352" s="40" t="s">
        <v>1918</v>
      </c>
      <c r="B352" s="1" t="s">
        <v>121</v>
      </c>
      <c r="C352" s="2">
        <f t="shared" si="120"/>
        <v>808500</v>
      </c>
      <c r="D352" s="3">
        <f t="shared" ref="D352:D354" si="167">SUM(E352:J352)</f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4">
        <v>0</v>
      </c>
      <c r="L352" s="3">
        <v>0</v>
      </c>
      <c r="M352" s="3">
        <v>147</v>
      </c>
      <c r="N352" s="3">
        <f t="shared" ref="N352:N354" si="168">M352*5500</f>
        <v>808500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6">
        <f t="shared" ref="V352:V354" si="169">N352/M352</f>
        <v>5500</v>
      </c>
    </row>
    <row r="353" spans="1:22" ht="21.95" customHeight="1" x14ac:dyDescent="0.25">
      <c r="A353" s="40" t="s">
        <v>1919</v>
      </c>
      <c r="B353" s="1" t="s">
        <v>122</v>
      </c>
      <c r="C353" s="2">
        <f>D353+L353+N353+P353+R353+S353+T353+U353</f>
        <v>3191875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11">
        <v>0</v>
      </c>
      <c r="L353" s="5">
        <v>0</v>
      </c>
      <c r="M353" s="5">
        <v>471.25</v>
      </c>
      <c r="N353" s="5">
        <f>M353*5500</f>
        <v>2591875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600000</v>
      </c>
      <c r="V353" s="6">
        <f>N353/M353</f>
        <v>5500</v>
      </c>
    </row>
    <row r="354" spans="1:22" ht="21.95" customHeight="1" x14ac:dyDescent="0.25">
      <c r="A354" s="40" t="s">
        <v>1920</v>
      </c>
      <c r="B354" s="1" t="s">
        <v>123</v>
      </c>
      <c r="C354" s="2">
        <f t="shared" si="120"/>
        <v>1918400</v>
      </c>
      <c r="D354" s="3">
        <f t="shared" si="167"/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11">
        <v>0</v>
      </c>
      <c r="L354" s="5">
        <v>0</v>
      </c>
      <c r="M354" s="5">
        <v>348.8</v>
      </c>
      <c r="N354" s="3">
        <f t="shared" si="168"/>
        <v>1918400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6">
        <f t="shared" si="169"/>
        <v>5500</v>
      </c>
    </row>
    <row r="355" spans="1:22" ht="45" customHeight="1" x14ac:dyDescent="0.25">
      <c r="A355" s="51" t="s">
        <v>127</v>
      </c>
      <c r="B355" s="51"/>
      <c r="C355" s="2">
        <f>SUM(C356)</f>
        <v>2374300</v>
      </c>
      <c r="D355" s="2">
        <f t="shared" ref="D355:U355" si="170">SUM(D356)</f>
        <v>109200</v>
      </c>
      <c r="E355" s="2">
        <f t="shared" si="170"/>
        <v>109200</v>
      </c>
      <c r="F355" s="2">
        <f t="shared" si="170"/>
        <v>0</v>
      </c>
      <c r="G355" s="2">
        <f t="shared" si="170"/>
        <v>0</v>
      </c>
      <c r="H355" s="2">
        <f t="shared" si="170"/>
        <v>0</v>
      </c>
      <c r="I355" s="2">
        <f t="shared" si="170"/>
        <v>0</v>
      </c>
      <c r="J355" s="2">
        <f t="shared" si="170"/>
        <v>0</v>
      </c>
      <c r="K355" s="14">
        <f t="shared" si="170"/>
        <v>0</v>
      </c>
      <c r="L355" s="2">
        <f t="shared" si="170"/>
        <v>0</v>
      </c>
      <c r="M355" s="2">
        <f t="shared" si="170"/>
        <v>282</v>
      </c>
      <c r="N355" s="2">
        <f t="shared" si="170"/>
        <v>1551000</v>
      </c>
      <c r="O355" s="2">
        <f t="shared" si="170"/>
        <v>0</v>
      </c>
      <c r="P355" s="2">
        <f t="shared" si="170"/>
        <v>0</v>
      </c>
      <c r="Q355" s="2">
        <f t="shared" si="170"/>
        <v>155.69999999999999</v>
      </c>
      <c r="R355" s="2">
        <f t="shared" si="170"/>
        <v>467099.99999999994</v>
      </c>
      <c r="S355" s="2">
        <f t="shared" si="170"/>
        <v>147000</v>
      </c>
      <c r="T355" s="2">
        <f t="shared" si="170"/>
        <v>0</v>
      </c>
      <c r="U355" s="2">
        <f t="shared" si="170"/>
        <v>100000</v>
      </c>
      <c r="V355" s="18"/>
    </row>
    <row r="356" spans="1:22" ht="21.95" customHeight="1" x14ac:dyDescent="0.25">
      <c r="A356" s="39" t="s">
        <v>1921</v>
      </c>
      <c r="B356" s="8" t="s">
        <v>125</v>
      </c>
      <c r="C356" s="2">
        <f t="shared" si="120"/>
        <v>2374300</v>
      </c>
      <c r="D356" s="3">
        <f t="shared" ref="D356" si="171">SUM(E356:J356)</f>
        <v>109200</v>
      </c>
      <c r="E356" s="3">
        <f>350*312</f>
        <v>109200</v>
      </c>
      <c r="F356" s="3">
        <f>800*0</f>
        <v>0</v>
      </c>
      <c r="G356" s="3">
        <f>350*0</f>
        <v>0</v>
      </c>
      <c r="H356" s="3">
        <f>400*0</f>
        <v>0</v>
      </c>
      <c r="I356" s="3">
        <f>250*0</f>
        <v>0</v>
      </c>
      <c r="J356" s="3">
        <v>0</v>
      </c>
      <c r="K356" s="11">
        <v>0</v>
      </c>
      <c r="L356" s="5">
        <v>0</v>
      </c>
      <c r="M356" s="5">
        <v>282</v>
      </c>
      <c r="N356" s="3">
        <f t="shared" ref="N356" si="172">M356*5500</f>
        <v>1551000</v>
      </c>
      <c r="O356" s="5">
        <v>0</v>
      </c>
      <c r="P356" s="5">
        <v>0</v>
      </c>
      <c r="Q356" s="5">
        <v>155.69999999999999</v>
      </c>
      <c r="R356" s="3">
        <f>Q356*3000</f>
        <v>467099.99999999994</v>
      </c>
      <c r="S356" s="5">
        <v>147000</v>
      </c>
      <c r="T356" s="5">
        <v>0</v>
      </c>
      <c r="U356" s="5">
        <v>100000</v>
      </c>
      <c r="V356" s="6">
        <f t="shared" ref="V356" si="173">N356/M356</f>
        <v>5500</v>
      </c>
    </row>
    <row r="357" spans="1:22" ht="45" customHeight="1" x14ac:dyDescent="0.25">
      <c r="A357" s="51" t="s">
        <v>131</v>
      </c>
      <c r="B357" s="51"/>
      <c r="C357" s="2">
        <f>SUM(C358:C359)</f>
        <v>7572300</v>
      </c>
      <c r="D357" s="2">
        <f t="shared" ref="D357:U357" si="174">SUM(D358:D359)</f>
        <v>0</v>
      </c>
      <c r="E357" s="2">
        <f t="shared" si="174"/>
        <v>0</v>
      </c>
      <c r="F357" s="2">
        <f t="shared" si="174"/>
        <v>0</v>
      </c>
      <c r="G357" s="2">
        <f t="shared" si="174"/>
        <v>0</v>
      </c>
      <c r="H357" s="2">
        <f t="shared" si="174"/>
        <v>0</v>
      </c>
      <c r="I357" s="2">
        <f t="shared" si="174"/>
        <v>0</v>
      </c>
      <c r="J357" s="2">
        <f t="shared" si="174"/>
        <v>0</v>
      </c>
      <c r="K357" s="14">
        <f t="shared" si="174"/>
        <v>0</v>
      </c>
      <c r="L357" s="2">
        <f t="shared" si="174"/>
        <v>0</v>
      </c>
      <c r="M357" s="2">
        <f t="shared" si="174"/>
        <v>1888</v>
      </c>
      <c r="N357" s="2">
        <f t="shared" si="174"/>
        <v>7572300</v>
      </c>
      <c r="O357" s="2">
        <f t="shared" si="174"/>
        <v>0</v>
      </c>
      <c r="P357" s="2">
        <f t="shared" si="174"/>
        <v>0</v>
      </c>
      <c r="Q357" s="2">
        <f t="shared" si="174"/>
        <v>0</v>
      </c>
      <c r="R357" s="2">
        <f t="shared" si="174"/>
        <v>0</v>
      </c>
      <c r="S357" s="2">
        <f t="shared" si="174"/>
        <v>0</v>
      </c>
      <c r="T357" s="2">
        <f t="shared" si="174"/>
        <v>0</v>
      </c>
      <c r="U357" s="2">
        <f t="shared" si="174"/>
        <v>0</v>
      </c>
    </row>
    <row r="358" spans="1:22" ht="21.95" customHeight="1" x14ac:dyDescent="0.25">
      <c r="A358" s="40" t="s">
        <v>1922</v>
      </c>
      <c r="B358" s="8" t="s">
        <v>1545</v>
      </c>
      <c r="C358" s="2">
        <f t="shared" ref="C358:C426" si="175">D358+L358+N358+P358+R358+S358+T358+U358</f>
        <v>5713300</v>
      </c>
      <c r="D358" s="3">
        <f t="shared" ref="D358:D359" si="176">SUM(E358:J358)</f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1550</v>
      </c>
      <c r="N358" s="3">
        <f>M358*3686</f>
        <v>5713300</v>
      </c>
      <c r="O358" s="3">
        <v>0</v>
      </c>
      <c r="P358" s="3">
        <v>0</v>
      </c>
      <c r="Q358" s="3">
        <v>0</v>
      </c>
      <c r="R358" s="5">
        <v>0</v>
      </c>
      <c r="S358" s="3">
        <v>0</v>
      </c>
      <c r="T358" s="3">
        <v>0</v>
      </c>
      <c r="U358" s="3">
        <v>0</v>
      </c>
      <c r="V358" s="6">
        <f t="shared" ref="V358:V359" si="177">N358/M358</f>
        <v>3686</v>
      </c>
    </row>
    <row r="359" spans="1:22" ht="21.95" customHeight="1" x14ac:dyDescent="0.25">
      <c r="A359" s="40" t="s">
        <v>1923</v>
      </c>
      <c r="B359" s="8" t="s">
        <v>128</v>
      </c>
      <c r="C359" s="2">
        <f t="shared" si="175"/>
        <v>1859000</v>
      </c>
      <c r="D359" s="3">
        <f t="shared" si="176"/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338</v>
      </c>
      <c r="N359" s="3">
        <f t="shared" ref="N359" si="178">M359*5500</f>
        <v>1859000</v>
      </c>
      <c r="O359" s="3">
        <v>0</v>
      </c>
      <c r="P359" s="3">
        <v>0</v>
      </c>
      <c r="Q359" s="3">
        <v>0</v>
      </c>
      <c r="R359" s="5">
        <v>0</v>
      </c>
      <c r="S359" s="3">
        <v>0</v>
      </c>
      <c r="T359" s="3">
        <v>0</v>
      </c>
      <c r="U359" s="3">
        <v>0</v>
      </c>
      <c r="V359" s="6">
        <f t="shared" si="177"/>
        <v>5500</v>
      </c>
    </row>
    <row r="360" spans="1:22" ht="45" customHeight="1" x14ac:dyDescent="0.25">
      <c r="A360" s="51" t="s">
        <v>1549</v>
      </c>
      <c r="B360" s="51"/>
      <c r="C360" s="2">
        <f>SUM(C361)</f>
        <v>1782000</v>
      </c>
      <c r="D360" s="2">
        <f t="shared" ref="D360:U360" si="179">SUM(D361)</f>
        <v>0</v>
      </c>
      <c r="E360" s="2">
        <f t="shared" si="179"/>
        <v>0</v>
      </c>
      <c r="F360" s="2">
        <f t="shared" si="179"/>
        <v>0</v>
      </c>
      <c r="G360" s="2">
        <f t="shared" si="179"/>
        <v>0</v>
      </c>
      <c r="H360" s="2">
        <f t="shared" si="179"/>
        <v>0</v>
      </c>
      <c r="I360" s="2">
        <f t="shared" si="179"/>
        <v>0</v>
      </c>
      <c r="J360" s="2">
        <f t="shared" si="179"/>
        <v>0</v>
      </c>
      <c r="K360" s="14">
        <f t="shared" si="179"/>
        <v>0</v>
      </c>
      <c r="L360" s="2">
        <f t="shared" si="179"/>
        <v>0</v>
      </c>
      <c r="M360" s="2">
        <f t="shared" si="179"/>
        <v>324</v>
      </c>
      <c r="N360" s="2">
        <f t="shared" si="179"/>
        <v>1782000</v>
      </c>
      <c r="O360" s="2">
        <f t="shared" si="179"/>
        <v>0</v>
      </c>
      <c r="P360" s="2">
        <f t="shared" si="179"/>
        <v>0</v>
      </c>
      <c r="Q360" s="2">
        <f t="shared" si="179"/>
        <v>0</v>
      </c>
      <c r="R360" s="2">
        <f t="shared" si="179"/>
        <v>0</v>
      </c>
      <c r="S360" s="2">
        <f t="shared" si="179"/>
        <v>0</v>
      </c>
      <c r="T360" s="2">
        <f t="shared" si="179"/>
        <v>0</v>
      </c>
      <c r="U360" s="2">
        <f t="shared" si="179"/>
        <v>0</v>
      </c>
      <c r="V360" s="18">
        <f>C360</f>
        <v>1782000</v>
      </c>
    </row>
    <row r="361" spans="1:22" ht="21.95" customHeight="1" x14ac:dyDescent="0.25">
      <c r="A361" s="40" t="s">
        <v>1924</v>
      </c>
      <c r="B361" s="8" t="s">
        <v>129</v>
      </c>
      <c r="C361" s="2">
        <f t="shared" si="175"/>
        <v>1782000</v>
      </c>
      <c r="D361" s="3">
        <f t="shared" ref="D361" si="180"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324</v>
      </c>
      <c r="N361" s="3">
        <f t="shared" ref="N361" si="181">M361*5500</f>
        <v>1782000</v>
      </c>
      <c r="O361" s="3">
        <v>0</v>
      </c>
      <c r="P361" s="3">
        <v>0</v>
      </c>
      <c r="Q361" s="3">
        <v>0</v>
      </c>
      <c r="R361" s="5">
        <v>0</v>
      </c>
      <c r="S361" s="3">
        <v>0</v>
      </c>
      <c r="T361" s="3">
        <v>0</v>
      </c>
      <c r="U361" s="3">
        <v>0</v>
      </c>
      <c r="V361" s="6">
        <f t="shared" ref="V361" si="182">N361/M361</f>
        <v>5500</v>
      </c>
    </row>
    <row r="362" spans="1:22" ht="45" customHeight="1" x14ac:dyDescent="0.25">
      <c r="A362" s="61" t="s">
        <v>132</v>
      </c>
      <c r="B362" s="62"/>
      <c r="C362" s="2">
        <f>SUM(C363)</f>
        <v>1447480</v>
      </c>
      <c r="D362" s="2">
        <f t="shared" ref="D362:U362" si="183">SUM(D363)</f>
        <v>0</v>
      </c>
      <c r="E362" s="2">
        <f t="shared" si="183"/>
        <v>0</v>
      </c>
      <c r="F362" s="2">
        <f t="shared" si="183"/>
        <v>0</v>
      </c>
      <c r="G362" s="2">
        <f t="shared" si="183"/>
        <v>0</v>
      </c>
      <c r="H362" s="2">
        <f t="shared" si="183"/>
        <v>0</v>
      </c>
      <c r="I362" s="2">
        <f t="shared" si="183"/>
        <v>0</v>
      </c>
      <c r="J362" s="2">
        <f t="shared" si="183"/>
        <v>0</v>
      </c>
      <c r="K362" s="14">
        <f t="shared" si="183"/>
        <v>0</v>
      </c>
      <c r="L362" s="2">
        <f t="shared" si="183"/>
        <v>0</v>
      </c>
      <c r="M362" s="2">
        <f t="shared" si="183"/>
        <v>0</v>
      </c>
      <c r="N362" s="2">
        <f t="shared" si="183"/>
        <v>0</v>
      </c>
      <c r="O362" s="2">
        <f t="shared" si="183"/>
        <v>0</v>
      </c>
      <c r="P362" s="2">
        <f t="shared" si="183"/>
        <v>0</v>
      </c>
      <c r="Q362" s="2">
        <f t="shared" si="183"/>
        <v>496</v>
      </c>
      <c r="R362" s="2">
        <f t="shared" si="183"/>
        <v>1292080</v>
      </c>
      <c r="S362" s="2">
        <f t="shared" si="183"/>
        <v>155400</v>
      </c>
      <c r="T362" s="2">
        <f t="shared" si="183"/>
        <v>0</v>
      </c>
      <c r="U362" s="2">
        <f t="shared" si="183"/>
        <v>0</v>
      </c>
      <c r="V362" s="18" t="e">
        <f>C362+#REF!</f>
        <v>#REF!</v>
      </c>
    </row>
    <row r="363" spans="1:22" ht="21" customHeight="1" x14ac:dyDescent="0.25">
      <c r="A363" s="40" t="s">
        <v>1925</v>
      </c>
      <c r="B363" s="8" t="s">
        <v>1397</v>
      </c>
      <c r="C363" s="2">
        <f t="shared" ref="C363" si="184">D363+L363+N363+P363+R363+S363+T363+U363</f>
        <v>1447480</v>
      </c>
      <c r="D363" s="3">
        <f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496</v>
      </c>
      <c r="R363" s="3">
        <v>1292080</v>
      </c>
      <c r="S363" s="3">
        <v>155400</v>
      </c>
      <c r="T363" s="3">
        <v>0</v>
      </c>
      <c r="U363" s="3">
        <v>0</v>
      </c>
      <c r="V363" s="6" t="e">
        <f>N363/M363</f>
        <v>#DIV/0!</v>
      </c>
    </row>
    <row r="364" spans="1:22" ht="45" customHeight="1" x14ac:dyDescent="0.25">
      <c r="A364" s="51" t="s">
        <v>133</v>
      </c>
      <c r="B364" s="51"/>
      <c r="C364" s="2">
        <f>SUM(C365:C367)</f>
        <v>3593850</v>
      </c>
      <c r="D364" s="2">
        <f t="shared" ref="D364:U364" si="185">SUM(D365:D367)</f>
        <v>0</v>
      </c>
      <c r="E364" s="2">
        <f t="shared" si="185"/>
        <v>0</v>
      </c>
      <c r="F364" s="2">
        <f t="shared" si="185"/>
        <v>0</v>
      </c>
      <c r="G364" s="2">
        <f t="shared" si="185"/>
        <v>0</v>
      </c>
      <c r="H364" s="2">
        <f t="shared" si="185"/>
        <v>0</v>
      </c>
      <c r="I364" s="2">
        <f t="shared" si="185"/>
        <v>0</v>
      </c>
      <c r="J364" s="2">
        <f t="shared" si="185"/>
        <v>0</v>
      </c>
      <c r="K364" s="14">
        <f t="shared" si="185"/>
        <v>0</v>
      </c>
      <c r="L364" s="2">
        <f t="shared" si="185"/>
        <v>0</v>
      </c>
      <c r="M364" s="2">
        <f t="shared" si="185"/>
        <v>975</v>
      </c>
      <c r="N364" s="2">
        <f t="shared" si="185"/>
        <v>3593850</v>
      </c>
      <c r="O364" s="2">
        <f t="shared" si="185"/>
        <v>0</v>
      </c>
      <c r="P364" s="2">
        <f t="shared" si="185"/>
        <v>0</v>
      </c>
      <c r="Q364" s="2">
        <f t="shared" si="185"/>
        <v>0</v>
      </c>
      <c r="R364" s="2">
        <f t="shared" si="185"/>
        <v>0</v>
      </c>
      <c r="S364" s="2">
        <f t="shared" si="185"/>
        <v>0</v>
      </c>
      <c r="T364" s="2">
        <f t="shared" si="185"/>
        <v>0</v>
      </c>
      <c r="U364" s="2">
        <f t="shared" si="185"/>
        <v>0</v>
      </c>
    </row>
    <row r="365" spans="1:22" ht="21.95" customHeight="1" x14ac:dyDescent="0.25">
      <c r="A365" s="39" t="s">
        <v>1926</v>
      </c>
      <c r="B365" s="8" t="s">
        <v>1357</v>
      </c>
      <c r="C365" s="2">
        <f t="shared" si="175"/>
        <v>1197950</v>
      </c>
      <c r="D365" s="3">
        <f t="shared" ref="D365:D367" si="186">SUM(E365:J365)</f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11">
        <v>0</v>
      </c>
      <c r="L365" s="5">
        <v>0</v>
      </c>
      <c r="M365" s="5">
        <v>325</v>
      </c>
      <c r="N365" s="3">
        <f t="shared" ref="N365:N367" si="187">M365*3686</f>
        <v>1197950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6">
        <f t="shared" ref="V365:V367" si="188">N365/M365</f>
        <v>3686</v>
      </c>
    </row>
    <row r="366" spans="1:22" ht="21.95" customHeight="1" x14ac:dyDescent="0.25">
      <c r="A366" s="39" t="s">
        <v>1927</v>
      </c>
      <c r="B366" s="8" t="s">
        <v>137</v>
      </c>
      <c r="C366" s="2">
        <f t="shared" si="175"/>
        <v>1197950</v>
      </c>
      <c r="D366" s="3">
        <f t="shared" si="186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0</v>
      </c>
      <c r="L366" s="3">
        <v>0</v>
      </c>
      <c r="M366" s="3">
        <v>325</v>
      </c>
      <c r="N366" s="3">
        <f t="shared" si="187"/>
        <v>1197950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6">
        <f t="shared" si="188"/>
        <v>3686</v>
      </c>
    </row>
    <row r="367" spans="1:22" ht="21.95" customHeight="1" x14ac:dyDescent="0.25">
      <c r="A367" s="39" t="s">
        <v>1928</v>
      </c>
      <c r="B367" s="8" t="s">
        <v>138</v>
      </c>
      <c r="C367" s="2">
        <f t="shared" si="175"/>
        <v>1197950</v>
      </c>
      <c r="D367" s="3">
        <f t="shared" si="186"/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4">
        <v>0</v>
      </c>
      <c r="L367" s="3">
        <v>0</v>
      </c>
      <c r="M367" s="3">
        <v>325</v>
      </c>
      <c r="N367" s="3">
        <f t="shared" si="187"/>
        <v>1197950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6">
        <f t="shared" si="188"/>
        <v>3686</v>
      </c>
    </row>
    <row r="368" spans="1:22" ht="45" customHeight="1" x14ac:dyDescent="0.25">
      <c r="A368" s="51" t="s">
        <v>139</v>
      </c>
      <c r="B368" s="51"/>
      <c r="C368" s="2">
        <f>SUM(C369:C371)</f>
        <v>5080172.4800000004</v>
      </c>
      <c r="D368" s="2">
        <f t="shared" ref="D368:U368" si="189">SUM(D369:D371)</f>
        <v>0</v>
      </c>
      <c r="E368" s="2">
        <f t="shared" si="189"/>
        <v>0</v>
      </c>
      <c r="F368" s="2">
        <f t="shared" si="189"/>
        <v>0</v>
      </c>
      <c r="G368" s="2">
        <f t="shared" si="189"/>
        <v>0</v>
      </c>
      <c r="H368" s="2">
        <f t="shared" si="189"/>
        <v>0</v>
      </c>
      <c r="I368" s="2">
        <f t="shared" si="189"/>
        <v>0</v>
      </c>
      <c r="J368" s="2">
        <f t="shared" si="189"/>
        <v>0</v>
      </c>
      <c r="K368" s="14">
        <f t="shared" si="189"/>
        <v>0</v>
      </c>
      <c r="L368" s="2">
        <f t="shared" si="189"/>
        <v>0</v>
      </c>
      <c r="M368" s="2">
        <f t="shared" si="189"/>
        <v>1063.5700000000002</v>
      </c>
      <c r="N368" s="2">
        <f t="shared" si="189"/>
        <v>5080172.4800000004</v>
      </c>
      <c r="O368" s="2">
        <f t="shared" si="189"/>
        <v>0</v>
      </c>
      <c r="P368" s="2">
        <f t="shared" si="189"/>
        <v>0</v>
      </c>
      <c r="Q368" s="2">
        <f t="shared" si="189"/>
        <v>0</v>
      </c>
      <c r="R368" s="2">
        <f t="shared" si="189"/>
        <v>0</v>
      </c>
      <c r="S368" s="2">
        <f t="shared" si="189"/>
        <v>0</v>
      </c>
      <c r="T368" s="2">
        <f t="shared" si="189"/>
        <v>0</v>
      </c>
      <c r="U368" s="2">
        <f t="shared" si="189"/>
        <v>0</v>
      </c>
    </row>
    <row r="369" spans="1:22" ht="32.25" customHeight="1" x14ac:dyDescent="0.25">
      <c r="A369" s="39" t="s">
        <v>1929</v>
      </c>
      <c r="B369" s="8" t="s">
        <v>1398</v>
      </c>
      <c r="C369" s="2">
        <f t="shared" ref="C369" si="190">D369+L369+N369+P369+R369+S369+T369+U369</f>
        <v>1563527.48</v>
      </c>
      <c r="D369" s="3">
        <f t="shared" ref="D369" si="191">SUM(E369:J369)</f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4">
        <v>0</v>
      </c>
      <c r="L369" s="3">
        <v>0</v>
      </c>
      <c r="M369" s="3">
        <v>424.18</v>
      </c>
      <c r="N369" s="5">
        <f>M369*3686</f>
        <v>1563527.48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6">
        <f t="shared" ref="V369" si="192">N369/M369</f>
        <v>3686</v>
      </c>
    </row>
    <row r="370" spans="1:22" ht="21.95" customHeight="1" x14ac:dyDescent="0.25">
      <c r="A370" s="39" t="s">
        <v>1930</v>
      </c>
      <c r="B370" s="8" t="s">
        <v>140</v>
      </c>
      <c r="C370" s="2">
        <f t="shared" si="175"/>
        <v>1944360</v>
      </c>
      <c r="D370" s="3">
        <f t="shared" ref="D370:D371" si="193">SUM(E370:J370)</f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4">
        <v>0</v>
      </c>
      <c r="L370" s="3">
        <v>0</v>
      </c>
      <c r="M370" s="3">
        <v>353.52</v>
      </c>
      <c r="N370" s="3">
        <f t="shared" ref="N370:N371" si="194">M370*5500</f>
        <v>1944360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6">
        <f t="shared" ref="V370:V371" si="195">N370/M370</f>
        <v>5500</v>
      </c>
    </row>
    <row r="371" spans="1:22" ht="21.95" customHeight="1" x14ac:dyDescent="0.25">
      <c r="A371" s="39" t="s">
        <v>1931</v>
      </c>
      <c r="B371" s="8" t="s">
        <v>1348</v>
      </c>
      <c r="C371" s="2">
        <f t="shared" si="175"/>
        <v>1572285</v>
      </c>
      <c r="D371" s="3">
        <f t="shared" si="193"/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4">
        <v>0</v>
      </c>
      <c r="L371" s="3">
        <v>0</v>
      </c>
      <c r="M371" s="3">
        <v>285.87</v>
      </c>
      <c r="N371" s="3">
        <f t="shared" si="194"/>
        <v>1572285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6">
        <f t="shared" si="195"/>
        <v>5500</v>
      </c>
    </row>
    <row r="372" spans="1:22" ht="45" customHeight="1" x14ac:dyDescent="0.25">
      <c r="A372" s="51" t="s">
        <v>142</v>
      </c>
      <c r="B372" s="51"/>
      <c r="C372" s="2">
        <f>SUM(C373:C374)</f>
        <v>1848000</v>
      </c>
      <c r="D372" s="2">
        <f t="shared" ref="D372:U372" si="196">SUM(D373:D374)</f>
        <v>0</v>
      </c>
      <c r="E372" s="2">
        <f t="shared" si="196"/>
        <v>0</v>
      </c>
      <c r="F372" s="2">
        <f t="shared" si="196"/>
        <v>0</v>
      </c>
      <c r="G372" s="2">
        <f t="shared" si="196"/>
        <v>0</v>
      </c>
      <c r="H372" s="2">
        <f t="shared" si="196"/>
        <v>0</v>
      </c>
      <c r="I372" s="2">
        <f t="shared" si="196"/>
        <v>0</v>
      </c>
      <c r="J372" s="2">
        <f t="shared" si="196"/>
        <v>0</v>
      </c>
      <c r="K372" s="14">
        <f t="shared" si="196"/>
        <v>0</v>
      </c>
      <c r="L372" s="2">
        <f t="shared" si="196"/>
        <v>0</v>
      </c>
      <c r="M372" s="2">
        <f t="shared" si="196"/>
        <v>336</v>
      </c>
      <c r="N372" s="2">
        <f t="shared" si="196"/>
        <v>1848000</v>
      </c>
      <c r="O372" s="2">
        <f t="shared" si="196"/>
        <v>0</v>
      </c>
      <c r="P372" s="2">
        <f t="shared" si="196"/>
        <v>0</v>
      </c>
      <c r="Q372" s="2">
        <f t="shared" si="196"/>
        <v>0</v>
      </c>
      <c r="R372" s="2">
        <f t="shared" si="196"/>
        <v>0</v>
      </c>
      <c r="S372" s="2">
        <f t="shared" si="196"/>
        <v>0</v>
      </c>
      <c r="T372" s="2">
        <f t="shared" si="196"/>
        <v>0</v>
      </c>
      <c r="U372" s="2">
        <f t="shared" si="196"/>
        <v>0</v>
      </c>
      <c r="V372" s="18">
        <f>C372</f>
        <v>1848000</v>
      </c>
    </row>
    <row r="373" spans="1:22" ht="21.95" customHeight="1" x14ac:dyDescent="0.25">
      <c r="A373" s="40" t="s">
        <v>1932</v>
      </c>
      <c r="B373" s="8" t="s">
        <v>143</v>
      </c>
      <c r="C373" s="2">
        <f t="shared" si="175"/>
        <v>825000</v>
      </c>
      <c r="D373" s="3">
        <f t="shared" ref="D373:D374" si="197">SUM(E373:J373)</f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4">
        <v>0</v>
      </c>
      <c r="L373" s="3">
        <v>0</v>
      </c>
      <c r="M373" s="3">
        <v>150</v>
      </c>
      <c r="N373" s="3">
        <f t="shared" ref="N373:N374" si="198">M373*5500</f>
        <v>825000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6">
        <f t="shared" ref="V373:V374" si="199">N373/M373</f>
        <v>5500</v>
      </c>
    </row>
    <row r="374" spans="1:22" ht="21.95" customHeight="1" x14ac:dyDescent="0.25">
      <c r="A374" s="40" t="s">
        <v>1933</v>
      </c>
      <c r="B374" s="8" t="s">
        <v>144</v>
      </c>
      <c r="C374" s="2">
        <f t="shared" si="175"/>
        <v>1023000</v>
      </c>
      <c r="D374" s="3">
        <f t="shared" si="197"/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4">
        <v>0</v>
      </c>
      <c r="L374" s="3">
        <v>0</v>
      </c>
      <c r="M374" s="3">
        <v>186</v>
      </c>
      <c r="N374" s="3">
        <f t="shared" si="198"/>
        <v>1023000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6">
        <f t="shared" si="199"/>
        <v>5500</v>
      </c>
    </row>
    <row r="375" spans="1:22" ht="45" customHeight="1" x14ac:dyDescent="0.25">
      <c r="A375" s="51" t="s">
        <v>1402</v>
      </c>
      <c r="B375" s="51"/>
      <c r="C375" s="2">
        <f>SUM(C376)</f>
        <v>1027363.6</v>
      </c>
      <c r="D375" s="2">
        <f t="shared" ref="D375:U375" si="200">SUM(D376)</f>
        <v>0</v>
      </c>
      <c r="E375" s="2">
        <f t="shared" si="200"/>
        <v>0</v>
      </c>
      <c r="F375" s="2">
        <f t="shared" si="200"/>
        <v>0</v>
      </c>
      <c r="G375" s="2">
        <f t="shared" si="200"/>
        <v>0</v>
      </c>
      <c r="H375" s="2">
        <f t="shared" si="200"/>
        <v>0</v>
      </c>
      <c r="I375" s="2">
        <f t="shared" si="200"/>
        <v>0</v>
      </c>
      <c r="J375" s="2">
        <f t="shared" si="200"/>
        <v>0</v>
      </c>
      <c r="K375" s="14">
        <f t="shared" si="200"/>
        <v>0</v>
      </c>
      <c r="L375" s="2">
        <f t="shared" si="200"/>
        <v>0</v>
      </c>
      <c r="M375" s="2">
        <f t="shared" si="200"/>
        <v>327.60000000000002</v>
      </c>
      <c r="N375" s="2">
        <f t="shared" si="200"/>
        <v>1027363.6</v>
      </c>
      <c r="O375" s="2">
        <f t="shared" si="200"/>
        <v>0</v>
      </c>
      <c r="P375" s="2">
        <f t="shared" si="200"/>
        <v>0</v>
      </c>
      <c r="Q375" s="2">
        <f t="shared" si="200"/>
        <v>0</v>
      </c>
      <c r="R375" s="2">
        <f t="shared" si="200"/>
        <v>0</v>
      </c>
      <c r="S375" s="2">
        <f t="shared" si="200"/>
        <v>0</v>
      </c>
      <c r="T375" s="2">
        <f t="shared" si="200"/>
        <v>0</v>
      </c>
      <c r="U375" s="2">
        <f t="shared" si="200"/>
        <v>0</v>
      </c>
      <c r="V375" s="18">
        <f>C375</f>
        <v>1027363.6</v>
      </c>
    </row>
    <row r="376" spans="1:22" ht="21.75" customHeight="1" x14ac:dyDescent="0.25">
      <c r="A376" s="40" t="s">
        <v>1934</v>
      </c>
      <c r="B376" s="8" t="s">
        <v>1403</v>
      </c>
      <c r="C376" s="2">
        <f>D376+L376+N376+P376+R376+S376+T376+U376</f>
        <v>1027363.6</v>
      </c>
      <c r="D376" s="3">
        <f>SUM(E376:J376)</f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4">
        <v>0</v>
      </c>
      <c r="L376" s="3">
        <v>0</v>
      </c>
      <c r="M376" s="3">
        <v>327.60000000000002</v>
      </c>
      <c r="N376" s="5">
        <v>1027363.6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6">
        <f>N376/M376</f>
        <v>3136.0305250305246</v>
      </c>
    </row>
    <row r="377" spans="1:22" ht="45" customHeight="1" x14ac:dyDescent="0.25">
      <c r="A377" s="51" t="s">
        <v>148</v>
      </c>
      <c r="B377" s="51"/>
      <c r="C377" s="2">
        <f>SUM(C378:C383)</f>
        <v>17916000</v>
      </c>
      <c r="D377" s="2">
        <f t="shared" ref="D377:U377" si="201">SUM(D378:D383)</f>
        <v>0</v>
      </c>
      <c r="E377" s="2">
        <f t="shared" si="201"/>
        <v>0</v>
      </c>
      <c r="F377" s="2">
        <f t="shared" si="201"/>
        <v>0</v>
      </c>
      <c r="G377" s="2">
        <f t="shared" si="201"/>
        <v>0</v>
      </c>
      <c r="H377" s="2">
        <f t="shared" si="201"/>
        <v>0</v>
      </c>
      <c r="I377" s="2">
        <f t="shared" si="201"/>
        <v>0</v>
      </c>
      <c r="J377" s="2">
        <f t="shared" si="201"/>
        <v>0</v>
      </c>
      <c r="K377" s="14">
        <f t="shared" si="201"/>
        <v>0</v>
      </c>
      <c r="L377" s="2">
        <f t="shared" si="201"/>
        <v>0</v>
      </c>
      <c r="M377" s="2">
        <f t="shared" si="201"/>
        <v>1872</v>
      </c>
      <c r="N377" s="2">
        <f t="shared" si="201"/>
        <v>10296000</v>
      </c>
      <c r="O377" s="2">
        <f t="shared" si="201"/>
        <v>0</v>
      </c>
      <c r="P377" s="2">
        <f t="shared" si="201"/>
        <v>0</v>
      </c>
      <c r="Q377" s="2">
        <f t="shared" si="201"/>
        <v>2440</v>
      </c>
      <c r="R377" s="2">
        <f t="shared" si="201"/>
        <v>7320000</v>
      </c>
      <c r="S377" s="2">
        <f t="shared" si="201"/>
        <v>0</v>
      </c>
      <c r="T377" s="2">
        <f t="shared" si="201"/>
        <v>0</v>
      </c>
      <c r="U377" s="2">
        <f t="shared" si="201"/>
        <v>300000</v>
      </c>
    </row>
    <row r="378" spans="1:22" ht="21.95" customHeight="1" x14ac:dyDescent="0.25">
      <c r="A378" s="40" t="s">
        <v>1935</v>
      </c>
      <c r="B378" s="8" t="s">
        <v>149</v>
      </c>
      <c r="C378" s="2">
        <f t="shared" si="175"/>
        <v>2387000</v>
      </c>
      <c r="D378" s="3">
        <f t="shared" ref="D378:D383" si="202">SUM(E378:J378)</f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434</v>
      </c>
      <c r="N378" s="3">
        <f t="shared" ref="N378:N380" si="203">M378*5500</f>
        <v>2387000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6">
        <f t="shared" ref="V378:V383" si="204">N378/M378</f>
        <v>5500</v>
      </c>
    </row>
    <row r="379" spans="1:22" ht="21.95" customHeight="1" x14ac:dyDescent="0.25">
      <c r="A379" s="40" t="s">
        <v>1936</v>
      </c>
      <c r="B379" s="8" t="s">
        <v>150</v>
      </c>
      <c r="C379" s="2">
        <f t="shared" si="175"/>
        <v>2387000</v>
      </c>
      <c r="D379" s="3">
        <f t="shared" si="202"/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4">
        <v>0</v>
      </c>
      <c r="L379" s="3">
        <v>0</v>
      </c>
      <c r="M379" s="3">
        <v>434</v>
      </c>
      <c r="N379" s="3">
        <f t="shared" si="203"/>
        <v>2387000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6">
        <f t="shared" si="204"/>
        <v>5500</v>
      </c>
    </row>
    <row r="380" spans="1:22" ht="21.95" customHeight="1" x14ac:dyDescent="0.25">
      <c r="A380" s="40" t="s">
        <v>1937</v>
      </c>
      <c r="B380" s="8" t="s">
        <v>151</v>
      </c>
      <c r="C380" s="2">
        <f t="shared" si="175"/>
        <v>2035000</v>
      </c>
      <c r="D380" s="3">
        <f t="shared" si="202"/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370</v>
      </c>
      <c r="N380" s="3">
        <f t="shared" si="203"/>
        <v>2035000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6">
        <f t="shared" si="204"/>
        <v>5500</v>
      </c>
    </row>
    <row r="381" spans="1:22" ht="21.95" customHeight="1" x14ac:dyDescent="0.25">
      <c r="A381" s="40" t="s">
        <v>1938</v>
      </c>
      <c r="B381" s="8" t="s">
        <v>152</v>
      </c>
      <c r="C381" s="2">
        <f t="shared" si="175"/>
        <v>300000</v>
      </c>
      <c r="D381" s="3">
        <f t="shared" si="202"/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300000</v>
      </c>
      <c r="V381" s="6" t="e">
        <f t="shared" si="204"/>
        <v>#DIV/0!</v>
      </c>
    </row>
    <row r="382" spans="1:22" ht="21.95" customHeight="1" x14ac:dyDescent="0.25">
      <c r="A382" s="40" t="s">
        <v>1939</v>
      </c>
      <c r="B382" s="8" t="s">
        <v>1174</v>
      </c>
      <c r="C382" s="2">
        <f t="shared" si="175"/>
        <v>3487000</v>
      </c>
      <c r="D382" s="3">
        <f t="shared" si="202"/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4">
        <v>0</v>
      </c>
      <c r="L382" s="3">
        <v>0</v>
      </c>
      <c r="M382" s="3">
        <v>634</v>
      </c>
      <c r="N382" s="3">
        <f t="shared" ref="N382" si="205">M382*5500</f>
        <v>3487000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6">
        <f t="shared" si="204"/>
        <v>5500</v>
      </c>
    </row>
    <row r="383" spans="1:22" ht="21.95" customHeight="1" x14ac:dyDescent="0.25">
      <c r="A383" s="40" t="s">
        <v>1940</v>
      </c>
      <c r="B383" s="8" t="s">
        <v>1175</v>
      </c>
      <c r="C383" s="2">
        <f t="shared" si="175"/>
        <v>7320000</v>
      </c>
      <c r="D383" s="3">
        <f t="shared" si="202"/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4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2440</v>
      </c>
      <c r="R383" s="3">
        <f>Q383*3000</f>
        <v>7320000</v>
      </c>
      <c r="S383" s="3">
        <v>0</v>
      </c>
      <c r="T383" s="3">
        <v>0</v>
      </c>
      <c r="U383" s="3">
        <v>0</v>
      </c>
      <c r="V383" s="6" t="e">
        <f t="shared" si="204"/>
        <v>#DIV/0!</v>
      </c>
    </row>
    <row r="384" spans="1:22" ht="45" customHeight="1" x14ac:dyDescent="0.25">
      <c r="A384" s="51" t="s">
        <v>1563</v>
      </c>
      <c r="B384" s="51"/>
      <c r="C384" s="2">
        <f>SUM(C385)</f>
        <v>1315270</v>
      </c>
      <c r="D384" s="2">
        <f t="shared" ref="D384:U384" si="206">SUM(D385)</f>
        <v>0</v>
      </c>
      <c r="E384" s="2">
        <f t="shared" si="206"/>
        <v>0</v>
      </c>
      <c r="F384" s="2">
        <f t="shared" si="206"/>
        <v>0</v>
      </c>
      <c r="G384" s="2">
        <f t="shared" si="206"/>
        <v>0</v>
      </c>
      <c r="H384" s="2">
        <f t="shared" si="206"/>
        <v>0</v>
      </c>
      <c r="I384" s="2">
        <f t="shared" si="206"/>
        <v>0</v>
      </c>
      <c r="J384" s="2">
        <f t="shared" si="206"/>
        <v>0</v>
      </c>
      <c r="K384" s="14">
        <f t="shared" si="206"/>
        <v>0</v>
      </c>
      <c r="L384" s="2">
        <f t="shared" si="206"/>
        <v>0</v>
      </c>
      <c r="M384" s="2">
        <f t="shared" si="206"/>
        <v>239.14</v>
      </c>
      <c r="N384" s="2">
        <f t="shared" si="206"/>
        <v>1315270</v>
      </c>
      <c r="O384" s="2">
        <f t="shared" si="206"/>
        <v>0</v>
      </c>
      <c r="P384" s="2">
        <f t="shared" si="206"/>
        <v>0</v>
      </c>
      <c r="Q384" s="2">
        <f t="shared" si="206"/>
        <v>0</v>
      </c>
      <c r="R384" s="2">
        <f t="shared" si="206"/>
        <v>0</v>
      </c>
      <c r="S384" s="2">
        <f t="shared" si="206"/>
        <v>0</v>
      </c>
      <c r="T384" s="2">
        <f t="shared" si="206"/>
        <v>0</v>
      </c>
      <c r="U384" s="2">
        <f t="shared" si="206"/>
        <v>0</v>
      </c>
    </row>
    <row r="385" spans="1:22" ht="21.95" customHeight="1" x14ac:dyDescent="0.25">
      <c r="A385" s="40" t="s">
        <v>1941</v>
      </c>
      <c r="B385" s="8" t="s">
        <v>159</v>
      </c>
      <c r="C385" s="2">
        <f t="shared" si="175"/>
        <v>1315270</v>
      </c>
      <c r="D385" s="3">
        <f t="shared" ref="D385" si="207">SUM(E385:J385)</f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4">
        <v>0</v>
      </c>
      <c r="L385" s="3">
        <v>0</v>
      </c>
      <c r="M385" s="3">
        <v>239.14</v>
      </c>
      <c r="N385" s="3">
        <f t="shared" ref="N385" si="208">M385*5500</f>
        <v>1315270</v>
      </c>
      <c r="O385" s="3">
        <v>0</v>
      </c>
      <c r="P385" s="3">
        <v>0</v>
      </c>
      <c r="Q385" s="3">
        <v>0</v>
      </c>
      <c r="R385" s="5">
        <v>0</v>
      </c>
      <c r="S385" s="3">
        <v>0</v>
      </c>
      <c r="T385" s="3">
        <v>0</v>
      </c>
      <c r="U385" s="3">
        <v>0</v>
      </c>
      <c r="V385" s="6">
        <f t="shared" ref="V385" si="209">N385/M385</f>
        <v>5500</v>
      </c>
    </row>
    <row r="386" spans="1:22" ht="45" customHeight="1" x14ac:dyDescent="0.25">
      <c r="A386" s="51" t="s">
        <v>163</v>
      </c>
      <c r="B386" s="51"/>
      <c r="C386" s="2">
        <f>SUM(C387:C408)</f>
        <v>160144580.15000001</v>
      </c>
      <c r="D386" s="2">
        <f t="shared" ref="D386:U386" si="210">SUM(D387:D408)</f>
        <v>19239110</v>
      </c>
      <c r="E386" s="2">
        <f t="shared" si="210"/>
        <v>5999840</v>
      </c>
      <c r="F386" s="2">
        <f t="shared" si="210"/>
        <v>8725080</v>
      </c>
      <c r="G386" s="2">
        <f t="shared" si="210"/>
        <v>2273100</v>
      </c>
      <c r="H386" s="2">
        <f t="shared" si="210"/>
        <v>346840</v>
      </c>
      <c r="I386" s="2">
        <f t="shared" si="210"/>
        <v>1894250</v>
      </c>
      <c r="J386" s="2">
        <f t="shared" si="210"/>
        <v>0</v>
      </c>
      <c r="K386" s="14">
        <f t="shared" si="210"/>
        <v>4</v>
      </c>
      <c r="L386" s="2">
        <f t="shared" si="210"/>
        <v>8600000</v>
      </c>
      <c r="M386" s="2">
        <f t="shared" si="210"/>
        <v>12407.410000000002</v>
      </c>
      <c r="N386" s="2">
        <f t="shared" si="210"/>
        <v>59321591.539999999</v>
      </c>
      <c r="O386" s="2">
        <f t="shared" si="210"/>
        <v>0</v>
      </c>
      <c r="P386" s="2">
        <f t="shared" si="210"/>
        <v>0</v>
      </c>
      <c r="Q386" s="2">
        <f t="shared" si="210"/>
        <v>22395.33</v>
      </c>
      <c r="R386" s="2">
        <f t="shared" si="210"/>
        <v>65469359.5</v>
      </c>
      <c r="S386" s="2">
        <f t="shared" si="210"/>
        <v>5714519.1100000003</v>
      </c>
      <c r="T386" s="2">
        <f t="shared" si="210"/>
        <v>0</v>
      </c>
      <c r="U386" s="2">
        <f t="shared" si="210"/>
        <v>1800000</v>
      </c>
    </row>
    <row r="387" spans="1:22" ht="21.95" customHeight="1" x14ac:dyDescent="0.25">
      <c r="A387" s="40" t="s">
        <v>1942</v>
      </c>
      <c r="B387" s="8" t="s">
        <v>1391</v>
      </c>
      <c r="C387" s="2">
        <f>D387+L387+N387+P387+R387+S387+T387+U387</f>
        <v>4150591.5</v>
      </c>
      <c r="D387" s="3">
        <f>SUM(E387:J387)</f>
        <v>0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4">
        <v>0</v>
      </c>
      <c r="L387" s="3">
        <v>0</v>
      </c>
      <c r="M387" s="5">
        <v>1093.7</v>
      </c>
      <c r="N387" s="5">
        <v>4150591.5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6">
        <f>N387/M387</f>
        <v>3795</v>
      </c>
    </row>
    <row r="388" spans="1:22" ht="21.95" customHeight="1" x14ac:dyDescent="0.25">
      <c r="A388" s="40" t="s">
        <v>1943</v>
      </c>
      <c r="B388" s="21" t="s">
        <v>168</v>
      </c>
      <c r="C388" s="2">
        <f t="shared" si="175"/>
        <v>19400625.039999999</v>
      </c>
      <c r="D388" s="3">
        <f t="shared" ref="D388:D408" si="211">SUM(E388:J388)</f>
        <v>1997940</v>
      </c>
      <c r="E388" s="3">
        <v>1997940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4">
        <v>0</v>
      </c>
      <c r="L388" s="3">
        <v>0</v>
      </c>
      <c r="M388" s="3">
        <v>1741.64</v>
      </c>
      <c r="N388" s="3">
        <f>M388*3686</f>
        <v>6419685.04</v>
      </c>
      <c r="O388" s="3">
        <v>0</v>
      </c>
      <c r="P388" s="3">
        <v>0</v>
      </c>
      <c r="Q388" s="5">
        <v>3661</v>
      </c>
      <c r="R388" s="3">
        <f t="shared" ref="R388:R391" si="212">Q388*3000</f>
        <v>10983000</v>
      </c>
      <c r="S388" s="3">
        <v>0</v>
      </c>
      <c r="T388" s="3">
        <v>0</v>
      </c>
      <c r="U388" s="3">
        <v>0</v>
      </c>
      <c r="V388" s="6">
        <f t="shared" ref="V388:V408" si="213">N388/M388</f>
        <v>3686</v>
      </c>
    </row>
    <row r="389" spans="1:22" ht="21.95" customHeight="1" x14ac:dyDescent="0.25">
      <c r="A389" s="40" t="s">
        <v>1944</v>
      </c>
      <c r="B389" s="8" t="s">
        <v>1406</v>
      </c>
      <c r="C389" s="2">
        <f>D389+L389+N389+P389+R389+S389+T389+U389</f>
        <v>20043863.609999999</v>
      </c>
      <c r="D389" s="3">
        <f>SUM(E389:J389)</f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4">
        <v>0</v>
      </c>
      <c r="L389" s="5">
        <v>0</v>
      </c>
      <c r="M389" s="3">
        <v>1528.1</v>
      </c>
      <c r="N389" s="5">
        <v>4584300</v>
      </c>
      <c r="O389" s="3">
        <v>0</v>
      </c>
      <c r="P389" s="3">
        <v>0</v>
      </c>
      <c r="Q389" s="3">
        <v>3740.9</v>
      </c>
      <c r="R389" s="3">
        <v>9745044.5</v>
      </c>
      <c r="S389" s="3">
        <v>5714519.1100000003</v>
      </c>
      <c r="T389" s="3">
        <v>0</v>
      </c>
      <c r="U389" s="3">
        <v>0</v>
      </c>
      <c r="V389" s="6">
        <f>N389/M389</f>
        <v>3000</v>
      </c>
    </row>
    <row r="390" spans="1:22" ht="21.95" customHeight="1" x14ac:dyDescent="0.25">
      <c r="A390" s="40" t="s">
        <v>1945</v>
      </c>
      <c r="B390" s="21" t="s">
        <v>164</v>
      </c>
      <c r="C390" s="2">
        <f t="shared" si="175"/>
        <v>29471200</v>
      </c>
      <c r="D390" s="3">
        <f t="shared" si="211"/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4">
        <v>4</v>
      </c>
      <c r="L390" s="3">
        <v>8600000</v>
      </c>
      <c r="M390" s="3">
        <v>0</v>
      </c>
      <c r="N390" s="3">
        <v>0</v>
      </c>
      <c r="O390" s="3">
        <v>0</v>
      </c>
      <c r="P390" s="3">
        <v>0</v>
      </c>
      <c r="Q390" s="5">
        <v>6890.4</v>
      </c>
      <c r="R390" s="3">
        <f t="shared" si="212"/>
        <v>20671200</v>
      </c>
      <c r="S390" s="3">
        <v>0</v>
      </c>
      <c r="T390" s="3">
        <v>0</v>
      </c>
      <c r="U390" s="3">
        <v>200000</v>
      </c>
      <c r="V390" s="6" t="e">
        <f t="shared" si="213"/>
        <v>#DIV/0!</v>
      </c>
    </row>
    <row r="391" spans="1:22" ht="21.95" customHeight="1" x14ac:dyDescent="0.25">
      <c r="A391" s="40" t="s">
        <v>1946</v>
      </c>
      <c r="B391" s="1" t="s">
        <v>836</v>
      </c>
      <c r="C391" s="2">
        <f t="shared" si="175"/>
        <v>4554480</v>
      </c>
      <c r="D391" s="3">
        <f t="shared" si="211"/>
        <v>668250</v>
      </c>
      <c r="E391" s="3">
        <f>350*742.5</f>
        <v>259875</v>
      </c>
      <c r="F391" s="3">
        <f>800*0</f>
        <v>0</v>
      </c>
      <c r="G391" s="3">
        <f>300*742.5</f>
        <v>222750</v>
      </c>
      <c r="H391" s="3">
        <f>400*0</f>
        <v>0</v>
      </c>
      <c r="I391" s="3">
        <f>250*742.5</f>
        <v>185625</v>
      </c>
      <c r="J391" s="3">
        <f t="shared" ref="J391:J404" si="214">350*0</f>
        <v>0</v>
      </c>
      <c r="K391" s="4">
        <v>0</v>
      </c>
      <c r="L391" s="3">
        <v>0</v>
      </c>
      <c r="M391" s="3">
        <v>426.86</v>
      </c>
      <c r="N391" s="3">
        <f t="shared" ref="N391:N399" si="215">M391*5500</f>
        <v>2347730</v>
      </c>
      <c r="O391" s="3">
        <v>0</v>
      </c>
      <c r="P391" s="3">
        <f>O391*410</f>
        <v>0</v>
      </c>
      <c r="Q391" s="3">
        <v>479.5</v>
      </c>
      <c r="R391" s="3">
        <f t="shared" si="212"/>
        <v>1438500</v>
      </c>
      <c r="S391" s="3">
        <v>0</v>
      </c>
      <c r="T391" s="3">
        <v>0</v>
      </c>
      <c r="U391" s="3">
        <v>100000</v>
      </c>
      <c r="V391" s="6">
        <f t="shared" si="213"/>
        <v>5500</v>
      </c>
    </row>
    <row r="392" spans="1:22" ht="21.95" customHeight="1" x14ac:dyDescent="0.25">
      <c r="A392" s="40" t="s">
        <v>1947</v>
      </c>
      <c r="B392" s="1" t="s">
        <v>183</v>
      </c>
      <c r="C392" s="2">
        <f>D392+L392+N392+P392+R392+S392+T392+U392</f>
        <v>2827870</v>
      </c>
      <c r="D392" s="3">
        <f t="shared" si="211"/>
        <v>1224820</v>
      </c>
      <c r="E392" s="3">
        <f>350*521.2</f>
        <v>182420.00000000003</v>
      </c>
      <c r="F392" s="3">
        <f>1050*521.2</f>
        <v>547260</v>
      </c>
      <c r="G392" s="3">
        <f>300*521.2</f>
        <v>156360</v>
      </c>
      <c r="H392" s="3">
        <f>400*521.2</f>
        <v>208480.00000000003</v>
      </c>
      <c r="I392" s="3">
        <f>250*521.2</f>
        <v>130300.00000000001</v>
      </c>
      <c r="J392" s="3">
        <f t="shared" si="214"/>
        <v>0</v>
      </c>
      <c r="K392" s="4">
        <v>0</v>
      </c>
      <c r="L392" s="3">
        <v>0</v>
      </c>
      <c r="M392" s="3">
        <v>255.1</v>
      </c>
      <c r="N392" s="3">
        <f>M392*5500</f>
        <v>1403050</v>
      </c>
      <c r="O392" s="3">
        <v>0</v>
      </c>
      <c r="P392" s="3">
        <f>O392*410</f>
        <v>0</v>
      </c>
      <c r="Q392" s="5">
        <v>0</v>
      </c>
      <c r="R392" s="3">
        <v>0</v>
      </c>
      <c r="S392" s="3">
        <f>S91</f>
        <v>0</v>
      </c>
      <c r="T392" s="3">
        <v>0</v>
      </c>
      <c r="U392" s="3">
        <v>200000</v>
      </c>
      <c r="V392" s="6">
        <f t="shared" si="213"/>
        <v>5500</v>
      </c>
    </row>
    <row r="393" spans="1:22" ht="21.95" customHeight="1" x14ac:dyDescent="0.25">
      <c r="A393" s="40" t="s">
        <v>1948</v>
      </c>
      <c r="B393" s="1" t="s">
        <v>175</v>
      </c>
      <c r="C393" s="2">
        <f t="shared" si="175"/>
        <v>8302170</v>
      </c>
      <c r="D393" s="3">
        <f t="shared" si="211"/>
        <v>561890</v>
      </c>
      <c r="E393" s="3">
        <f>350*1605.4</f>
        <v>561890</v>
      </c>
      <c r="F393" s="3">
        <f>800*0</f>
        <v>0</v>
      </c>
      <c r="G393" s="3">
        <v>0</v>
      </c>
      <c r="H393" s="3">
        <f>400*0</f>
        <v>0</v>
      </c>
      <c r="I393" s="3">
        <v>0</v>
      </c>
      <c r="J393" s="3">
        <f t="shared" si="214"/>
        <v>0</v>
      </c>
      <c r="K393" s="4">
        <v>0</v>
      </c>
      <c r="L393" s="3">
        <v>0</v>
      </c>
      <c r="M393" s="3">
        <v>883.2</v>
      </c>
      <c r="N393" s="3">
        <f t="shared" si="215"/>
        <v>4857600</v>
      </c>
      <c r="O393" s="3">
        <v>0</v>
      </c>
      <c r="P393" s="3">
        <f>O393*410</f>
        <v>0</v>
      </c>
      <c r="Q393" s="3">
        <v>927.56</v>
      </c>
      <c r="R393" s="3">
        <f t="shared" ref="R393:R399" si="216">Q393*3000</f>
        <v>2782680</v>
      </c>
      <c r="S393" s="3">
        <v>0</v>
      </c>
      <c r="T393" s="3">
        <v>0</v>
      </c>
      <c r="U393" s="3">
        <v>100000</v>
      </c>
      <c r="V393" s="6">
        <f t="shared" si="213"/>
        <v>5500</v>
      </c>
    </row>
    <row r="394" spans="1:22" ht="21.95" customHeight="1" x14ac:dyDescent="0.25">
      <c r="A394" s="40" t="s">
        <v>1949</v>
      </c>
      <c r="B394" s="1" t="s">
        <v>177</v>
      </c>
      <c r="C394" s="2">
        <f t="shared" si="175"/>
        <v>3702150</v>
      </c>
      <c r="D394" s="3">
        <f t="shared" ref="D394" si="217">SUM(E394:J394)</f>
        <v>143395</v>
      </c>
      <c r="E394" s="3">
        <f>350*409.7</f>
        <v>143395</v>
      </c>
      <c r="F394" s="3">
        <v>0</v>
      </c>
      <c r="G394" s="3">
        <v>0</v>
      </c>
      <c r="H394" s="3">
        <f>500*0</f>
        <v>0</v>
      </c>
      <c r="I394" s="3">
        <v>0</v>
      </c>
      <c r="J394" s="3">
        <f t="shared" si="214"/>
        <v>0</v>
      </c>
      <c r="K394" s="4">
        <v>0</v>
      </c>
      <c r="L394" s="3">
        <v>0</v>
      </c>
      <c r="M394" s="3">
        <v>374.1</v>
      </c>
      <c r="N394" s="3">
        <f t="shared" ref="N394" si="218">M394*5300</f>
        <v>1982730.0000000002</v>
      </c>
      <c r="O394" s="3">
        <v>0</v>
      </c>
      <c r="P394" s="3">
        <v>0</v>
      </c>
      <c r="Q394" s="3">
        <v>605</v>
      </c>
      <c r="R394" s="3">
        <f t="shared" ref="R394" si="219">Q394*2605</f>
        <v>1576025</v>
      </c>
      <c r="S394" s="3">
        <f>S1232</f>
        <v>0</v>
      </c>
      <c r="T394" s="3">
        <v>0</v>
      </c>
      <c r="U394" s="3">
        <v>0</v>
      </c>
      <c r="V394" s="6">
        <f t="shared" si="213"/>
        <v>5300</v>
      </c>
    </row>
    <row r="395" spans="1:22" ht="21.95" customHeight="1" x14ac:dyDescent="0.25">
      <c r="A395" s="40" t="s">
        <v>1950</v>
      </c>
      <c r="B395" s="21" t="s">
        <v>178</v>
      </c>
      <c r="C395" s="2">
        <f t="shared" si="175"/>
        <v>5059200</v>
      </c>
      <c r="D395" s="3">
        <f t="shared" si="211"/>
        <v>1396200</v>
      </c>
      <c r="E395" s="3">
        <f>350*716</f>
        <v>250600</v>
      </c>
      <c r="F395" s="3">
        <f>1050*716</f>
        <v>751800</v>
      </c>
      <c r="G395" s="3">
        <f>300*716</f>
        <v>214800</v>
      </c>
      <c r="H395" s="3">
        <f>400*0</f>
        <v>0</v>
      </c>
      <c r="I395" s="3">
        <f>250*716</f>
        <v>179000</v>
      </c>
      <c r="J395" s="3">
        <f t="shared" si="214"/>
        <v>0</v>
      </c>
      <c r="K395" s="4">
        <v>0</v>
      </c>
      <c r="L395" s="3">
        <v>0</v>
      </c>
      <c r="M395" s="3">
        <v>386</v>
      </c>
      <c r="N395" s="3">
        <f t="shared" si="215"/>
        <v>2123000</v>
      </c>
      <c r="O395" s="3">
        <v>0</v>
      </c>
      <c r="P395" s="3">
        <v>0</v>
      </c>
      <c r="Q395" s="3">
        <v>480</v>
      </c>
      <c r="R395" s="3">
        <f t="shared" si="216"/>
        <v>1440000</v>
      </c>
      <c r="S395" s="3">
        <f>S1274</f>
        <v>0</v>
      </c>
      <c r="T395" s="3">
        <v>0</v>
      </c>
      <c r="U395" s="3">
        <v>100000</v>
      </c>
      <c r="V395" s="6">
        <f t="shared" si="213"/>
        <v>5500</v>
      </c>
    </row>
    <row r="396" spans="1:22" ht="21.95" customHeight="1" x14ac:dyDescent="0.25">
      <c r="A396" s="40" t="s">
        <v>1951</v>
      </c>
      <c r="B396" s="21" t="s">
        <v>179</v>
      </c>
      <c r="C396" s="2">
        <f t="shared" si="175"/>
        <v>4974605</v>
      </c>
      <c r="D396" s="3">
        <f t="shared" si="211"/>
        <v>1372605</v>
      </c>
      <c r="E396" s="3">
        <f>350*703.9</f>
        <v>246365</v>
      </c>
      <c r="F396" s="3">
        <f>1050*703.9</f>
        <v>739095</v>
      </c>
      <c r="G396" s="3">
        <f>300*703.9</f>
        <v>211170</v>
      </c>
      <c r="H396" s="3">
        <f>400*0</f>
        <v>0</v>
      </c>
      <c r="I396" s="3">
        <f>250*703.9</f>
        <v>175975</v>
      </c>
      <c r="J396" s="3">
        <f t="shared" si="214"/>
        <v>0</v>
      </c>
      <c r="K396" s="4">
        <v>0</v>
      </c>
      <c r="L396" s="3">
        <v>0</v>
      </c>
      <c r="M396" s="3">
        <v>364</v>
      </c>
      <c r="N396" s="3">
        <f t="shared" si="215"/>
        <v>2002000</v>
      </c>
      <c r="O396" s="3">
        <v>0</v>
      </c>
      <c r="P396" s="3">
        <v>0</v>
      </c>
      <c r="Q396" s="3">
        <v>500</v>
      </c>
      <c r="R396" s="3">
        <f t="shared" si="216"/>
        <v>1500000</v>
      </c>
      <c r="S396" s="3">
        <f>S1275</f>
        <v>0</v>
      </c>
      <c r="T396" s="3">
        <v>0</v>
      </c>
      <c r="U396" s="3">
        <v>100000</v>
      </c>
      <c r="V396" s="6">
        <f t="shared" si="213"/>
        <v>5500</v>
      </c>
    </row>
    <row r="397" spans="1:22" ht="21.95" customHeight="1" x14ac:dyDescent="0.25">
      <c r="A397" s="40" t="s">
        <v>1952</v>
      </c>
      <c r="B397" s="1" t="s">
        <v>182</v>
      </c>
      <c r="C397" s="2">
        <f t="shared" si="175"/>
        <v>3047495</v>
      </c>
      <c r="D397" s="3">
        <f t="shared" si="211"/>
        <v>812865</v>
      </c>
      <c r="E397" s="3">
        <f>350*345.9</f>
        <v>121064.99999999999</v>
      </c>
      <c r="F397" s="3">
        <f>1050*345.9</f>
        <v>363195</v>
      </c>
      <c r="G397" s="3">
        <f>300*345.9</f>
        <v>103770</v>
      </c>
      <c r="H397" s="3">
        <f>400*345.9</f>
        <v>138360</v>
      </c>
      <c r="I397" s="3">
        <f>250*345.9</f>
        <v>86475</v>
      </c>
      <c r="J397" s="3">
        <f t="shared" si="214"/>
        <v>0</v>
      </c>
      <c r="K397" s="4">
        <v>0</v>
      </c>
      <c r="L397" s="3">
        <v>0</v>
      </c>
      <c r="M397" s="3">
        <v>206.26</v>
      </c>
      <c r="N397" s="3">
        <f t="shared" si="215"/>
        <v>1134430</v>
      </c>
      <c r="O397" s="3">
        <v>0</v>
      </c>
      <c r="P397" s="3">
        <v>0</v>
      </c>
      <c r="Q397" s="3">
        <v>333.4</v>
      </c>
      <c r="R397" s="3">
        <f t="shared" si="216"/>
        <v>1000199.9999999999</v>
      </c>
      <c r="S397" s="3">
        <f>S911</f>
        <v>0</v>
      </c>
      <c r="T397" s="3">
        <v>0</v>
      </c>
      <c r="U397" s="3">
        <v>100000</v>
      </c>
      <c r="V397" s="6">
        <f t="shared" si="213"/>
        <v>5500</v>
      </c>
    </row>
    <row r="398" spans="1:22" ht="21.95" customHeight="1" x14ac:dyDescent="0.25">
      <c r="A398" s="40" t="s">
        <v>1953</v>
      </c>
      <c r="B398" s="21" t="s">
        <v>181</v>
      </c>
      <c r="C398" s="2">
        <f>D398+L398+N398+P398+R398+S398+T398+U398</f>
        <v>1731955</v>
      </c>
      <c r="D398" s="3">
        <f>SUM(E398:J398)</f>
        <v>1631955</v>
      </c>
      <c r="E398" s="3">
        <f>350*836.9</f>
        <v>292915</v>
      </c>
      <c r="F398" s="3">
        <f>1050*836.9</f>
        <v>878745</v>
      </c>
      <c r="G398" s="3">
        <f>300*836.9</f>
        <v>251070</v>
      </c>
      <c r="H398" s="3">
        <f>400*0</f>
        <v>0</v>
      </c>
      <c r="I398" s="3">
        <f>250*836.9</f>
        <v>209225</v>
      </c>
      <c r="J398" s="3">
        <f t="shared" si="214"/>
        <v>0</v>
      </c>
      <c r="K398" s="4">
        <v>0</v>
      </c>
      <c r="L398" s="3">
        <v>0</v>
      </c>
      <c r="M398" s="3">
        <v>0</v>
      </c>
      <c r="N398" s="3">
        <f>M398*5300</f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100000</v>
      </c>
      <c r="V398" s="6" t="e">
        <f>N398/M398</f>
        <v>#DIV/0!</v>
      </c>
    </row>
    <row r="399" spans="1:22" ht="21.95" customHeight="1" x14ac:dyDescent="0.25">
      <c r="A399" s="40" t="s">
        <v>1954</v>
      </c>
      <c r="B399" s="1" t="s">
        <v>180</v>
      </c>
      <c r="C399" s="2">
        <f t="shared" si="175"/>
        <v>3820100</v>
      </c>
      <c r="D399" s="3">
        <f t="shared" si="211"/>
        <v>982020</v>
      </c>
      <c r="E399" s="3">
        <f>350*503.6</f>
        <v>176260</v>
      </c>
      <c r="F399" s="3">
        <f>1050*503.6</f>
        <v>528780</v>
      </c>
      <c r="G399" s="3">
        <f>300*503.6</f>
        <v>151080</v>
      </c>
      <c r="H399" s="3">
        <f>400*0</f>
        <v>0</v>
      </c>
      <c r="I399" s="3">
        <f>250*503.6</f>
        <v>125900</v>
      </c>
      <c r="J399" s="3">
        <f t="shared" si="214"/>
        <v>0</v>
      </c>
      <c r="K399" s="4">
        <v>0</v>
      </c>
      <c r="L399" s="3">
        <v>0</v>
      </c>
      <c r="M399" s="3">
        <v>278.38</v>
      </c>
      <c r="N399" s="3">
        <f t="shared" si="215"/>
        <v>1531090</v>
      </c>
      <c r="O399" s="3">
        <v>0</v>
      </c>
      <c r="P399" s="3">
        <v>0</v>
      </c>
      <c r="Q399" s="3">
        <v>402.33</v>
      </c>
      <c r="R399" s="3">
        <f t="shared" si="216"/>
        <v>1206990</v>
      </c>
      <c r="S399" s="3">
        <v>0</v>
      </c>
      <c r="T399" s="3">
        <v>0</v>
      </c>
      <c r="U399" s="3">
        <v>100000</v>
      </c>
      <c r="V399" s="6">
        <f t="shared" si="213"/>
        <v>5500</v>
      </c>
    </row>
    <row r="400" spans="1:22" ht="21.95" customHeight="1" x14ac:dyDescent="0.25">
      <c r="A400" s="40" t="s">
        <v>1955</v>
      </c>
      <c r="B400" s="21" t="s">
        <v>186</v>
      </c>
      <c r="C400" s="2">
        <f t="shared" si="175"/>
        <v>13846530</v>
      </c>
      <c r="D400" s="3">
        <f t="shared" si="211"/>
        <v>3762330</v>
      </c>
      <c r="E400" s="3">
        <f>350*1929.4</f>
        <v>675290</v>
      </c>
      <c r="F400" s="3">
        <f>1050*1929.4</f>
        <v>2025870</v>
      </c>
      <c r="G400" s="3">
        <f>300*1929.4</f>
        <v>578820</v>
      </c>
      <c r="H400" s="3">
        <f>400*0</f>
        <v>0</v>
      </c>
      <c r="I400" s="3">
        <f>250*1929.4</f>
        <v>482350</v>
      </c>
      <c r="J400" s="3">
        <f t="shared" si="214"/>
        <v>0</v>
      </c>
      <c r="K400" s="4">
        <v>0</v>
      </c>
      <c r="L400" s="3">
        <v>0</v>
      </c>
      <c r="M400" s="5">
        <v>1083.4000000000001</v>
      </c>
      <c r="N400" s="5">
        <f>M400*5500</f>
        <v>5958700.0000000009</v>
      </c>
      <c r="O400" s="3">
        <v>0</v>
      </c>
      <c r="P400" s="3">
        <v>0</v>
      </c>
      <c r="Q400" s="3">
        <v>1308.5</v>
      </c>
      <c r="R400" s="3">
        <f t="shared" ref="R400:R408" si="220">Q400*3000</f>
        <v>3925500</v>
      </c>
      <c r="S400" s="3">
        <v>0</v>
      </c>
      <c r="T400" s="3">
        <v>0</v>
      </c>
      <c r="U400" s="3">
        <v>200000</v>
      </c>
      <c r="V400" s="6">
        <f t="shared" si="213"/>
        <v>5500</v>
      </c>
    </row>
    <row r="401" spans="1:22" ht="21.95" customHeight="1" x14ac:dyDescent="0.25">
      <c r="A401" s="40" t="s">
        <v>1956</v>
      </c>
      <c r="B401" s="1" t="s">
        <v>184</v>
      </c>
      <c r="C401" s="2">
        <f t="shared" si="175"/>
        <v>5015130</v>
      </c>
      <c r="D401" s="3">
        <f t="shared" si="211"/>
        <v>919380</v>
      </c>
      <c r="E401" s="3">
        <f>350*656.7</f>
        <v>229845.00000000003</v>
      </c>
      <c r="F401" s="3">
        <f>1050*656.7</f>
        <v>689535</v>
      </c>
      <c r="G401" s="3">
        <v>0</v>
      </c>
      <c r="H401" s="3">
        <f>400*0</f>
        <v>0</v>
      </c>
      <c r="I401" s="3">
        <v>0</v>
      </c>
      <c r="J401" s="3">
        <f t="shared" si="214"/>
        <v>0</v>
      </c>
      <c r="K401" s="4">
        <v>0</v>
      </c>
      <c r="L401" s="3">
        <v>0</v>
      </c>
      <c r="M401" s="3">
        <v>368.3</v>
      </c>
      <c r="N401" s="3">
        <f t="shared" ref="N401:N408" si="221">M401*5500</f>
        <v>2025650</v>
      </c>
      <c r="O401" s="3">
        <v>0</v>
      </c>
      <c r="P401" s="3">
        <v>0</v>
      </c>
      <c r="Q401" s="5">
        <v>656.7</v>
      </c>
      <c r="R401" s="3">
        <f t="shared" si="220"/>
        <v>1970100.0000000002</v>
      </c>
      <c r="S401" s="3">
        <f>S1108</f>
        <v>0</v>
      </c>
      <c r="T401" s="3">
        <v>0</v>
      </c>
      <c r="U401" s="3">
        <v>100000</v>
      </c>
      <c r="V401" s="6">
        <f t="shared" si="213"/>
        <v>5500</v>
      </c>
    </row>
    <row r="402" spans="1:22" ht="21.95" customHeight="1" x14ac:dyDescent="0.25">
      <c r="A402" s="40" t="s">
        <v>1957</v>
      </c>
      <c r="B402" s="1" t="s">
        <v>185</v>
      </c>
      <c r="C402" s="2">
        <f t="shared" si="175"/>
        <v>5359260</v>
      </c>
      <c r="D402" s="3">
        <f t="shared" si="211"/>
        <v>1145760</v>
      </c>
      <c r="E402" s="3">
        <f>350*818.4</f>
        <v>286440</v>
      </c>
      <c r="F402" s="3">
        <f>1050*818.4</f>
        <v>859320</v>
      </c>
      <c r="G402" s="3">
        <v>0</v>
      </c>
      <c r="H402" s="3">
        <f>400*0</f>
        <v>0</v>
      </c>
      <c r="I402" s="3">
        <v>0</v>
      </c>
      <c r="J402" s="3">
        <f t="shared" si="214"/>
        <v>0</v>
      </c>
      <c r="K402" s="4">
        <v>0</v>
      </c>
      <c r="L402" s="3">
        <v>0</v>
      </c>
      <c r="M402" s="3">
        <v>428</v>
      </c>
      <c r="N402" s="3">
        <f t="shared" si="221"/>
        <v>2354000</v>
      </c>
      <c r="O402" s="3">
        <v>0</v>
      </c>
      <c r="P402" s="3">
        <v>0</v>
      </c>
      <c r="Q402" s="3">
        <v>586.5</v>
      </c>
      <c r="R402" s="3">
        <f t="shared" si="220"/>
        <v>1759500</v>
      </c>
      <c r="S402" s="3">
        <v>0</v>
      </c>
      <c r="T402" s="3">
        <v>0</v>
      </c>
      <c r="U402" s="3">
        <v>100000</v>
      </c>
      <c r="V402" s="6">
        <f t="shared" si="213"/>
        <v>5500</v>
      </c>
    </row>
    <row r="403" spans="1:22" ht="21.95" customHeight="1" x14ac:dyDescent="0.25">
      <c r="A403" s="40" t="s">
        <v>1958</v>
      </c>
      <c r="B403" s="1" t="s">
        <v>187</v>
      </c>
      <c r="C403" s="2">
        <f>D403+L403+N403+P403+R403+S403+T403+U403</f>
        <v>5061145</v>
      </c>
      <c r="D403" s="3">
        <f>SUM(E403:J403)</f>
        <v>1546545</v>
      </c>
      <c r="E403" s="3">
        <f>350*793.1</f>
        <v>277585</v>
      </c>
      <c r="F403" s="3">
        <f>1050*793.1</f>
        <v>832755</v>
      </c>
      <c r="G403" s="3">
        <f>300*793.1</f>
        <v>237930</v>
      </c>
      <c r="H403" s="3">
        <v>0</v>
      </c>
      <c r="I403" s="3">
        <f>250*793.1</f>
        <v>198275</v>
      </c>
      <c r="J403" s="3">
        <f t="shared" si="214"/>
        <v>0</v>
      </c>
      <c r="K403" s="4">
        <v>0</v>
      </c>
      <c r="L403" s="3">
        <v>0</v>
      </c>
      <c r="M403" s="3">
        <v>346.8</v>
      </c>
      <c r="N403" s="3">
        <f t="shared" ref="N403" si="222">M403*5500</f>
        <v>1907400</v>
      </c>
      <c r="O403" s="3">
        <v>0</v>
      </c>
      <c r="P403" s="3">
        <f>O403*410</f>
        <v>0</v>
      </c>
      <c r="Q403" s="3">
        <v>502.4</v>
      </c>
      <c r="R403" s="3">
        <f>Q403*3000</f>
        <v>1507200</v>
      </c>
      <c r="S403" s="3">
        <v>0</v>
      </c>
      <c r="T403" s="3">
        <v>0</v>
      </c>
      <c r="U403" s="3">
        <v>100000</v>
      </c>
      <c r="V403" s="6">
        <f>N403/M403</f>
        <v>5500</v>
      </c>
    </row>
    <row r="404" spans="1:22" ht="21.95" customHeight="1" x14ac:dyDescent="0.25">
      <c r="A404" s="40" t="s">
        <v>1959</v>
      </c>
      <c r="B404" s="1" t="s">
        <v>188</v>
      </c>
      <c r="C404" s="2">
        <f t="shared" si="175"/>
        <v>2052319.9999999998</v>
      </c>
      <c r="D404" s="3">
        <f t="shared" si="211"/>
        <v>128380</v>
      </c>
      <c r="E404" s="3">
        <f>350*366.8</f>
        <v>128380</v>
      </c>
      <c r="F404" s="3">
        <f>1050*0</f>
        <v>0</v>
      </c>
      <c r="G404" s="3">
        <f>300*0</f>
        <v>0</v>
      </c>
      <c r="H404" s="3">
        <f>400*0</f>
        <v>0</v>
      </c>
      <c r="I404" s="3">
        <f>250*0</f>
        <v>0</v>
      </c>
      <c r="J404" s="3">
        <f t="shared" si="214"/>
        <v>0</v>
      </c>
      <c r="K404" s="4">
        <v>0</v>
      </c>
      <c r="L404" s="3">
        <v>0</v>
      </c>
      <c r="M404" s="3">
        <v>163.19999999999999</v>
      </c>
      <c r="N404" s="3">
        <f t="shared" si="221"/>
        <v>897599.99999999988</v>
      </c>
      <c r="O404" s="3">
        <v>0</v>
      </c>
      <c r="P404" s="3">
        <f>O404*410</f>
        <v>0</v>
      </c>
      <c r="Q404" s="3">
        <v>308.77999999999997</v>
      </c>
      <c r="R404" s="3">
        <f t="shared" si="220"/>
        <v>926339.99999999988</v>
      </c>
      <c r="S404" s="3">
        <v>0</v>
      </c>
      <c r="T404" s="3">
        <v>0</v>
      </c>
      <c r="U404" s="3">
        <v>100000</v>
      </c>
      <c r="V404" s="6">
        <f t="shared" si="213"/>
        <v>5500</v>
      </c>
    </row>
    <row r="405" spans="1:22" ht="21.95" customHeight="1" x14ac:dyDescent="0.25">
      <c r="A405" s="40" t="s">
        <v>1960</v>
      </c>
      <c r="B405" s="21" t="s">
        <v>189</v>
      </c>
      <c r="C405" s="2">
        <f t="shared" si="175"/>
        <v>5364165</v>
      </c>
      <c r="D405" s="3">
        <f t="shared" si="211"/>
        <v>0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4">
        <v>0</v>
      </c>
      <c r="L405" s="3">
        <v>0</v>
      </c>
      <c r="M405" s="3">
        <v>614.07000000000005</v>
      </c>
      <c r="N405" s="3">
        <f t="shared" si="221"/>
        <v>3377385.0000000005</v>
      </c>
      <c r="O405" s="3">
        <v>0</v>
      </c>
      <c r="P405" s="3">
        <f>O405*410</f>
        <v>0</v>
      </c>
      <c r="Q405" s="3">
        <v>662.26</v>
      </c>
      <c r="R405" s="3">
        <f t="shared" si="220"/>
        <v>1986780</v>
      </c>
      <c r="S405" s="3">
        <f>S915</f>
        <v>0</v>
      </c>
      <c r="T405" s="3">
        <v>0</v>
      </c>
      <c r="U405" s="3">
        <v>0</v>
      </c>
      <c r="V405" s="6">
        <f t="shared" si="213"/>
        <v>5500</v>
      </c>
    </row>
    <row r="406" spans="1:22" ht="21.95" customHeight="1" x14ac:dyDescent="0.25">
      <c r="A406" s="40" t="s">
        <v>1961</v>
      </c>
      <c r="B406" s="21" t="s">
        <v>190</v>
      </c>
      <c r="C406" s="2">
        <f t="shared" si="175"/>
        <v>3487125</v>
      </c>
      <c r="D406" s="3">
        <f t="shared" si="211"/>
        <v>944775</v>
      </c>
      <c r="E406" s="3">
        <f>350*484.5</f>
        <v>169575</v>
      </c>
      <c r="F406" s="3">
        <f>1050*484.5</f>
        <v>508725</v>
      </c>
      <c r="G406" s="3">
        <f>300*484.5</f>
        <v>145350</v>
      </c>
      <c r="H406" s="3">
        <f>400*0</f>
        <v>0</v>
      </c>
      <c r="I406" s="3">
        <f>250*484.5</f>
        <v>121125</v>
      </c>
      <c r="J406" s="3">
        <f>350*0</f>
        <v>0</v>
      </c>
      <c r="K406" s="4">
        <v>0</v>
      </c>
      <c r="L406" s="3">
        <v>0</v>
      </c>
      <c r="M406" s="3">
        <v>253.1</v>
      </c>
      <c r="N406" s="3">
        <f t="shared" si="221"/>
        <v>1392050</v>
      </c>
      <c r="O406" s="3">
        <v>0</v>
      </c>
      <c r="P406" s="3">
        <f>O406*410</f>
        <v>0</v>
      </c>
      <c r="Q406" s="3">
        <v>350.1</v>
      </c>
      <c r="R406" s="3">
        <f t="shared" si="220"/>
        <v>1050300</v>
      </c>
      <c r="S406" s="3">
        <f>S917</f>
        <v>0</v>
      </c>
      <c r="T406" s="3">
        <v>0</v>
      </c>
      <c r="U406" s="3">
        <v>100000</v>
      </c>
      <c r="V406" s="6">
        <f t="shared" si="213"/>
        <v>5500</v>
      </c>
    </row>
    <row r="407" spans="1:22" ht="21.95" customHeight="1" x14ac:dyDescent="0.25">
      <c r="A407" s="40" t="s">
        <v>1962</v>
      </c>
      <c r="B407" s="1" t="s">
        <v>191</v>
      </c>
      <c r="C407" s="2">
        <f t="shared" si="175"/>
        <v>4749800</v>
      </c>
      <c r="D407" s="3">
        <f t="shared" si="211"/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4">
        <v>0</v>
      </c>
      <c r="L407" s="3">
        <v>0</v>
      </c>
      <c r="M407" s="3">
        <v>863.6</v>
      </c>
      <c r="N407" s="3">
        <f t="shared" si="221"/>
        <v>4749800</v>
      </c>
      <c r="O407" s="3">
        <v>0</v>
      </c>
      <c r="P407" s="3">
        <v>0</v>
      </c>
      <c r="Q407" s="3">
        <v>0</v>
      </c>
      <c r="R407" s="3">
        <f t="shared" si="220"/>
        <v>0</v>
      </c>
      <c r="S407" s="3">
        <v>0</v>
      </c>
      <c r="T407" s="3">
        <v>0</v>
      </c>
      <c r="U407" s="3">
        <v>0</v>
      </c>
      <c r="V407" s="6">
        <f t="shared" si="213"/>
        <v>5500</v>
      </c>
    </row>
    <row r="408" spans="1:22" ht="21.95" customHeight="1" x14ac:dyDescent="0.25">
      <c r="A408" s="40" t="s">
        <v>1963</v>
      </c>
      <c r="B408" s="1" t="s">
        <v>192</v>
      </c>
      <c r="C408" s="2">
        <f t="shared" si="175"/>
        <v>4122800</v>
      </c>
      <c r="D408" s="3">
        <f t="shared" si="211"/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4">
        <v>0</v>
      </c>
      <c r="L408" s="3">
        <v>0</v>
      </c>
      <c r="M408" s="3">
        <v>749.6</v>
      </c>
      <c r="N408" s="3">
        <f t="shared" si="221"/>
        <v>4122800</v>
      </c>
      <c r="O408" s="3">
        <v>0</v>
      </c>
      <c r="P408" s="3">
        <v>0</v>
      </c>
      <c r="Q408" s="3">
        <v>0</v>
      </c>
      <c r="R408" s="3">
        <f t="shared" si="220"/>
        <v>0</v>
      </c>
      <c r="S408" s="3">
        <v>0</v>
      </c>
      <c r="T408" s="3">
        <v>0</v>
      </c>
      <c r="U408" s="3">
        <v>0</v>
      </c>
      <c r="V408" s="6">
        <f t="shared" si="213"/>
        <v>5500</v>
      </c>
    </row>
    <row r="409" spans="1:22" ht="45" customHeight="1" x14ac:dyDescent="0.25">
      <c r="A409" s="51" t="s">
        <v>223</v>
      </c>
      <c r="B409" s="51"/>
      <c r="C409" s="2">
        <f>SUM(C410)</f>
        <v>4202040.5</v>
      </c>
      <c r="D409" s="2">
        <f t="shared" ref="D409:U409" si="223">SUM(D410)</f>
        <v>189220.5</v>
      </c>
      <c r="E409" s="2">
        <f t="shared" si="223"/>
        <v>189220.5</v>
      </c>
      <c r="F409" s="2">
        <f t="shared" si="223"/>
        <v>0</v>
      </c>
      <c r="G409" s="2">
        <f t="shared" si="223"/>
        <v>0</v>
      </c>
      <c r="H409" s="2">
        <f t="shared" si="223"/>
        <v>0</v>
      </c>
      <c r="I409" s="2">
        <f t="shared" si="223"/>
        <v>0</v>
      </c>
      <c r="J409" s="2">
        <f t="shared" si="223"/>
        <v>0</v>
      </c>
      <c r="K409" s="14">
        <f t="shared" si="223"/>
        <v>0</v>
      </c>
      <c r="L409" s="2">
        <f t="shared" si="223"/>
        <v>0</v>
      </c>
      <c r="M409" s="2">
        <f t="shared" si="223"/>
        <v>395.68</v>
      </c>
      <c r="N409" s="2">
        <f t="shared" si="223"/>
        <v>2176240</v>
      </c>
      <c r="O409" s="2">
        <f t="shared" si="223"/>
        <v>0</v>
      </c>
      <c r="P409" s="2">
        <f t="shared" si="223"/>
        <v>0</v>
      </c>
      <c r="Q409" s="2">
        <f t="shared" si="223"/>
        <v>526.08000000000004</v>
      </c>
      <c r="R409" s="2">
        <f t="shared" si="223"/>
        <v>1578240.0000000002</v>
      </c>
      <c r="S409" s="2">
        <f t="shared" si="223"/>
        <v>158340</v>
      </c>
      <c r="T409" s="2">
        <f t="shared" si="223"/>
        <v>0</v>
      </c>
      <c r="U409" s="2">
        <f t="shared" si="223"/>
        <v>100000</v>
      </c>
    </row>
    <row r="410" spans="1:22" ht="21.95" customHeight="1" x14ac:dyDescent="0.25">
      <c r="A410" s="40" t="s">
        <v>1964</v>
      </c>
      <c r="B410" s="8" t="s">
        <v>225</v>
      </c>
      <c r="C410" s="2">
        <f t="shared" si="175"/>
        <v>4202040.5</v>
      </c>
      <c r="D410" s="3">
        <f t="shared" ref="D410" si="224">SUM(E410:J410)</f>
        <v>189220.5</v>
      </c>
      <c r="E410" s="3">
        <f>350*540.63</f>
        <v>189220.5</v>
      </c>
      <c r="F410" s="3">
        <f>1050*0</f>
        <v>0</v>
      </c>
      <c r="G410" s="3">
        <f>300*0</f>
        <v>0</v>
      </c>
      <c r="H410" s="3">
        <f>400*0</f>
        <v>0</v>
      </c>
      <c r="I410" s="3">
        <f>250*0</f>
        <v>0</v>
      </c>
      <c r="J410" s="3">
        <f>350*0</f>
        <v>0</v>
      </c>
      <c r="K410" s="4">
        <v>0</v>
      </c>
      <c r="L410" s="3">
        <v>0</v>
      </c>
      <c r="M410" s="3">
        <v>395.68</v>
      </c>
      <c r="N410" s="3">
        <f t="shared" ref="N410" si="225">M410*5500</f>
        <v>2176240</v>
      </c>
      <c r="O410" s="3">
        <v>0</v>
      </c>
      <c r="P410" s="3">
        <v>0</v>
      </c>
      <c r="Q410" s="3">
        <v>526.08000000000004</v>
      </c>
      <c r="R410" s="3">
        <f>Q410*3000</f>
        <v>1578240.0000000002</v>
      </c>
      <c r="S410" s="3">
        <v>158340</v>
      </c>
      <c r="T410" s="3">
        <v>0</v>
      </c>
      <c r="U410" s="3">
        <v>100000</v>
      </c>
      <c r="V410" s="6">
        <f t="shared" ref="V410" si="226">N410/M410</f>
        <v>5500</v>
      </c>
    </row>
    <row r="411" spans="1:22" ht="45" customHeight="1" x14ac:dyDescent="0.25">
      <c r="A411" s="51" t="s">
        <v>222</v>
      </c>
      <c r="B411" s="51"/>
      <c r="C411" s="2">
        <f>SUM(C412:C420)</f>
        <v>38396781.5</v>
      </c>
      <c r="D411" s="2">
        <f t="shared" ref="D411:U411" si="227">SUM(D412:D420)</f>
        <v>11296891.5</v>
      </c>
      <c r="E411" s="2">
        <f t="shared" si="227"/>
        <v>1926669.5</v>
      </c>
      <c r="F411" s="2">
        <f t="shared" si="227"/>
        <v>5780008.5</v>
      </c>
      <c r="G411" s="2">
        <f t="shared" si="227"/>
        <v>1651431</v>
      </c>
      <c r="H411" s="2">
        <f t="shared" si="227"/>
        <v>1053300</v>
      </c>
      <c r="I411" s="2">
        <f t="shared" si="227"/>
        <v>885482.5</v>
      </c>
      <c r="J411" s="2">
        <f t="shared" si="227"/>
        <v>0</v>
      </c>
      <c r="K411" s="14">
        <f t="shared" si="227"/>
        <v>0</v>
      </c>
      <c r="L411" s="2">
        <f t="shared" si="227"/>
        <v>0</v>
      </c>
      <c r="M411" s="2">
        <f t="shared" si="227"/>
        <v>3095.7000000000003</v>
      </c>
      <c r="N411" s="2">
        <f t="shared" si="227"/>
        <v>17026350</v>
      </c>
      <c r="O411" s="2">
        <f t="shared" si="227"/>
        <v>0</v>
      </c>
      <c r="P411" s="2">
        <f t="shared" si="227"/>
        <v>0</v>
      </c>
      <c r="Q411" s="2">
        <f t="shared" si="227"/>
        <v>2991.08</v>
      </c>
      <c r="R411" s="2">
        <f t="shared" si="227"/>
        <v>8973240</v>
      </c>
      <c r="S411" s="2">
        <f t="shared" si="227"/>
        <v>300300</v>
      </c>
      <c r="T411" s="2">
        <f t="shared" si="227"/>
        <v>0</v>
      </c>
      <c r="U411" s="2">
        <f t="shared" si="227"/>
        <v>800000</v>
      </c>
    </row>
    <row r="412" spans="1:22" ht="21.95" customHeight="1" x14ac:dyDescent="0.25">
      <c r="A412" s="40" t="s">
        <v>1965</v>
      </c>
      <c r="B412" s="8" t="s">
        <v>213</v>
      </c>
      <c r="C412" s="2">
        <f t="shared" si="175"/>
        <v>4906582</v>
      </c>
      <c r="D412" s="3">
        <f t="shared" ref="D412:D420" si="228">SUM(E412:J412)</f>
        <v>1003017</v>
      </c>
      <c r="E412" s="3">
        <f>350*590.01</f>
        <v>206503.5</v>
      </c>
      <c r="F412" s="3">
        <f>1050*590.01</f>
        <v>619510.5</v>
      </c>
      <c r="G412" s="3">
        <f>300*590.01</f>
        <v>177003</v>
      </c>
      <c r="H412" s="3">
        <f>400*0</f>
        <v>0</v>
      </c>
      <c r="I412" s="3">
        <f>250*0</f>
        <v>0</v>
      </c>
      <c r="J412" s="3">
        <f t="shared" ref="J412:J417" si="229">350*0</f>
        <v>0</v>
      </c>
      <c r="K412" s="4">
        <v>0</v>
      </c>
      <c r="L412" s="3">
        <v>0</v>
      </c>
      <c r="M412" s="5">
        <v>432.03</v>
      </c>
      <c r="N412" s="3">
        <f t="shared" ref="N412:N418" si="230">M412*5500</f>
        <v>2376165</v>
      </c>
      <c r="O412" s="3">
        <v>0</v>
      </c>
      <c r="P412" s="3">
        <v>0</v>
      </c>
      <c r="Q412" s="3">
        <v>475.8</v>
      </c>
      <c r="R412" s="3">
        <f t="shared" ref="R412:R420" si="231">Q412*3000</f>
        <v>1427400</v>
      </c>
      <c r="S412" s="3">
        <v>0</v>
      </c>
      <c r="T412" s="3">
        <v>0</v>
      </c>
      <c r="U412" s="3">
        <v>100000</v>
      </c>
      <c r="V412" s="6">
        <f t="shared" ref="V412:V420" si="232">N412/M412</f>
        <v>5500</v>
      </c>
    </row>
    <row r="413" spans="1:22" ht="21.95" customHeight="1" x14ac:dyDescent="0.25">
      <c r="A413" s="40" t="s">
        <v>1966</v>
      </c>
      <c r="B413" s="8" t="s">
        <v>214</v>
      </c>
      <c r="C413" s="2">
        <f t="shared" si="175"/>
        <v>4872061</v>
      </c>
      <c r="D413" s="3">
        <f t="shared" si="228"/>
        <v>991321</v>
      </c>
      <c r="E413" s="3">
        <f>350*583.13</f>
        <v>204095.5</v>
      </c>
      <c r="F413" s="3">
        <f>1050*583.13</f>
        <v>612286.5</v>
      </c>
      <c r="G413" s="3">
        <f>300*583.13</f>
        <v>174939</v>
      </c>
      <c r="H413" s="3">
        <f>400*0</f>
        <v>0</v>
      </c>
      <c r="I413" s="3">
        <f>250*0</f>
        <v>0</v>
      </c>
      <c r="J413" s="3">
        <f t="shared" si="229"/>
        <v>0</v>
      </c>
      <c r="K413" s="4">
        <v>0</v>
      </c>
      <c r="L413" s="3">
        <v>0</v>
      </c>
      <c r="M413" s="5">
        <v>427.28</v>
      </c>
      <c r="N413" s="3">
        <f t="shared" si="230"/>
        <v>2350040</v>
      </c>
      <c r="O413" s="3">
        <v>0</v>
      </c>
      <c r="P413" s="3">
        <v>0</v>
      </c>
      <c r="Q413" s="3">
        <v>476.9</v>
      </c>
      <c r="R413" s="3">
        <f t="shared" si="231"/>
        <v>1430700</v>
      </c>
      <c r="S413" s="3">
        <v>0</v>
      </c>
      <c r="T413" s="3">
        <v>0</v>
      </c>
      <c r="U413" s="3">
        <v>100000</v>
      </c>
      <c r="V413" s="6">
        <f t="shared" si="232"/>
        <v>5500</v>
      </c>
    </row>
    <row r="414" spans="1:22" ht="21.95" customHeight="1" x14ac:dyDescent="0.25">
      <c r="A414" s="40" t="s">
        <v>1967</v>
      </c>
      <c r="B414" s="8" t="s">
        <v>215</v>
      </c>
      <c r="C414" s="2">
        <f t="shared" si="175"/>
        <v>4838365</v>
      </c>
      <c r="D414" s="3">
        <f t="shared" si="228"/>
        <v>725390</v>
      </c>
      <c r="E414" s="3">
        <f>350*426.7</f>
        <v>149345</v>
      </c>
      <c r="F414" s="3">
        <f>1050*426.7</f>
        <v>448035</v>
      </c>
      <c r="G414" s="3">
        <f>300*426.7</f>
        <v>128010</v>
      </c>
      <c r="H414" s="3">
        <f>400*0</f>
        <v>0</v>
      </c>
      <c r="I414" s="3">
        <f>250*0</f>
        <v>0</v>
      </c>
      <c r="J414" s="3">
        <f t="shared" si="229"/>
        <v>0</v>
      </c>
      <c r="K414" s="11">
        <v>0</v>
      </c>
      <c r="L414" s="5">
        <v>0</v>
      </c>
      <c r="M414" s="5">
        <v>554.65</v>
      </c>
      <c r="N414" s="3">
        <f t="shared" si="230"/>
        <v>3050575</v>
      </c>
      <c r="O414" s="5">
        <v>0</v>
      </c>
      <c r="P414" s="5">
        <v>0</v>
      </c>
      <c r="Q414" s="5">
        <v>320.8</v>
      </c>
      <c r="R414" s="3">
        <f t="shared" si="231"/>
        <v>962400</v>
      </c>
      <c r="S414" s="5">
        <v>0</v>
      </c>
      <c r="T414" s="3">
        <v>0</v>
      </c>
      <c r="U414" s="5">
        <v>100000</v>
      </c>
      <c r="V414" s="6">
        <f t="shared" si="232"/>
        <v>5500</v>
      </c>
    </row>
    <row r="415" spans="1:22" ht="21.95" customHeight="1" x14ac:dyDescent="0.25">
      <c r="A415" s="40" t="s">
        <v>1968</v>
      </c>
      <c r="B415" s="8" t="s">
        <v>216</v>
      </c>
      <c r="C415" s="2">
        <f t="shared" si="175"/>
        <v>4183820</v>
      </c>
      <c r="D415" s="3">
        <f t="shared" si="228"/>
        <v>617100</v>
      </c>
      <c r="E415" s="3">
        <f>350*363</f>
        <v>127050</v>
      </c>
      <c r="F415" s="3">
        <f>1050*363</f>
        <v>381150</v>
      </c>
      <c r="G415" s="3">
        <f>300*363</f>
        <v>108900</v>
      </c>
      <c r="H415" s="3">
        <f>400*0</f>
        <v>0</v>
      </c>
      <c r="I415" s="3">
        <f>250*0</f>
        <v>0</v>
      </c>
      <c r="J415" s="3">
        <f t="shared" si="229"/>
        <v>0</v>
      </c>
      <c r="K415" s="4">
        <v>0</v>
      </c>
      <c r="L415" s="3">
        <v>0</v>
      </c>
      <c r="M415" s="3">
        <v>472.36</v>
      </c>
      <c r="N415" s="3">
        <f t="shared" si="230"/>
        <v>2597980</v>
      </c>
      <c r="O415" s="3">
        <v>0</v>
      </c>
      <c r="P415" s="3">
        <v>0</v>
      </c>
      <c r="Q415" s="3">
        <v>289.58</v>
      </c>
      <c r="R415" s="3">
        <f t="shared" si="231"/>
        <v>868740</v>
      </c>
      <c r="S415" s="3">
        <v>0</v>
      </c>
      <c r="T415" s="3">
        <v>0</v>
      </c>
      <c r="U415" s="3">
        <v>100000</v>
      </c>
      <c r="V415" s="6">
        <f t="shared" si="232"/>
        <v>5500</v>
      </c>
    </row>
    <row r="416" spans="1:22" ht="21.95" customHeight="1" x14ac:dyDescent="0.25">
      <c r="A416" s="40" t="s">
        <v>1969</v>
      </c>
      <c r="B416" s="8" t="s">
        <v>217</v>
      </c>
      <c r="C416" s="2">
        <f t="shared" si="175"/>
        <v>5314806</v>
      </c>
      <c r="D416" s="3">
        <f t="shared" si="228"/>
        <v>998166</v>
      </c>
      <c r="E416" s="3">
        <f>350*511.88</f>
        <v>179158</v>
      </c>
      <c r="F416" s="3">
        <f>1050*511.88</f>
        <v>537474</v>
      </c>
      <c r="G416" s="3">
        <f>300*511.88</f>
        <v>153564</v>
      </c>
      <c r="H416" s="3">
        <v>0</v>
      </c>
      <c r="I416" s="3">
        <f>250*511.88</f>
        <v>127970</v>
      </c>
      <c r="J416" s="3">
        <f t="shared" si="229"/>
        <v>0</v>
      </c>
      <c r="K416" s="4">
        <v>0</v>
      </c>
      <c r="L416" s="3">
        <v>0</v>
      </c>
      <c r="M416" s="3">
        <v>487.88</v>
      </c>
      <c r="N416" s="3">
        <f t="shared" si="230"/>
        <v>2683340</v>
      </c>
      <c r="O416" s="3">
        <v>0</v>
      </c>
      <c r="P416" s="3">
        <v>0</v>
      </c>
      <c r="Q416" s="3">
        <v>457.2</v>
      </c>
      <c r="R416" s="3">
        <f t="shared" si="231"/>
        <v>1371600</v>
      </c>
      <c r="S416" s="3">
        <v>161700</v>
      </c>
      <c r="T416" s="3">
        <v>0</v>
      </c>
      <c r="U416" s="3">
        <v>100000</v>
      </c>
      <c r="V416" s="6">
        <f t="shared" si="232"/>
        <v>5500</v>
      </c>
    </row>
    <row r="417" spans="1:22" ht="21.95" customHeight="1" x14ac:dyDescent="0.25">
      <c r="A417" s="40" t="s">
        <v>1970</v>
      </c>
      <c r="B417" s="8" t="s">
        <v>218</v>
      </c>
      <c r="C417" s="2">
        <f t="shared" si="175"/>
        <v>4489610</v>
      </c>
      <c r="D417" s="3">
        <f t="shared" si="228"/>
        <v>773760</v>
      </c>
      <c r="E417" s="3">
        <f>350*396.8</f>
        <v>138880</v>
      </c>
      <c r="F417" s="3">
        <f>1050*396.8</f>
        <v>416640</v>
      </c>
      <c r="G417" s="3">
        <f>300*396.8</f>
        <v>119040</v>
      </c>
      <c r="H417" s="3">
        <v>0</v>
      </c>
      <c r="I417" s="3">
        <f>250*396.8</f>
        <v>99200</v>
      </c>
      <c r="J417" s="3">
        <f t="shared" si="229"/>
        <v>0</v>
      </c>
      <c r="K417" s="4">
        <v>0</v>
      </c>
      <c r="L417" s="3">
        <v>0</v>
      </c>
      <c r="M417" s="3">
        <v>371.5</v>
      </c>
      <c r="N417" s="3">
        <f t="shared" si="230"/>
        <v>2043250</v>
      </c>
      <c r="O417" s="3">
        <v>0</v>
      </c>
      <c r="P417" s="3">
        <v>0</v>
      </c>
      <c r="Q417" s="3">
        <v>478</v>
      </c>
      <c r="R417" s="3">
        <f t="shared" si="231"/>
        <v>1434000</v>
      </c>
      <c r="S417" s="3">
        <v>138600</v>
      </c>
      <c r="T417" s="3">
        <v>0</v>
      </c>
      <c r="U417" s="3">
        <v>100000</v>
      </c>
      <c r="V417" s="6">
        <f t="shared" si="232"/>
        <v>5500</v>
      </c>
    </row>
    <row r="418" spans="1:22" ht="21.95" customHeight="1" x14ac:dyDescent="0.25">
      <c r="A418" s="40" t="s">
        <v>1971</v>
      </c>
      <c r="B418" s="8" t="s">
        <v>1415</v>
      </c>
      <c r="C418" s="2">
        <f t="shared" si="175"/>
        <v>3403400</v>
      </c>
      <c r="D418" s="3">
        <f t="shared" si="228"/>
        <v>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4">
        <v>0</v>
      </c>
      <c r="L418" s="3">
        <v>0</v>
      </c>
      <c r="M418" s="3">
        <v>350</v>
      </c>
      <c r="N418" s="3">
        <f t="shared" si="230"/>
        <v>1925000</v>
      </c>
      <c r="O418" s="3">
        <v>0</v>
      </c>
      <c r="P418" s="3">
        <v>0</v>
      </c>
      <c r="Q418" s="3">
        <v>492.8</v>
      </c>
      <c r="R418" s="3">
        <f t="shared" si="231"/>
        <v>1478400</v>
      </c>
      <c r="S418" s="3">
        <v>0</v>
      </c>
      <c r="T418" s="3">
        <v>0</v>
      </c>
      <c r="U418" s="3">
        <v>0</v>
      </c>
      <c r="V418" s="6">
        <f t="shared" si="232"/>
        <v>5500</v>
      </c>
    </row>
    <row r="419" spans="1:22" ht="21.95" customHeight="1" x14ac:dyDescent="0.25">
      <c r="A419" s="40" t="s">
        <v>1639</v>
      </c>
      <c r="B419" s="8" t="s">
        <v>1536</v>
      </c>
      <c r="C419" s="2">
        <f t="shared" si="175"/>
        <v>3175586</v>
      </c>
      <c r="D419" s="3">
        <f t="shared" si="228"/>
        <v>3075586</v>
      </c>
      <c r="E419" s="3">
        <f>350*1308.76</f>
        <v>458066</v>
      </c>
      <c r="F419" s="3">
        <f>1050*1308.76</f>
        <v>1374198</v>
      </c>
      <c r="G419" s="3">
        <f>300*1308.76</f>
        <v>392628</v>
      </c>
      <c r="H419" s="3">
        <f>400*1308.76</f>
        <v>523504</v>
      </c>
      <c r="I419" s="3">
        <f>250*1308.76</f>
        <v>327190</v>
      </c>
      <c r="J419" s="3">
        <v>0</v>
      </c>
      <c r="K419" s="4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f t="shared" si="231"/>
        <v>0</v>
      </c>
      <c r="S419" s="3">
        <v>0</v>
      </c>
      <c r="T419" s="3">
        <v>0</v>
      </c>
      <c r="U419" s="3">
        <v>100000</v>
      </c>
      <c r="V419" s="6" t="e">
        <f t="shared" si="232"/>
        <v>#DIV/0!</v>
      </c>
    </row>
    <row r="420" spans="1:22" ht="21.95" customHeight="1" x14ac:dyDescent="0.25">
      <c r="A420" s="40" t="s">
        <v>839</v>
      </c>
      <c r="B420" s="8" t="s">
        <v>1537</v>
      </c>
      <c r="C420" s="2">
        <f t="shared" si="175"/>
        <v>3212551.5</v>
      </c>
      <c r="D420" s="3">
        <f t="shared" si="228"/>
        <v>3112551.5</v>
      </c>
      <c r="E420" s="3">
        <f>350*1324.49</f>
        <v>463571.5</v>
      </c>
      <c r="F420" s="3">
        <f>1050*1324.49</f>
        <v>1390714.5</v>
      </c>
      <c r="G420" s="3">
        <f>300*1324.49</f>
        <v>397347</v>
      </c>
      <c r="H420" s="3">
        <f>400*1324.49</f>
        <v>529796</v>
      </c>
      <c r="I420" s="3">
        <f>250*1324.49</f>
        <v>331122.5</v>
      </c>
      <c r="J420" s="3">
        <v>0</v>
      </c>
      <c r="K420" s="4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f t="shared" si="231"/>
        <v>0</v>
      </c>
      <c r="S420" s="3">
        <v>0</v>
      </c>
      <c r="T420" s="3">
        <v>0</v>
      </c>
      <c r="U420" s="3">
        <v>100000</v>
      </c>
      <c r="V420" s="6" t="e">
        <f t="shared" si="232"/>
        <v>#DIV/0!</v>
      </c>
    </row>
    <row r="421" spans="1:22" ht="45" customHeight="1" x14ac:dyDescent="0.25">
      <c r="A421" s="51" t="s">
        <v>226</v>
      </c>
      <c r="B421" s="51"/>
      <c r="C421" s="2">
        <f>SUM(C422:C428)</f>
        <v>32627738.5</v>
      </c>
      <c r="D421" s="2">
        <f t="shared" ref="D421:U421" si="233">SUM(D422:D428)</f>
        <v>3662825</v>
      </c>
      <c r="E421" s="2">
        <f t="shared" si="233"/>
        <v>749385</v>
      </c>
      <c r="F421" s="2">
        <f t="shared" si="233"/>
        <v>1454460</v>
      </c>
      <c r="G421" s="2">
        <f t="shared" si="233"/>
        <v>558600</v>
      </c>
      <c r="H421" s="2">
        <f t="shared" si="233"/>
        <v>554080</v>
      </c>
      <c r="I421" s="2">
        <f t="shared" si="233"/>
        <v>346300</v>
      </c>
      <c r="J421" s="2">
        <f t="shared" si="233"/>
        <v>0</v>
      </c>
      <c r="K421" s="14">
        <f t="shared" si="233"/>
        <v>0</v>
      </c>
      <c r="L421" s="2">
        <f t="shared" si="233"/>
        <v>0</v>
      </c>
      <c r="M421" s="2">
        <f t="shared" si="233"/>
        <v>2922.94</v>
      </c>
      <c r="N421" s="2">
        <f t="shared" si="233"/>
        <v>15180507.5</v>
      </c>
      <c r="O421" s="2">
        <f t="shared" si="233"/>
        <v>0</v>
      </c>
      <c r="P421" s="2">
        <f t="shared" si="233"/>
        <v>0</v>
      </c>
      <c r="Q421" s="2">
        <f t="shared" si="233"/>
        <v>4088.44</v>
      </c>
      <c r="R421" s="2">
        <f t="shared" si="233"/>
        <v>12265320</v>
      </c>
      <c r="S421" s="2">
        <f t="shared" si="233"/>
        <v>919086</v>
      </c>
      <c r="T421" s="2">
        <f t="shared" si="233"/>
        <v>0</v>
      </c>
      <c r="U421" s="2">
        <f t="shared" si="233"/>
        <v>600000</v>
      </c>
    </row>
    <row r="422" spans="1:22" ht="21.95" customHeight="1" x14ac:dyDescent="0.25">
      <c r="A422" s="40" t="s">
        <v>840</v>
      </c>
      <c r="B422" s="8" t="s">
        <v>227</v>
      </c>
      <c r="C422" s="2">
        <f t="shared" si="175"/>
        <v>6722142</v>
      </c>
      <c r="D422" s="3">
        <f t="shared" ref="D422:D428" si="234">SUM(E422:J422)</f>
        <v>1627610</v>
      </c>
      <c r="E422" s="3">
        <f>350*692.6</f>
        <v>242410</v>
      </c>
      <c r="F422" s="3">
        <f>1050*692.6</f>
        <v>727230</v>
      </c>
      <c r="G422" s="3">
        <f>300*692.6</f>
        <v>207780</v>
      </c>
      <c r="H422" s="3">
        <f>400*692.6</f>
        <v>277040</v>
      </c>
      <c r="I422" s="3">
        <f>250*692.6</f>
        <v>173150</v>
      </c>
      <c r="J422" s="3">
        <f>350*0</f>
        <v>0</v>
      </c>
      <c r="K422" s="4">
        <v>0</v>
      </c>
      <c r="L422" s="3">
        <v>0</v>
      </c>
      <c r="M422" s="3">
        <v>525.6</v>
      </c>
      <c r="N422" s="3">
        <f>M422*5500</f>
        <v>2890800</v>
      </c>
      <c r="O422" s="3">
        <v>0</v>
      </c>
      <c r="P422" s="3">
        <v>0</v>
      </c>
      <c r="Q422" s="3">
        <v>639</v>
      </c>
      <c r="R422" s="3">
        <f t="shared" ref="R422:R428" si="235">Q422*3000</f>
        <v>1917000</v>
      </c>
      <c r="S422" s="3">
        <v>186732</v>
      </c>
      <c r="T422" s="3">
        <v>0</v>
      </c>
      <c r="U422" s="3">
        <v>100000</v>
      </c>
      <c r="V422" s="6">
        <f t="shared" ref="V422:V428" si="236">N422/M422</f>
        <v>5500</v>
      </c>
    </row>
    <row r="423" spans="1:22" ht="21.95" customHeight="1" x14ac:dyDescent="0.25">
      <c r="A423" s="40" t="s">
        <v>841</v>
      </c>
      <c r="B423" s="8" t="s">
        <v>228</v>
      </c>
      <c r="C423" s="2">
        <f t="shared" si="175"/>
        <v>6710000</v>
      </c>
      <c r="D423" s="3">
        <f t="shared" si="234"/>
        <v>1627610</v>
      </c>
      <c r="E423" s="3">
        <f>350*692.6</f>
        <v>242410</v>
      </c>
      <c r="F423" s="3">
        <f>1050*692.6</f>
        <v>727230</v>
      </c>
      <c r="G423" s="3">
        <f>300*692.6</f>
        <v>207780</v>
      </c>
      <c r="H423" s="3">
        <f>400*692.6</f>
        <v>277040</v>
      </c>
      <c r="I423" s="3">
        <f>250*692.6</f>
        <v>173150</v>
      </c>
      <c r="J423" s="3">
        <f>350*0</f>
        <v>0</v>
      </c>
      <c r="K423" s="4">
        <v>0</v>
      </c>
      <c r="L423" s="3">
        <v>0</v>
      </c>
      <c r="M423" s="3">
        <v>523.4</v>
      </c>
      <c r="N423" s="3">
        <f>M423*5500</f>
        <v>2878700</v>
      </c>
      <c r="O423" s="3">
        <v>0</v>
      </c>
      <c r="P423" s="3">
        <v>0</v>
      </c>
      <c r="Q423" s="3">
        <v>639</v>
      </c>
      <c r="R423" s="3">
        <f t="shared" si="235"/>
        <v>1917000</v>
      </c>
      <c r="S423" s="3">
        <v>186690</v>
      </c>
      <c r="T423" s="3">
        <v>0</v>
      </c>
      <c r="U423" s="3">
        <v>100000</v>
      </c>
      <c r="V423" s="6">
        <f t="shared" si="236"/>
        <v>5500</v>
      </c>
    </row>
    <row r="424" spans="1:22" ht="21.95" customHeight="1" x14ac:dyDescent="0.25">
      <c r="A424" s="40" t="s">
        <v>842</v>
      </c>
      <c r="B424" s="8" t="s">
        <v>232</v>
      </c>
      <c r="C424" s="2">
        <f t="shared" si="175"/>
        <v>4758880</v>
      </c>
      <c r="D424" s="3">
        <f t="shared" si="234"/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4">
        <v>0</v>
      </c>
      <c r="L424" s="3">
        <v>0</v>
      </c>
      <c r="M424" s="3">
        <v>459.48</v>
      </c>
      <c r="N424" s="3">
        <f t="shared" ref="N424" si="237">M424*5500</f>
        <v>2527140</v>
      </c>
      <c r="O424" s="3">
        <v>0</v>
      </c>
      <c r="P424" s="3">
        <v>0</v>
      </c>
      <c r="Q424" s="3">
        <v>648</v>
      </c>
      <c r="R424" s="3">
        <f t="shared" si="235"/>
        <v>1944000</v>
      </c>
      <c r="S424" s="3">
        <v>187740</v>
      </c>
      <c r="T424" s="3">
        <v>0</v>
      </c>
      <c r="U424" s="3">
        <v>100000</v>
      </c>
      <c r="V424" s="6">
        <f t="shared" si="236"/>
        <v>5500</v>
      </c>
    </row>
    <row r="425" spans="1:22" ht="21.95" customHeight="1" x14ac:dyDescent="0.25">
      <c r="A425" s="40" t="s">
        <v>843</v>
      </c>
      <c r="B425" s="8" t="s">
        <v>235</v>
      </c>
      <c r="C425" s="2">
        <f t="shared" si="175"/>
        <v>4003590</v>
      </c>
      <c r="D425" s="3">
        <f t="shared" si="234"/>
        <v>309920</v>
      </c>
      <c r="E425" s="3">
        <f>350*476.8</f>
        <v>166880</v>
      </c>
      <c r="F425" s="3">
        <v>0</v>
      </c>
      <c r="G425" s="3">
        <f>300*476.8</f>
        <v>143040</v>
      </c>
      <c r="H425" s="3">
        <v>0</v>
      </c>
      <c r="I425" s="3">
        <v>0</v>
      </c>
      <c r="J425" s="3">
        <f>350*0</f>
        <v>0</v>
      </c>
      <c r="K425" s="4">
        <v>0</v>
      </c>
      <c r="L425" s="3">
        <v>0</v>
      </c>
      <c r="M425" s="3">
        <v>365.4</v>
      </c>
      <c r="N425" s="3">
        <f t="shared" ref="N425" si="238">M425*5500</f>
        <v>2009699.9999999998</v>
      </c>
      <c r="O425" s="3">
        <v>0</v>
      </c>
      <c r="P425" s="3">
        <v>0</v>
      </c>
      <c r="Q425" s="3">
        <v>482</v>
      </c>
      <c r="R425" s="3">
        <f t="shared" si="235"/>
        <v>1446000</v>
      </c>
      <c r="S425" s="3">
        <v>137970</v>
      </c>
      <c r="T425" s="3">
        <v>0</v>
      </c>
      <c r="U425" s="3">
        <v>100000</v>
      </c>
      <c r="V425" s="6">
        <f t="shared" si="236"/>
        <v>5500</v>
      </c>
    </row>
    <row r="426" spans="1:22" ht="21.95" customHeight="1" x14ac:dyDescent="0.25">
      <c r="A426" s="40" t="s">
        <v>844</v>
      </c>
      <c r="B426" s="8" t="s">
        <v>238</v>
      </c>
      <c r="C426" s="2">
        <f t="shared" si="175"/>
        <v>3955890</v>
      </c>
      <c r="D426" s="3">
        <f t="shared" si="234"/>
        <v>97685.000000000015</v>
      </c>
      <c r="E426" s="3">
        <f>350*279.1</f>
        <v>97685.000000000015</v>
      </c>
      <c r="F426" s="3">
        <f>800*0</f>
        <v>0</v>
      </c>
      <c r="G426" s="3">
        <v>0</v>
      </c>
      <c r="H426" s="3">
        <f>400*0</f>
        <v>0</v>
      </c>
      <c r="I426" s="3">
        <v>0</v>
      </c>
      <c r="J426" s="3">
        <v>0</v>
      </c>
      <c r="K426" s="4">
        <v>0</v>
      </c>
      <c r="L426" s="3">
        <v>0</v>
      </c>
      <c r="M426" s="3">
        <v>351.87</v>
      </c>
      <c r="N426" s="3">
        <f t="shared" ref="N426" si="239">M426*5500</f>
        <v>1935285</v>
      </c>
      <c r="O426" s="3">
        <v>0</v>
      </c>
      <c r="P426" s="3">
        <v>0</v>
      </c>
      <c r="Q426" s="3">
        <v>568.44000000000005</v>
      </c>
      <c r="R426" s="3">
        <f t="shared" si="235"/>
        <v>1705320.0000000002</v>
      </c>
      <c r="S426" s="3">
        <v>117600</v>
      </c>
      <c r="T426" s="3">
        <v>0</v>
      </c>
      <c r="U426" s="3">
        <v>100000</v>
      </c>
      <c r="V426" s="6">
        <f t="shared" si="236"/>
        <v>5500</v>
      </c>
    </row>
    <row r="427" spans="1:22" ht="21.95" customHeight="1" x14ac:dyDescent="0.25">
      <c r="A427" s="40" t="s">
        <v>845</v>
      </c>
      <c r="B427" s="8" t="s">
        <v>1355</v>
      </c>
      <c r="C427" s="2">
        <f t="shared" ref="C427:C501" si="240">D427+L427+N427+P427+R427+S427+T427+U427</f>
        <v>3985962.5</v>
      </c>
      <c r="D427" s="3">
        <f t="shared" si="234"/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4">
        <v>0</v>
      </c>
      <c r="L427" s="3">
        <v>0</v>
      </c>
      <c r="M427" s="3">
        <v>493.75</v>
      </c>
      <c r="N427" s="3">
        <f>M427*3686</f>
        <v>1819962.5</v>
      </c>
      <c r="O427" s="3">
        <v>0</v>
      </c>
      <c r="P427" s="3">
        <v>0</v>
      </c>
      <c r="Q427" s="3">
        <v>722</v>
      </c>
      <c r="R427" s="3">
        <f t="shared" si="235"/>
        <v>2166000</v>
      </c>
      <c r="S427" s="3">
        <v>0</v>
      </c>
      <c r="T427" s="3">
        <v>0</v>
      </c>
      <c r="U427" s="3">
        <v>0</v>
      </c>
      <c r="V427" s="6">
        <f t="shared" si="236"/>
        <v>3686</v>
      </c>
    </row>
    <row r="428" spans="1:22" ht="21.95" customHeight="1" x14ac:dyDescent="0.25">
      <c r="A428" s="40" t="s">
        <v>846</v>
      </c>
      <c r="B428" s="8" t="s">
        <v>240</v>
      </c>
      <c r="C428" s="2">
        <f t="shared" si="240"/>
        <v>2491274</v>
      </c>
      <c r="D428" s="3">
        <f t="shared" si="234"/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4">
        <v>0</v>
      </c>
      <c r="L428" s="3">
        <v>0</v>
      </c>
      <c r="M428" s="3">
        <v>203.44</v>
      </c>
      <c r="N428" s="3">
        <f t="shared" ref="N428" si="241">M428*5500</f>
        <v>1118920</v>
      </c>
      <c r="O428" s="3">
        <v>0</v>
      </c>
      <c r="P428" s="3">
        <v>0</v>
      </c>
      <c r="Q428" s="3">
        <v>390</v>
      </c>
      <c r="R428" s="3">
        <f t="shared" si="235"/>
        <v>1170000</v>
      </c>
      <c r="S428" s="3">
        <v>102354</v>
      </c>
      <c r="T428" s="3">
        <v>0</v>
      </c>
      <c r="U428" s="3">
        <v>100000</v>
      </c>
      <c r="V428" s="6">
        <f t="shared" si="236"/>
        <v>5500</v>
      </c>
    </row>
    <row r="429" spans="1:22" ht="45" customHeight="1" x14ac:dyDescent="0.25">
      <c r="A429" s="51" t="s">
        <v>1564</v>
      </c>
      <c r="B429" s="51"/>
      <c r="C429" s="2">
        <f>SUM(C430)</f>
        <v>3462550</v>
      </c>
      <c r="D429" s="2">
        <f t="shared" ref="D429:U429" si="242">SUM(D430)</f>
        <v>0</v>
      </c>
      <c r="E429" s="2">
        <f t="shared" si="242"/>
        <v>0</v>
      </c>
      <c r="F429" s="2">
        <f t="shared" si="242"/>
        <v>0</v>
      </c>
      <c r="G429" s="2">
        <f t="shared" si="242"/>
        <v>0</v>
      </c>
      <c r="H429" s="2">
        <f t="shared" si="242"/>
        <v>0</v>
      </c>
      <c r="I429" s="2">
        <f t="shared" si="242"/>
        <v>0</v>
      </c>
      <c r="J429" s="2">
        <f t="shared" si="242"/>
        <v>0</v>
      </c>
      <c r="K429" s="14">
        <f t="shared" si="242"/>
        <v>0</v>
      </c>
      <c r="L429" s="2">
        <f t="shared" si="242"/>
        <v>0</v>
      </c>
      <c r="M429" s="2">
        <f t="shared" si="242"/>
        <v>360.1</v>
      </c>
      <c r="N429" s="2">
        <f t="shared" si="242"/>
        <v>1980550.0000000002</v>
      </c>
      <c r="O429" s="2">
        <f t="shared" si="242"/>
        <v>0</v>
      </c>
      <c r="P429" s="2">
        <f t="shared" si="242"/>
        <v>0</v>
      </c>
      <c r="Q429" s="2">
        <f t="shared" si="242"/>
        <v>494</v>
      </c>
      <c r="R429" s="2">
        <f t="shared" si="242"/>
        <v>1482000</v>
      </c>
      <c r="S429" s="2">
        <f t="shared" si="242"/>
        <v>0</v>
      </c>
      <c r="T429" s="2">
        <f t="shared" si="242"/>
        <v>0</v>
      </c>
      <c r="U429" s="2">
        <f t="shared" si="242"/>
        <v>0</v>
      </c>
      <c r="V429" s="18">
        <f>C429</f>
        <v>3462550</v>
      </c>
    </row>
    <row r="430" spans="1:22" ht="21.95" customHeight="1" x14ac:dyDescent="0.25">
      <c r="A430" s="40" t="s">
        <v>847</v>
      </c>
      <c r="B430" s="8" t="s">
        <v>1356</v>
      </c>
      <c r="C430" s="2">
        <f t="shared" si="240"/>
        <v>3462550</v>
      </c>
      <c r="D430" s="3">
        <f t="shared" ref="D430" si="243">SUM(E430:J430)</f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360.1</v>
      </c>
      <c r="N430" s="3">
        <f t="shared" ref="N430" si="244">M430*5500</f>
        <v>1980550.0000000002</v>
      </c>
      <c r="O430" s="3">
        <v>0</v>
      </c>
      <c r="P430" s="3">
        <v>0</v>
      </c>
      <c r="Q430" s="3">
        <v>494</v>
      </c>
      <c r="R430" s="3">
        <f>Q430*3000</f>
        <v>1482000</v>
      </c>
      <c r="S430" s="3">
        <v>0</v>
      </c>
      <c r="T430" s="3">
        <v>0</v>
      </c>
      <c r="U430" s="3">
        <v>0</v>
      </c>
      <c r="V430" s="6">
        <f t="shared" ref="V430" si="245">N430/M430</f>
        <v>5500</v>
      </c>
    </row>
    <row r="431" spans="1:22" ht="45" customHeight="1" x14ac:dyDescent="0.25">
      <c r="A431" s="51" t="s">
        <v>243</v>
      </c>
      <c r="B431" s="51"/>
      <c r="C431" s="2">
        <f>SUM(C432)</f>
        <v>10762510</v>
      </c>
      <c r="D431" s="2">
        <f t="shared" ref="D431:U431" si="246">SUM(D432)</f>
        <v>1002510</v>
      </c>
      <c r="E431" s="2">
        <f t="shared" si="246"/>
        <v>389865.00000000006</v>
      </c>
      <c r="F431" s="2">
        <f t="shared" si="246"/>
        <v>0</v>
      </c>
      <c r="G431" s="2">
        <f t="shared" si="246"/>
        <v>334170</v>
      </c>
      <c r="H431" s="2">
        <f t="shared" si="246"/>
        <v>0</v>
      </c>
      <c r="I431" s="2">
        <f t="shared" si="246"/>
        <v>278475</v>
      </c>
      <c r="J431" s="2">
        <f t="shared" si="246"/>
        <v>0</v>
      </c>
      <c r="K431" s="14">
        <f t="shared" si="246"/>
        <v>0</v>
      </c>
      <c r="L431" s="2">
        <f t="shared" si="246"/>
        <v>0</v>
      </c>
      <c r="M431" s="2">
        <f t="shared" si="246"/>
        <v>899.4</v>
      </c>
      <c r="N431" s="2">
        <f t="shared" si="246"/>
        <v>4946700</v>
      </c>
      <c r="O431" s="2">
        <f t="shared" si="246"/>
        <v>0</v>
      </c>
      <c r="P431" s="2">
        <f t="shared" si="246"/>
        <v>0</v>
      </c>
      <c r="Q431" s="2">
        <f t="shared" si="246"/>
        <v>985.9</v>
      </c>
      <c r="R431" s="2">
        <f t="shared" si="246"/>
        <v>2957700</v>
      </c>
      <c r="S431" s="2">
        <f t="shared" si="246"/>
        <v>1755600</v>
      </c>
      <c r="T431" s="2">
        <f t="shared" si="246"/>
        <v>0</v>
      </c>
      <c r="U431" s="2">
        <f t="shared" si="246"/>
        <v>100000</v>
      </c>
      <c r="V431" s="18">
        <f>C431</f>
        <v>10762510</v>
      </c>
    </row>
    <row r="432" spans="1:22" ht="21.95" customHeight="1" x14ac:dyDescent="0.25">
      <c r="A432" s="40" t="s">
        <v>848</v>
      </c>
      <c r="B432" s="8" t="s">
        <v>241</v>
      </c>
      <c r="C432" s="2">
        <f t="shared" si="240"/>
        <v>10762510</v>
      </c>
      <c r="D432" s="3">
        <f t="shared" ref="D432" si="247">SUM(E432:J432)</f>
        <v>1002510</v>
      </c>
      <c r="E432" s="3">
        <f>350*1113.9</f>
        <v>389865.00000000006</v>
      </c>
      <c r="F432" s="3">
        <v>0</v>
      </c>
      <c r="G432" s="3">
        <f>300*1113.9</f>
        <v>334170</v>
      </c>
      <c r="H432" s="3">
        <v>0</v>
      </c>
      <c r="I432" s="3">
        <f>250*1113.9</f>
        <v>278475</v>
      </c>
      <c r="J432" s="3">
        <f>350*0</f>
        <v>0</v>
      </c>
      <c r="K432" s="4">
        <v>0</v>
      </c>
      <c r="L432" s="3">
        <v>0</v>
      </c>
      <c r="M432" s="3">
        <v>899.4</v>
      </c>
      <c r="N432" s="3">
        <f t="shared" ref="N432" si="248">M432*5500</f>
        <v>4946700</v>
      </c>
      <c r="O432" s="3">
        <v>0</v>
      </c>
      <c r="P432" s="3">
        <v>0</v>
      </c>
      <c r="Q432" s="3">
        <v>985.9</v>
      </c>
      <c r="R432" s="3">
        <f>Q432*3000</f>
        <v>2957700</v>
      </c>
      <c r="S432" s="3">
        <v>1755600</v>
      </c>
      <c r="T432" s="3">
        <v>0</v>
      </c>
      <c r="U432" s="3">
        <v>100000</v>
      </c>
      <c r="V432" s="6">
        <f t="shared" ref="V432" si="249">N432/M432</f>
        <v>5500</v>
      </c>
    </row>
    <row r="433" spans="1:22" ht="45" customHeight="1" x14ac:dyDescent="0.25">
      <c r="A433" s="51" t="s">
        <v>268</v>
      </c>
      <c r="B433" s="51"/>
      <c r="C433" s="2">
        <f>SUM(C434:C451)</f>
        <v>146377349.19</v>
      </c>
      <c r="D433" s="2">
        <f t="shared" ref="D433:U433" si="250">SUM(D434:D451)</f>
        <v>37169775.519999996</v>
      </c>
      <c r="E433" s="2">
        <f t="shared" si="250"/>
        <v>6590452.6100000003</v>
      </c>
      <c r="F433" s="2">
        <f t="shared" si="250"/>
        <v>20109690.379999999</v>
      </c>
      <c r="G433" s="2">
        <f t="shared" si="250"/>
        <v>5640601.9199999999</v>
      </c>
      <c r="H433" s="2">
        <f t="shared" si="250"/>
        <v>0</v>
      </c>
      <c r="I433" s="2">
        <f t="shared" si="250"/>
        <v>4829030.6100000003</v>
      </c>
      <c r="J433" s="2">
        <f t="shared" si="250"/>
        <v>0</v>
      </c>
      <c r="K433" s="14">
        <f t="shared" si="250"/>
        <v>0</v>
      </c>
      <c r="L433" s="2">
        <f t="shared" si="250"/>
        <v>0</v>
      </c>
      <c r="M433" s="2">
        <f t="shared" si="250"/>
        <v>11631.6</v>
      </c>
      <c r="N433" s="2">
        <f t="shared" si="250"/>
        <v>54920708.890000008</v>
      </c>
      <c r="O433" s="2">
        <f t="shared" si="250"/>
        <v>1126.7</v>
      </c>
      <c r="P433" s="2">
        <f t="shared" si="250"/>
        <v>1589517.5899999999</v>
      </c>
      <c r="Q433" s="2">
        <f t="shared" si="250"/>
        <v>17181.3</v>
      </c>
      <c r="R433" s="2">
        <f t="shared" si="250"/>
        <v>51497347.189999998</v>
      </c>
      <c r="S433" s="2">
        <f t="shared" si="250"/>
        <v>0</v>
      </c>
      <c r="T433" s="2">
        <f t="shared" si="250"/>
        <v>0</v>
      </c>
      <c r="U433" s="2">
        <f t="shared" si="250"/>
        <v>1200000</v>
      </c>
    </row>
    <row r="434" spans="1:22" ht="24.95" customHeight="1" x14ac:dyDescent="0.25">
      <c r="A434" s="40" t="s">
        <v>849</v>
      </c>
      <c r="B434" s="8" t="s">
        <v>1548</v>
      </c>
      <c r="C434" s="2">
        <f t="shared" si="240"/>
        <v>100000</v>
      </c>
      <c r="D434" s="3">
        <f t="shared" ref="D434:D451" si="251">SUM(E434:J434)</f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11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3">
        <f t="shared" ref="R434:R451" si="252">Q434*3000</f>
        <v>0</v>
      </c>
      <c r="S434" s="5">
        <v>0</v>
      </c>
      <c r="T434" s="5">
        <v>0</v>
      </c>
      <c r="U434" s="5">
        <v>100000</v>
      </c>
      <c r="V434" s="6" t="e">
        <f t="shared" ref="V434:V451" si="253">N434/M434</f>
        <v>#DIV/0!</v>
      </c>
    </row>
    <row r="435" spans="1:22" ht="21.95" customHeight="1" x14ac:dyDescent="0.25">
      <c r="A435" s="40" t="s">
        <v>850</v>
      </c>
      <c r="B435" s="22" t="s">
        <v>246</v>
      </c>
      <c r="C435" s="2">
        <f t="shared" si="240"/>
        <v>12669163.460000001</v>
      </c>
      <c r="D435" s="3">
        <f t="shared" ref="D435" si="254">SUM(E435:J435)</f>
        <v>3432256.84</v>
      </c>
      <c r="E435" s="3">
        <v>576976.62</v>
      </c>
      <c r="F435" s="3">
        <v>1875629.43</v>
      </c>
      <c r="G435" s="3">
        <v>500873.7</v>
      </c>
      <c r="H435" s="3">
        <f>500*0</f>
        <v>0</v>
      </c>
      <c r="I435" s="3">
        <v>478777.09</v>
      </c>
      <c r="J435" s="3">
        <f>350*0</f>
        <v>0</v>
      </c>
      <c r="K435" s="4">
        <v>0</v>
      </c>
      <c r="L435" s="3">
        <v>0</v>
      </c>
      <c r="M435" s="3">
        <v>899</v>
      </c>
      <c r="N435" s="3">
        <v>5452007.96</v>
      </c>
      <c r="O435" s="3">
        <v>49.2</v>
      </c>
      <c r="P435" s="3">
        <v>163261.59</v>
      </c>
      <c r="Q435" s="3">
        <v>1215</v>
      </c>
      <c r="R435" s="3">
        <v>3621637.07</v>
      </c>
      <c r="S435" s="3">
        <v>0</v>
      </c>
      <c r="T435" s="3">
        <v>0</v>
      </c>
      <c r="U435" s="3">
        <v>0</v>
      </c>
      <c r="V435" s="6">
        <f t="shared" si="253"/>
        <v>6064.5249833147946</v>
      </c>
    </row>
    <row r="436" spans="1:22" ht="21.95" customHeight="1" x14ac:dyDescent="0.25">
      <c r="A436" s="40" t="s">
        <v>851</v>
      </c>
      <c r="B436" s="8" t="s">
        <v>248</v>
      </c>
      <c r="C436" s="2">
        <f t="shared" si="240"/>
        <v>10848884</v>
      </c>
      <c r="D436" s="3">
        <f t="shared" ref="D436" si="255">SUM(E436:J436)</f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4">
        <v>0</v>
      </c>
      <c r="L436" s="3">
        <v>0</v>
      </c>
      <c r="M436" s="3">
        <v>994</v>
      </c>
      <c r="N436" s="3">
        <f>M436*3686</f>
        <v>3663884</v>
      </c>
      <c r="O436" s="3">
        <v>0</v>
      </c>
      <c r="P436" s="3">
        <v>0</v>
      </c>
      <c r="Q436" s="3">
        <v>2395</v>
      </c>
      <c r="R436" s="3">
        <f>Q436*3000</f>
        <v>7185000</v>
      </c>
      <c r="S436" s="3">
        <v>0</v>
      </c>
      <c r="T436" s="3">
        <v>0</v>
      </c>
      <c r="U436" s="3">
        <v>0</v>
      </c>
      <c r="V436" s="6">
        <f t="shared" si="253"/>
        <v>3686</v>
      </c>
    </row>
    <row r="437" spans="1:22" ht="24.95" customHeight="1" x14ac:dyDescent="0.25">
      <c r="A437" s="40" t="s">
        <v>852</v>
      </c>
      <c r="B437" s="22" t="s">
        <v>249</v>
      </c>
      <c r="C437" s="2">
        <f t="shared" si="240"/>
        <v>8209000</v>
      </c>
      <c r="D437" s="3">
        <f t="shared" si="251"/>
        <v>1833000</v>
      </c>
      <c r="E437" s="3">
        <f>350*940</f>
        <v>329000</v>
      </c>
      <c r="F437" s="3">
        <f>1050*940</f>
        <v>987000</v>
      </c>
      <c r="G437" s="3">
        <f>300*940</f>
        <v>282000</v>
      </c>
      <c r="H437" s="3">
        <f t="shared" ref="H437:H447" si="256">400*0</f>
        <v>0</v>
      </c>
      <c r="I437" s="3">
        <f>250*940</f>
        <v>235000</v>
      </c>
      <c r="J437" s="3">
        <f t="shared" ref="J437:J447" si="257">350*0</f>
        <v>0</v>
      </c>
      <c r="K437" s="4">
        <v>0</v>
      </c>
      <c r="L437" s="3">
        <v>0</v>
      </c>
      <c r="M437" s="3">
        <v>690</v>
      </c>
      <c r="N437" s="3">
        <f t="shared" ref="N437:N438" si="258">M437*5500</f>
        <v>3795000</v>
      </c>
      <c r="O437" s="3">
        <v>0</v>
      </c>
      <c r="P437" s="3">
        <v>0</v>
      </c>
      <c r="Q437" s="3">
        <v>827</v>
      </c>
      <c r="R437" s="3">
        <f t="shared" si="252"/>
        <v>2481000</v>
      </c>
      <c r="S437" s="3">
        <v>0</v>
      </c>
      <c r="T437" s="3">
        <v>0</v>
      </c>
      <c r="U437" s="3">
        <v>100000</v>
      </c>
      <c r="V437" s="6">
        <f t="shared" si="253"/>
        <v>5500</v>
      </c>
    </row>
    <row r="438" spans="1:22" ht="24.95" customHeight="1" x14ac:dyDescent="0.25">
      <c r="A438" s="40" t="s">
        <v>853</v>
      </c>
      <c r="B438" s="22" t="s">
        <v>247</v>
      </c>
      <c r="C438" s="2">
        <f t="shared" si="240"/>
        <v>6691350</v>
      </c>
      <c r="D438" s="3">
        <f t="shared" si="251"/>
        <v>1476150</v>
      </c>
      <c r="E438" s="3">
        <f>350*757</f>
        <v>264950</v>
      </c>
      <c r="F438" s="3">
        <f>1050*757</f>
        <v>794850</v>
      </c>
      <c r="G438" s="3">
        <f>300*757</f>
        <v>227100</v>
      </c>
      <c r="H438" s="3">
        <f t="shared" si="256"/>
        <v>0</v>
      </c>
      <c r="I438" s="3">
        <f>250*757</f>
        <v>189250</v>
      </c>
      <c r="J438" s="3">
        <f t="shared" si="257"/>
        <v>0</v>
      </c>
      <c r="K438" s="4">
        <v>0</v>
      </c>
      <c r="L438" s="3">
        <v>0</v>
      </c>
      <c r="M438" s="3">
        <v>544.4</v>
      </c>
      <c r="N438" s="3">
        <f t="shared" si="258"/>
        <v>2994200</v>
      </c>
      <c r="O438" s="3">
        <v>0</v>
      </c>
      <c r="P438" s="3">
        <v>0</v>
      </c>
      <c r="Q438" s="3">
        <v>707</v>
      </c>
      <c r="R438" s="3">
        <f t="shared" si="252"/>
        <v>2121000</v>
      </c>
      <c r="S438" s="3">
        <v>0</v>
      </c>
      <c r="T438" s="3">
        <v>0</v>
      </c>
      <c r="U438" s="3">
        <v>100000</v>
      </c>
      <c r="V438" s="6">
        <f t="shared" si="253"/>
        <v>5500</v>
      </c>
    </row>
    <row r="439" spans="1:22" ht="21.95" customHeight="1" x14ac:dyDescent="0.25">
      <c r="A439" s="40" t="s">
        <v>854</v>
      </c>
      <c r="B439" s="22" t="s">
        <v>250</v>
      </c>
      <c r="C439" s="2">
        <f t="shared" si="240"/>
        <v>10204986.73</v>
      </c>
      <c r="D439" s="3">
        <f t="shared" ref="D439" si="259">SUM(E439:J439)</f>
        <v>3158008.68</v>
      </c>
      <c r="E439" s="3">
        <v>524845.99</v>
      </c>
      <c r="F439" s="3">
        <v>1768170.95</v>
      </c>
      <c r="G439" s="3">
        <v>435188.22</v>
      </c>
      <c r="H439" s="3">
        <f>500*0</f>
        <v>0</v>
      </c>
      <c r="I439" s="3">
        <v>429803.52000000002</v>
      </c>
      <c r="J439" s="3">
        <f>350*0</f>
        <v>0</v>
      </c>
      <c r="K439" s="4">
        <v>0</v>
      </c>
      <c r="L439" s="3">
        <v>0</v>
      </c>
      <c r="M439" s="3">
        <v>877.5</v>
      </c>
      <c r="N439" s="3">
        <v>3313461.93</v>
      </c>
      <c r="O439" s="3">
        <v>41.8</v>
      </c>
      <c r="P439" s="3">
        <v>138706</v>
      </c>
      <c r="Q439" s="3">
        <v>1206</v>
      </c>
      <c r="R439" s="3">
        <v>3594810.12</v>
      </c>
      <c r="S439" s="3">
        <v>0</v>
      </c>
      <c r="T439" s="3">
        <v>0</v>
      </c>
      <c r="U439" s="3">
        <v>0</v>
      </c>
      <c r="V439" s="6">
        <f t="shared" si="253"/>
        <v>3776.0249914529918</v>
      </c>
    </row>
    <row r="440" spans="1:22" ht="24.95" customHeight="1" x14ac:dyDescent="0.25">
      <c r="A440" s="40" t="s">
        <v>855</v>
      </c>
      <c r="B440" s="22" t="s">
        <v>252</v>
      </c>
      <c r="C440" s="2">
        <f t="shared" si="240"/>
        <v>7967980</v>
      </c>
      <c r="D440" s="3">
        <f t="shared" si="251"/>
        <v>3623100</v>
      </c>
      <c r="E440" s="3">
        <f>350*1858</f>
        <v>650300</v>
      </c>
      <c r="F440" s="3">
        <f>1050*1858</f>
        <v>1950900</v>
      </c>
      <c r="G440" s="3">
        <f>300*1858</f>
        <v>557400</v>
      </c>
      <c r="H440" s="3">
        <f t="shared" si="256"/>
        <v>0</v>
      </c>
      <c r="I440" s="3">
        <f>250*1858</f>
        <v>464500</v>
      </c>
      <c r="J440" s="3">
        <f t="shared" si="257"/>
        <v>0</v>
      </c>
      <c r="K440" s="4">
        <v>0</v>
      </c>
      <c r="L440" s="3">
        <v>0</v>
      </c>
      <c r="M440" s="3">
        <v>0</v>
      </c>
      <c r="N440" s="3">
        <v>0</v>
      </c>
      <c r="O440" s="3">
        <v>72.400000000000006</v>
      </c>
      <c r="P440" s="3">
        <f>O440*1200</f>
        <v>86880</v>
      </c>
      <c r="Q440" s="3">
        <v>1386</v>
      </c>
      <c r="R440" s="3">
        <f t="shared" si="252"/>
        <v>4158000</v>
      </c>
      <c r="S440" s="3">
        <v>0</v>
      </c>
      <c r="T440" s="3">
        <v>0</v>
      </c>
      <c r="U440" s="3">
        <v>100000</v>
      </c>
      <c r="V440" s="6" t="e">
        <f t="shared" si="253"/>
        <v>#DIV/0!</v>
      </c>
    </row>
    <row r="441" spans="1:22" ht="24.95" customHeight="1" x14ac:dyDescent="0.25">
      <c r="A441" s="40" t="s">
        <v>856</v>
      </c>
      <c r="B441" s="22" t="s">
        <v>253</v>
      </c>
      <c r="C441" s="2">
        <f t="shared" si="240"/>
        <v>5740079.5999999996</v>
      </c>
      <c r="D441" s="3">
        <f t="shared" si="251"/>
        <v>1534650</v>
      </c>
      <c r="E441" s="3">
        <f>350*787</f>
        <v>275450</v>
      </c>
      <c r="F441" s="3">
        <f>1050*787</f>
        <v>826350</v>
      </c>
      <c r="G441" s="3">
        <f>300*787</f>
        <v>236100</v>
      </c>
      <c r="H441" s="3">
        <f t="shared" si="256"/>
        <v>0</v>
      </c>
      <c r="I441" s="3">
        <f>250*787</f>
        <v>196750</v>
      </c>
      <c r="J441" s="3">
        <f t="shared" si="257"/>
        <v>0</v>
      </c>
      <c r="K441" s="4">
        <v>0</v>
      </c>
      <c r="L441" s="3">
        <v>0</v>
      </c>
      <c r="M441" s="3">
        <v>563.6</v>
      </c>
      <c r="N441" s="3">
        <f>M441*3686</f>
        <v>2077429.6</v>
      </c>
      <c r="O441" s="3">
        <v>0</v>
      </c>
      <c r="P441" s="3">
        <v>0</v>
      </c>
      <c r="Q441" s="3">
        <v>676</v>
      </c>
      <c r="R441" s="3">
        <f t="shared" si="252"/>
        <v>2028000</v>
      </c>
      <c r="S441" s="3">
        <v>0</v>
      </c>
      <c r="T441" s="3">
        <v>0</v>
      </c>
      <c r="U441" s="3">
        <v>100000</v>
      </c>
      <c r="V441" s="6">
        <f t="shared" si="253"/>
        <v>3686</v>
      </c>
    </row>
    <row r="442" spans="1:22" ht="24.95" customHeight="1" x14ac:dyDescent="0.25">
      <c r="A442" s="40" t="s">
        <v>857</v>
      </c>
      <c r="B442" s="22" t="s">
        <v>254</v>
      </c>
      <c r="C442" s="2">
        <f t="shared" si="240"/>
        <v>13160990</v>
      </c>
      <c r="D442" s="3">
        <f t="shared" si="251"/>
        <v>3720990</v>
      </c>
      <c r="E442" s="3">
        <f>350*1908.2</f>
        <v>667870</v>
      </c>
      <c r="F442" s="3">
        <f>1050*1908.2</f>
        <v>2003610</v>
      </c>
      <c r="G442" s="3">
        <f>300*1908.2</f>
        <v>572460</v>
      </c>
      <c r="H442" s="3">
        <f t="shared" si="256"/>
        <v>0</v>
      </c>
      <c r="I442" s="3">
        <f>250*1908.2</f>
        <v>477050</v>
      </c>
      <c r="J442" s="3">
        <f t="shared" si="257"/>
        <v>0</v>
      </c>
      <c r="K442" s="4">
        <v>0</v>
      </c>
      <c r="L442" s="3">
        <v>0</v>
      </c>
      <c r="M442" s="3">
        <v>916</v>
      </c>
      <c r="N442" s="3">
        <f t="shared" ref="N442:N443" si="260">M442*5500</f>
        <v>5038000</v>
      </c>
      <c r="O442" s="3">
        <v>0</v>
      </c>
      <c r="P442" s="3">
        <v>0</v>
      </c>
      <c r="Q442" s="3">
        <v>1434</v>
      </c>
      <c r="R442" s="3">
        <f t="shared" si="252"/>
        <v>4302000</v>
      </c>
      <c r="S442" s="3">
        <v>0</v>
      </c>
      <c r="T442" s="3">
        <v>0</v>
      </c>
      <c r="U442" s="3">
        <v>100000</v>
      </c>
      <c r="V442" s="6">
        <f t="shared" si="253"/>
        <v>5500</v>
      </c>
    </row>
    <row r="443" spans="1:22" ht="24.95" customHeight="1" x14ac:dyDescent="0.25">
      <c r="A443" s="40" t="s">
        <v>858</v>
      </c>
      <c r="B443" s="22" t="s">
        <v>255</v>
      </c>
      <c r="C443" s="2">
        <f t="shared" si="240"/>
        <v>6863250</v>
      </c>
      <c r="D443" s="3">
        <f t="shared" si="251"/>
        <v>1511250</v>
      </c>
      <c r="E443" s="3">
        <f>350*775</f>
        <v>271250</v>
      </c>
      <c r="F443" s="3">
        <f>1050*775</f>
        <v>813750</v>
      </c>
      <c r="G443" s="3">
        <f>300*775</f>
        <v>232500</v>
      </c>
      <c r="H443" s="3">
        <f t="shared" si="256"/>
        <v>0</v>
      </c>
      <c r="I443" s="3">
        <f>250*775</f>
        <v>193750</v>
      </c>
      <c r="J443" s="3">
        <f t="shared" si="257"/>
        <v>0</v>
      </c>
      <c r="K443" s="4">
        <v>0</v>
      </c>
      <c r="L443" s="3">
        <v>0</v>
      </c>
      <c r="M443" s="3">
        <v>572</v>
      </c>
      <c r="N443" s="3">
        <f t="shared" si="260"/>
        <v>3146000</v>
      </c>
      <c r="O443" s="3">
        <v>0</v>
      </c>
      <c r="P443" s="3">
        <v>0</v>
      </c>
      <c r="Q443" s="3">
        <v>702</v>
      </c>
      <c r="R443" s="3">
        <f t="shared" si="252"/>
        <v>2106000</v>
      </c>
      <c r="S443" s="3">
        <v>0</v>
      </c>
      <c r="T443" s="3">
        <v>0</v>
      </c>
      <c r="U443" s="3">
        <v>100000</v>
      </c>
      <c r="V443" s="6">
        <f t="shared" si="253"/>
        <v>5500</v>
      </c>
    </row>
    <row r="444" spans="1:22" ht="24.95" customHeight="1" x14ac:dyDescent="0.25">
      <c r="A444" s="40" t="s">
        <v>859</v>
      </c>
      <c r="B444" s="22" t="s">
        <v>251</v>
      </c>
      <c r="C444" s="2">
        <f>D444+L444+N444+P444+R444+S444+T444+U444</f>
        <v>3340607.8</v>
      </c>
      <c r="D444" s="3">
        <f>SUM(E444:J444)</f>
        <v>739050</v>
      </c>
      <c r="E444" s="3">
        <f>350*379</f>
        <v>132650</v>
      </c>
      <c r="F444" s="3">
        <f>1050*379</f>
        <v>397950</v>
      </c>
      <c r="G444" s="3">
        <f>300*379</f>
        <v>113700</v>
      </c>
      <c r="H444" s="3">
        <f t="shared" si="256"/>
        <v>0</v>
      </c>
      <c r="I444" s="3">
        <f>250*379</f>
        <v>94750</v>
      </c>
      <c r="J444" s="3">
        <f t="shared" si="257"/>
        <v>0</v>
      </c>
      <c r="K444" s="4">
        <v>0</v>
      </c>
      <c r="L444" s="3">
        <v>0</v>
      </c>
      <c r="M444" s="3">
        <v>282.3</v>
      </c>
      <c r="N444" s="3">
        <f>M444*3686</f>
        <v>1040557.8</v>
      </c>
      <c r="O444" s="3">
        <v>0</v>
      </c>
      <c r="P444" s="3">
        <v>0</v>
      </c>
      <c r="Q444" s="3">
        <v>487</v>
      </c>
      <c r="R444" s="3">
        <f>Q444*3000</f>
        <v>1461000</v>
      </c>
      <c r="S444" s="3">
        <v>0</v>
      </c>
      <c r="T444" s="3">
        <v>0</v>
      </c>
      <c r="U444" s="3">
        <v>100000</v>
      </c>
      <c r="V444" s="6">
        <f>N444/M444</f>
        <v>3686</v>
      </c>
    </row>
    <row r="445" spans="1:22" ht="24.95" customHeight="1" x14ac:dyDescent="0.25">
      <c r="A445" s="40" t="s">
        <v>860</v>
      </c>
      <c r="B445" s="22" t="s">
        <v>257</v>
      </c>
      <c r="C445" s="2">
        <f t="shared" si="240"/>
        <v>3015550</v>
      </c>
      <c r="D445" s="3">
        <f t="shared" si="251"/>
        <v>1109550</v>
      </c>
      <c r="E445" s="3">
        <f>350*569</f>
        <v>199150</v>
      </c>
      <c r="F445" s="3">
        <f>1050*569</f>
        <v>597450</v>
      </c>
      <c r="G445" s="3">
        <f>300*569</f>
        <v>170700</v>
      </c>
      <c r="H445" s="3">
        <f t="shared" si="256"/>
        <v>0</v>
      </c>
      <c r="I445" s="3">
        <f>250*569</f>
        <v>142250</v>
      </c>
      <c r="J445" s="3">
        <f t="shared" si="257"/>
        <v>0</v>
      </c>
      <c r="K445" s="4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602</v>
      </c>
      <c r="R445" s="3">
        <f t="shared" si="252"/>
        <v>1806000</v>
      </c>
      <c r="S445" s="3">
        <v>0</v>
      </c>
      <c r="T445" s="3">
        <v>0</v>
      </c>
      <c r="U445" s="3">
        <v>100000</v>
      </c>
      <c r="V445" s="6" t="e">
        <f t="shared" si="253"/>
        <v>#DIV/0!</v>
      </c>
    </row>
    <row r="446" spans="1:22" ht="24.95" customHeight="1" x14ac:dyDescent="0.25">
      <c r="A446" s="40" t="s">
        <v>861</v>
      </c>
      <c r="B446" s="22" t="s">
        <v>260</v>
      </c>
      <c r="C446" s="2">
        <f t="shared" si="240"/>
        <v>21785140</v>
      </c>
      <c r="D446" s="3">
        <f t="shared" si="251"/>
        <v>7084740</v>
      </c>
      <c r="E446" s="3">
        <f>350*3633.2</f>
        <v>1271620</v>
      </c>
      <c r="F446" s="3">
        <f>1050*3633.2</f>
        <v>3814860</v>
      </c>
      <c r="G446" s="3">
        <f>300*3633.2</f>
        <v>1089960</v>
      </c>
      <c r="H446" s="3">
        <f t="shared" si="256"/>
        <v>0</v>
      </c>
      <c r="I446" s="3">
        <f>250*3633.2</f>
        <v>908300</v>
      </c>
      <c r="J446" s="3">
        <f t="shared" si="257"/>
        <v>0</v>
      </c>
      <c r="K446" s="4">
        <v>0</v>
      </c>
      <c r="L446" s="3">
        <v>0</v>
      </c>
      <c r="M446" s="3">
        <v>1212</v>
      </c>
      <c r="N446" s="3">
        <f t="shared" ref="N446:N448" si="261">M446*5500</f>
        <v>6666000</v>
      </c>
      <c r="O446" s="3">
        <v>937</v>
      </c>
      <c r="P446" s="3">
        <f>O446*1200</f>
        <v>1124400</v>
      </c>
      <c r="Q446" s="3">
        <v>2270</v>
      </c>
      <c r="R446" s="3">
        <f t="shared" si="252"/>
        <v>6810000</v>
      </c>
      <c r="S446" s="3">
        <v>0</v>
      </c>
      <c r="T446" s="3">
        <v>0</v>
      </c>
      <c r="U446" s="3">
        <v>100000</v>
      </c>
      <c r="V446" s="6">
        <f t="shared" si="253"/>
        <v>5500</v>
      </c>
    </row>
    <row r="447" spans="1:22" ht="24.95" customHeight="1" x14ac:dyDescent="0.25">
      <c r="A447" s="40" t="s">
        <v>862</v>
      </c>
      <c r="B447" s="22" t="s">
        <v>258</v>
      </c>
      <c r="C447" s="2">
        <f t="shared" si="240"/>
        <v>14601880</v>
      </c>
      <c r="D447" s="3">
        <f t="shared" si="251"/>
        <v>4411680</v>
      </c>
      <c r="E447" s="3">
        <f>350*2262.4</f>
        <v>791840</v>
      </c>
      <c r="F447" s="3">
        <f>1050*2262.4</f>
        <v>2375520</v>
      </c>
      <c r="G447" s="3">
        <f>300*2262.4</f>
        <v>678720</v>
      </c>
      <c r="H447" s="3">
        <f t="shared" si="256"/>
        <v>0</v>
      </c>
      <c r="I447" s="3">
        <f>250*2262.4</f>
        <v>565600</v>
      </c>
      <c r="J447" s="3">
        <f t="shared" si="257"/>
        <v>0</v>
      </c>
      <c r="K447" s="4">
        <v>0</v>
      </c>
      <c r="L447" s="3">
        <v>0</v>
      </c>
      <c r="M447" s="3">
        <v>835.2</v>
      </c>
      <c r="N447" s="3">
        <f t="shared" si="261"/>
        <v>4593600</v>
      </c>
      <c r="O447" s="3">
        <v>0</v>
      </c>
      <c r="P447" s="3">
        <v>0</v>
      </c>
      <c r="Q447" s="3">
        <v>1832.2</v>
      </c>
      <c r="R447" s="3">
        <f t="shared" si="252"/>
        <v>5496600</v>
      </c>
      <c r="S447" s="3">
        <v>0</v>
      </c>
      <c r="T447" s="3">
        <v>0</v>
      </c>
      <c r="U447" s="3">
        <v>100000</v>
      </c>
      <c r="V447" s="6">
        <f t="shared" si="253"/>
        <v>5500</v>
      </c>
    </row>
    <row r="448" spans="1:22" ht="24.95" customHeight="1" x14ac:dyDescent="0.25">
      <c r="A448" s="40" t="s">
        <v>863</v>
      </c>
      <c r="B448" s="22" t="s">
        <v>259</v>
      </c>
      <c r="C448" s="2">
        <f t="shared" si="240"/>
        <v>3569500</v>
      </c>
      <c r="D448" s="3">
        <f t="shared" si="251"/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4">
        <v>0</v>
      </c>
      <c r="L448" s="3">
        <v>0</v>
      </c>
      <c r="M448" s="3">
        <v>649</v>
      </c>
      <c r="N448" s="3">
        <f t="shared" si="261"/>
        <v>3569500</v>
      </c>
      <c r="O448" s="3">
        <v>0</v>
      </c>
      <c r="P448" s="3">
        <v>0</v>
      </c>
      <c r="Q448" s="3">
        <v>0</v>
      </c>
      <c r="R448" s="3">
        <f t="shared" si="252"/>
        <v>0</v>
      </c>
      <c r="S448" s="3">
        <v>0</v>
      </c>
      <c r="T448" s="3">
        <v>0</v>
      </c>
      <c r="U448" s="3">
        <v>0</v>
      </c>
      <c r="V448" s="6">
        <f t="shared" si="253"/>
        <v>5500</v>
      </c>
    </row>
    <row r="449" spans="1:22" ht="24.95" customHeight="1" x14ac:dyDescent="0.25">
      <c r="A449" s="40" t="s">
        <v>864</v>
      </c>
      <c r="B449" s="22" t="s">
        <v>262</v>
      </c>
      <c r="C449" s="2">
        <f t="shared" si="240"/>
        <v>11230733.199999999</v>
      </c>
      <c r="D449" s="3">
        <f t="shared" si="251"/>
        <v>3535350</v>
      </c>
      <c r="E449" s="3">
        <f>350*1813</f>
        <v>634550</v>
      </c>
      <c r="F449" s="3">
        <f>1050*1813</f>
        <v>1903650</v>
      </c>
      <c r="G449" s="3">
        <f>300*1813</f>
        <v>543900</v>
      </c>
      <c r="H449" s="3">
        <f>400*0</f>
        <v>0</v>
      </c>
      <c r="I449" s="3">
        <f>250*1813</f>
        <v>453250</v>
      </c>
      <c r="J449" s="3">
        <f t="shared" ref="J449" si="262">350*0</f>
        <v>0</v>
      </c>
      <c r="K449" s="4">
        <v>0</v>
      </c>
      <c r="L449" s="3">
        <v>0</v>
      </c>
      <c r="M449" s="3">
        <v>866.2</v>
      </c>
      <c r="N449" s="3">
        <f t="shared" ref="N449:N451" si="263">M449*3686</f>
        <v>3192813.2</v>
      </c>
      <c r="O449" s="3">
        <v>26.3</v>
      </c>
      <c r="P449" s="3">
        <v>76270</v>
      </c>
      <c r="Q449" s="3">
        <v>1442.1</v>
      </c>
      <c r="R449" s="3">
        <f t="shared" si="252"/>
        <v>4326300</v>
      </c>
      <c r="S449" s="3">
        <v>0</v>
      </c>
      <c r="T449" s="3">
        <v>0</v>
      </c>
      <c r="U449" s="3">
        <v>100000</v>
      </c>
      <c r="V449" s="6">
        <f t="shared" si="253"/>
        <v>3686</v>
      </c>
    </row>
    <row r="450" spans="1:22" ht="24.95" customHeight="1" x14ac:dyDescent="0.25">
      <c r="A450" s="40" t="s">
        <v>1189</v>
      </c>
      <c r="B450" s="22" t="s">
        <v>1172</v>
      </c>
      <c r="C450" s="2">
        <f t="shared" si="240"/>
        <v>3128676.8</v>
      </c>
      <c r="D450" s="3">
        <f t="shared" si="251"/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4">
        <v>0</v>
      </c>
      <c r="L450" s="3">
        <v>0</v>
      </c>
      <c r="M450" s="3">
        <v>848.8</v>
      </c>
      <c r="N450" s="3">
        <f t="shared" si="263"/>
        <v>3128676.8</v>
      </c>
      <c r="O450" s="3">
        <v>0</v>
      </c>
      <c r="P450" s="3">
        <v>0</v>
      </c>
      <c r="Q450" s="3">
        <v>0</v>
      </c>
      <c r="R450" s="3">
        <f t="shared" si="252"/>
        <v>0</v>
      </c>
      <c r="S450" s="3">
        <v>0</v>
      </c>
      <c r="T450" s="3">
        <v>0</v>
      </c>
      <c r="U450" s="3">
        <v>0</v>
      </c>
      <c r="V450" s="6">
        <f t="shared" si="253"/>
        <v>3686</v>
      </c>
    </row>
    <row r="451" spans="1:22" ht="24.95" customHeight="1" x14ac:dyDescent="0.25">
      <c r="A451" s="40" t="s">
        <v>1190</v>
      </c>
      <c r="B451" s="22" t="s">
        <v>1173</v>
      </c>
      <c r="C451" s="2">
        <f t="shared" si="240"/>
        <v>3249577.6</v>
      </c>
      <c r="D451" s="3">
        <f t="shared" si="251"/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4">
        <v>0</v>
      </c>
      <c r="L451" s="3">
        <v>0</v>
      </c>
      <c r="M451" s="3">
        <v>881.6</v>
      </c>
      <c r="N451" s="3">
        <f t="shared" si="263"/>
        <v>3249577.6</v>
      </c>
      <c r="O451" s="3">
        <v>0</v>
      </c>
      <c r="P451" s="3">
        <v>0</v>
      </c>
      <c r="Q451" s="3">
        <v>0</v>
      </c>
      <c r="R451" s="3">
        <f t="shared" si="252"/>
        <v>0</v>
      </c>
      <c r="S451" s="3">
        <v>0</v>
      </c>
      <c r="T451" s="3">
        <v>0</v>
      </c>
      <c r="U451" s="3">
        <v>0</v>
      </c>
      <c r="V451" s="6">
        <f t="shared" si="253"/>
        <v>3686</v>
      </c>
    </row>
    <row r="452" spans="1:22" ht="45" customHeight="1" x14ac:dyDescent="0.25">
      <c r="A452" s="51" t="s">
        <v>1182</v>
      </c>
      <c r="B452" s="51"/>
      <c r="C452" s="2">
        <f>SUM(C453)</f>
        <v>1980000</v>
      </c>
      <c r="D452" s="2">
        <f t="shared" ref="D452:U452" si="264">SUM(D453)</f>
        <v>0</v>
      </c>
      <c r="E452" s="2">
        <f t="shared" si="264"/>
        <v>0</v>
      </c>
      <c r="F452" s="2">
        <f t="shared" si="264"/>
        <v>0</v>
      </c>
      <c r="G452" s="2">
        <f t="shared" si="264"/>
        <v>0</v>
      </c>
      <c r="H452" s="2">
        <f t="shared" si="264"/>
        <v>0</v>
      </c>
      <c r="I452" s="2">
        <f t="shared" si="264"/>
        <v>0</v>
      </c>
      <c r="J452" s="2">
        <f t="shared" si="264"/>
        <v>0</v>
      </c>
      <c r="K452" s="14">
        <f t="shared" si="264"/>
        <v>0</v>
      </c>
      <c r="L452" s="2">
        <f t="shared" si="264"/>
        <v>0</v>
      </c>
      <c r="M452" s="2">
        <f t="shared" si="264"/>
        <v>0</v>
      </c>
      <c r="N452" s="2">
        <f t="shared" si="264"/>
        <v>0</v>
      </c>
      <c r="O452" s="2">
        <f t="shared" si="264"/>
        <v>0</v>
      </c>
      <c r="P452" s="2">
        <f t="shared" si="264"/>
        <v>0</v>
      </c>
      <c r="Q452" s="2">
        <f t="shared" si="264"/>
        <v>660</v>
      </c>
      <c r="R452" s="2">
        <f t="shared" si="264"/>
        <v>1980000</v>
      </c>
      <c r="S452" s="2">
        <f t="shared" si="264"/>
        <v>0</v>
      </c>
      <c r="T452" s="2">
        <f t="shared" si="264"/>
        <v>0</v>
      </c>
      <c r="U452" s="2">
        <f t="shared" si="264"/>
        <v>0</v>
      </c>
    </row>
    <row r="453" spans="1:22" ht="21.95" customHeight="1" x14ac:dyDescent="0.25">
      <c r="A453" s="40" t="s">
        <v>1191</v>
      </c>
      <c r="B453" s="22" t="s">
        <v>1183</v>
      </c>
      <c r="C453" s="2">
        <f t="shared" si="240"/>
        <v>1980000</v>
      </c>
      <c r="D453" s="3">
        <f t="shared" ref="D453" si="265">SUM(E453:J453)</f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4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660</v>
      </c>
      <c r="R453" s="3">
        <f>Q453*3000</f>
        <v>1980000</v>
      </c>
      <c r="S453" s="3">
        <v>0</v>
      </c>
      <c r="T453" s="3">
        <v>0</v>
      </c>
      <c r="U453" s="3">
        <v>0</v>
      </c>
      <c r="V453" s="6" t="e">
        <f t="shared" ref="V453" si="266">N453/M453</f>
        <v>#DIV/0!</v>
      </c>
    </row>
    <row r="454" spans="1:22" ht="45" customHeight="1" x14ac:dyDescent="0.25">
      <c r="A454" s="51" t="s">
        <v>269</v>
      </c>
      <c r="B454" s="51"/>
      <c r="C454" s="2">
        <f>SUM(C455)</f>
        <v>6141010.8700000001</v>
      </c>
      <c r="D454" s="2">
        <f t="shared" ref="D454:U454" si="267">SUM(D455)</f>
        <v>1857598.53</v>
      </c>
      <c r="E454" s="2">
        <f t="shared" si="267"/>
        <v>201968.14</v>
      </c>
      <c r="F454" s="2">
        <f t="shared" si="267"/>
        <v>975980.53</v>
      </c>
      <c r="G454" s="2">
        <f t="shared" si="267"/>
        <v>198204.71</v>
      </c>
      <c r="H454" s="2">
        <f t="shared" si="267"/>
        <v>244969.06</v>
      </c>
      <c r="I454" s="2">
        <f t="shared" si="267"/>
        <v>236476.09</v>
      </c>
      <c r="J454" s="2">
        <f t="shared" si="267"/>
        <v>0</v>
      </c>
      <c r="K454" s="14">
        <f t="shared" si="267"/>
        <v>0</v>
      </c>
      <c r="L454" s="2">
        <f t="shared" si="267"/>
        <v>0</v>
      </c>
      <c r="M454" s="2">
        <f t="shared" si="267"/>
        <v>473</v>
      </c>
      <c r="N454" s="2">
        <f t="shared" si="267"/>
        <v>1786059.83</v>
      </c>
      <c r="O454" s="2">
        <f t="shared" si="267"/>
        <v>332.4</v>
      </c>
      <c r="P454" s="2">
        <f t="shared" si="267"/>
        <v>456418.44</v>
      </c>
      <c r="Q454" s="2">
        <f t="shared" si="267"/>
        <v>684.7</v>
      </c>
      <c r="R454" s="2">
        <f t="shared" si="267"/>
        <v>2040934.07</v>
      </c>
      <c r="S454" s="2">
        <f t="shared" si="267"/>
        <v>0</v>
      </c>
      <c r="T454" s="2">
        <f t="shared" si="267"/>
        <v>0</v>
      </c>
      <c r="U454" s="2">
        <f t="shared" si="267"/>
        <v>0</v>
      </c>
      <c r="V454" s="18">
        <f>C454</f>
        <v>6141010.8700000001</v>
      </c>
    </row>
    <row r="455" spans="1:22" ht="21.95" customHeight="1" x14ac:dyDescent="0.25">
      <c r="A455" s="40" t="s">
        <v>1192</v>
      </c>
      <c r="B455" s="22" t="s">
        <v>270</v>
      </c>
      <c r="C455" s="2">
        <f t="shared" ref="C455" si="268">D455+L455+N455+P455+R455+S455+T455+U455</f>
        <v>6141010.8700000001</v>
      </c>
      <c r="D455" s="3">
        <f>SUM(E455:J455)</f>
        <v>1857598.53</v>
      </c>
      <c r="E455" s="3">
        <v>201968.14</v>
      </c>
      <c r="F455" s="3">
        <v>975980.53</v>
      </c>
      <c r="G455" s="3">
        <v>198204.71</v>
      </c>
      <c r="H455" s="3">
        <v>244969.06</v>
      </c>
      <c r="I455" s="3">
        <v>236476.09</v>
      </c>
      <c r="J455" s="3">
        <f>350*0</f>
        <v>0</v>
      </c>
      <c r="K455" s="4">
        <v>0</v>
      </c>
      <c r="L455" s="3">
        <v>0</v>
      </c>
      <c r="M455" s="3">
        <v>473</v>
      </c>
      <c r="N455" s="3">
        <v>1786059.83</v>
      </c>
      <c r="O455" s="3">
        <v>332.4</v>
      </c>
      <c r="P455" s="3">
        <v>456418.44</v>
      </c>
      <c r="Q455" s="3">
        <v>684.7</v>
      </c>
      <c r="R455" s="3">
        <v>2040934.07</v>
      </c>
      <c r="S455" s="3">
        <v>0</v>
      </c>
      <c r="T455" s="3">
        <v>0</v>
      </c>
      <c r="U455" s="3">
        <v>0</v>
      </c>
      <c r="V455" s="6">
        <f>N455/M455</f>
        <v>3776.0250105708246</v>
      </c>
    </row>
    <row r="456" spans="1:22" ht="45" customHeight="1" x14ac:dyDescent="0.25">
      <c r="A456" s="51" t="s">
        <v>273</v>
      </c>
      <c r="B456" s="51"/>
      <c r="C456" s="2">
        <f>SUM(C457:C458)</f>
        <v>4334000</v>
      </c>
      <c r="D456" s="2">
        <f t="shared" ref="D456:U456" si="269">SUM(D457:D458)</f>
        <v>0</v>
      </c>
      <c r="E456" s="2">
        <f t="shared" si="269"/>
        <v>0</v>
      </c>
      <c r="F456" s="2">
        <f t="shared" si="269"/>
        <v>0</v>
      </c>
      <c r="G456" s="2">
        <f t="shared" si="269"/>
        <v>0</v>
      </c>
      <c r="H456" s="2">
        <f t="shared" si="269"/>
        <v>0</v>
      </c>
      <c r="I456" s="2">
        <f t="shared" si="269"/>
        <v>0</v>
      </c>
      <c r="J456" s="2">
        <f t="shared" si="269"/>
        <v>0</v>
      </c>
      <c r="K456" s="14">
        <f t="shared" si="269"/>
        <v>0</v>
      </c>
      <c r="L456" s="2">
        <f t="shared" si="269"/>
        <v>0</v>
      </c>
      <c r="M456" s="2">
        <f t="shared" si="269"/>
        <v>788</v>
      </c>
      <c r="N456" s="2">
        <f t="shared" si="269"/>
        <v>4334000</v>
      </c>
      <c r="O456" s="2">
        <f t="shared" si="269"/>
        <v>0</v>
      </c>
      <c r="P456" s="2">
        <f t="shared" si="269"/>
        <v>0</v>
      </c>
      <c r="Q456" s="2">
        <f t="shared" si="269"/>
        <v>0</v>
      </c>
      <c r="R456" s="2">
        <f t="shared" si="269"/>
        <v>0</v>
      </c>
      <c r="S456" s="2">
        <f t="shared" si="269"/>
        <v>0</v>
      </c>
      <c r="T456" s="2">
        <f t="shared" si="269"/>
        <v>0</v>
      </c>
      <c r="U456" s="2">
        <f t="shared" si="269"/>
        <v>0</v>
      </c>
      <c r="V456" s="18">
        <f>C456</f>
        <v>4334000</v>
      </c>
    </row>
    <row r="457" spans="1:22" ht="21.95" customHeight="1" x14ac:dyDescent="0.25">
      <c r="A457" s="40" t="s">
        <v>1193</v>
      </c>
      <c r="B457" s="22" t="s">
        <v>274</v>
      </c>
      <c r="C457" s="2">
        <f t="shared" si="240"/>
        <v>2167000</v>
      </c>
      <c r="D457" s="3">
        <f t="shared" ref="D457:D458" si="270">SUM(E457:J457)</f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4">
        <v>0</v>
      </c>
      <c r="L457" s="3">
        <v>0</v>
      </c>
      <c r="M457" s="3">
        <v>394</v>
      </c>
      <c r="N457" s="3">
        <f t="shared" ref="N457:N458" si="271">M457*5500</f>
        <v>2167000</v>
      </c>
      <c r="O457" s="3">
        <v>0</v>
      </c>
      <c r="P457" s="3">
        <v>0</v>
      </c>
      <c r="Q457" s="3">
        <v>0</v>
      </c>
      <c r="R457" s="3">
        <f t="shared" ref="R457:R458" si="272">Q457*3000</f>
        <v>0</v>
      </c>
      <c r="S457" s="3">
        <v>0</v>
      </c>
      <c r="T457" s="3">
        <v>0</v>
      </c>
      <c r="U457" s="3">
        <v>0</v>
      </c>
      <c r="V457" s="6">
        <f t="shared" ref="V457:V458" si="273">N457/M457</f>
        <v>5500</v>
      </c>
    </row>
    <row r="458" spans="1:22" ht="21.95" customHeight="1" x14ac:dyDescent="0.25">
      <c r="A458" s="40" t="s">
        <v>1194</v>
      </c>
      <c r="B458" s="22" t="s">
        <v>275</v>
      </c>
      <c r="C458" s="2">
        <f t="shared" si="240"/>
        <v>2167000</v>
      </c>
      <c r="D458" s="3">
        <f t="shared" si="270"/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4">
        <v>0</v>
      </c>
      <c r="L458" s="3">
        <v>0</v>
      </c>
      <c r="M458" s="3">
        <v>394</v>
      </c>
      <c r="N458" s="3">
        <f t="shared" si="271"/>
        <v>2167000</v>
      </c>
      <c r="O458" s="3">
        <v>0</v>
      </c>
      <c r="P458" s="3">
        <v>0</v>
      </c>
      <c r="Q458" s="3">
        <v>0</v>
      </c>
      <c r="R458" s="3">
        <f t="shared" si="272"/>
        <v>0</v>
      </c>
      <c r="S458" s="3">
        <v>0</v>
      </c>
      <c r="T458" s="3">
        <v>0</v>
      </c>
      <c r="U458" s="3">
        <v>0</v>
      </c>
      <c r="V458" s="6">
        <f t="shared" si="273"/>
        <v>5500</v>
      </c>
    </row>
    <row r="459" spans="1:22" ht="45" customHeight="1" x14ac:dyDescent="0.25">
      <c r="A459" s="51" t="s">
        <v>277</v>
      </c>
      <c r="B459" s="51"/>
      <c r="C459" s="2">
        <f>SUM(C460)</f>
        <v>4032050</v>
      </c>
      <c r="D459" s="2">
        <f t="shared" ref="D459:U459" si="274">SUM(D460)</f>
        <v>169050</v>
      </c>
      <c r="E459" s="2">
        <f t="shared" si="274"/>
        <v>169050</v>
      </c>
      <c r="F459" s="2">
        <f t="shared" si="274"/>
        <v>0</v>
      </c>
      <c r="G459" s="2">
        <f t="shared" si="274"/>
        <v>0</v>
      </c>
      <c r="H459" s="2">
        <f t="shared" si="274"/>
        <v>0</v>
      </c>
      <c r="I459" s="2">
        <f t="shared" si="274"/>
        <v>0</v>
      </c>
      <c r="J459" s="2">
        <f t="shared" si="274"/>
        <v>0</v>
      </c>
      <c r="K459" s="14">
        <f t="shared" si="274"/>
        <v>0</v>
      </c>
      <c r="L459" s="2">
        <f t="shared" si="274"/>
        <v>0</v>
      </c>
      <c r="M459" s="2">
        <f t="shared" si="274"/>
        <v>406</v>
      </c>
      <c r="N459" s="2">
        <f t="shared" si="274"/>
        <v>2233000</v>
      </c>
      <c r="O459" s="2">
        <f t="shared" si="274"/>
        <v>0</v>
      </c>
      <c r="P459" s="2">
        <f t="shared" si="274"/>
        <v>0</v>
      </c>
      <c r="Q459" s="2">
        <f t="shared" si="274"/>
        <v>510</v>
      </c>
      <c r="R459" s="2">
        <f t="shared" si="274"/>
        <v>1530000</v>
      </c>
      <c r="S459" s="2">
        <f t="shared" si="274"/>
        <v>0</v>
      </c>
      <c r="T459" s="2">
        <f t="shared" si="274"/>
        <v>0</v>
      </c>
      <c r="U459" s="2">
        <f t="shared" si="274"/>
        <v>100000</v>
      </c>
      <c r="V459" s="18">
        <f>C459</f>
        <v>4032050</v>
      </c>
    </row>
    <row r="460" spans="1:22" ht="21.95" customHeight="1" x14ac:dyDescent="0.25">
      <c r="A460" s="39" t="s">
        <v>1195</v>
      </c>
      <c r="B460" s="22" t="s">
        <v>276</v>
      </c>
      <c r="C460" s="2">
        <f t="shared" si="240"/>
        <v>4032050</v>
      </c>
      <c r="D460" s="3">
        <f t="shared" ref="D460" si="275">SUM(E460:J460)</f>
        <v>169050</v>
      </c>
      <c r="E460" s="3">
        <f>350*483</f>
        <v>169050</v>
      </c>
      <c r="F460" s="3">
        <f>800*0</f>
        <v>0</v>
      </c>
      <c r="G460" s="3">
        <f>300*0</f>
        <v>0</v>
      </c>
      <c r="H460" s="3">
        <f>400*0</f>
        <v>0</v>
      </c>
      <c r="I460" s="3">
        <f>250*0</f>
        <v>0</v>
      </c>
      <c r="J460" s="3">
        <f>350*0</f>
        <v>0</v>
      </c>
      <c r="K460" s="11">
        <v>0</v>
      </c>
      <c r="L460" s="5">
        <v>0</v>
      </c>
      <c r="M460" s="5">
        <v>406</v>
      </c>
      <c r="N460" s="3">
        <f>M460*5500</f>
        <v>2233000</v>
      </c>
      <c r="O460" s="5">
        <v>0</v>
      </c>
      <c r="P460" s="5">
        <v>0</v>
      </c>
      <c r="Q460" s="5">
        <v>510</v>
      </c>
      <c r="R460" s="3">
        <f>Q460*3000</f>
        <v>1530000</v>
      </c>
      <c r="S460" s="5">
        <v>0</v>
      </c>
      <c r="T460" s="5">
        <v>0</v>
      </c>
      <c r="U460" s="5">
        <v>100000</v>
      </c>
      <c r="V460" s="6">
        <f t="shared" ref="V460" si="276">N460/M460</f>
        <v>5500</v>
      </c>
    </row>
    <row r="461" spans="1:22" ht="45" customHeight="1" x14ac:dyDescent="0.25">
      <c r="A461" s="51" t="s">
        <v>381</v>
      </c>
      <c r="B461" s="51"/>
      <c r="C461" s="2">
        <f>SUM(C462:C726)</f>
        <v>971858135.18999994</v>
      </c>
      <c r="D461" s="2">
        <f t="shared" ref="D461:U461" si="277">SUM(D462:D726)</f>
        <v>258164987.82999998</v>
      </c>
      <c r="E461" s="2">
        <f t="shared" si="277"/>
        <v>39202540.190000005</v>
      </c>
      <c r="F461" s="2">
        <f t="shared" si="277"/>
        <v>114744260.44</v>
      </c>
      <c r="G461" s="2">
        <f t="shared" si="277"/>
        <v>32768821.079999998</v>
      </c>
      <c r="H461" s="2">
        <f t="shared" si="277"/>
        <v>35094182.68</v>
      </c>
      <c r="I461" s="2">
        <f t="shared" si="277"/>
        <v>36355183.439999998</v>
      </c>
      <c r="J461" s="2">
        <f t="shared" si="277"/>
        <v>0</v>
      </c>
      <c r="K461" s="14">
        <f t="shared" si="277"/>
        <v>14</v>
      </c>
      <c r="L461" s="2">
        <f t="shared" si="277"/>
        <v>30100000</v>
      </c>
      <c r="M461" s="2">
        <f t="shared" si="277"/>
        <v>98258.68</v>
      </c>
      <c r="N461" s="2">
        <f t="shared" si="277"/>
        <v>535833061.68999994</v>
      </c>
      <c r="O461" s="2">
        <f t="shared" si="277"/>
        <v>1168.5999999999999</v>
      </c>
      <c r="P461" s="2">
        <f t="shared" si="277"/>
        <v>1643407.38</v>
      </c>
      <c r="Q461" s="2">
        <f t="shared" si="277"/>
        <v>42256.1</v>
      </c>
      <c r="R461" s="2">
        <f t="shared" si="277"/>
        <v>123930172.62</v>
      </c>
      <c r="S461" s="2">
        <f t="shared" si="277"/>
        <v>2244483.21</v>
      </c>
      <c r="T461" s="2">
        <f t="shared" si="277"/>
        <v>0</v>
      </c>
      <c r="U461" s="2">
        <f t="shared" si="277"/>
        <v>19942022.460000001</v>
      </c>
    </row>
    <row r="462" spans="1:22" ht="21.95" customHeight="1" x14ac:dyDescent="0.25">
      <c r="A462" s="40" t="s">
        <v>1196</v>
      </c>
      <c r="B462" s="8" t="s">
        <v>491</v>
      </c>
      <c r="C462" s="2">
        <f t="shared" si="240"/>
        <v>6364010</v>
      </c>
      <c r="D462" s="3">
        <f t="shared" ref="D462:D548" si="278">SUM(E462:J462)</f>
        <v>2647510</v>
      </c>
      <c r="E462" s="3">
        <f>350*1126.6</f>
        <v>394309.99999999994</v>
      </c>
      <c r="F462" s="3">
        <f>1050*1126.6</f>
        <v>1182930</v>
      </c>
      <c r="G462" s="3">
        <f>300*1126.6</f>
        <v>337980</v>
      </c>
      <c r="H462" s="3">
        <f>400*1126.6</f>
        <v>450639.99999999994</v>
      </c>
      <c r="I462" s="3">
        <f>250*1126.6</f>
        <v>281650</v>
      </c>
      <c r="J462" s="3">
        <f>350*0</f>
        <v>0</v>
      </c>
      <c r="K462" s="11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1205.5</v>
      </c>
      <c r="R462" s="3">
        <f t="shared" ref="R462:R547" si="279">Q462*3000</f>
        <v>3616500</v>
      </c>
      <c r="S462" s="5">
        <v>0</v>
      </c>
      <c r="T462" s="5">
        <v>0</v>
      </c>
      <c r="U462" s="5">
        <v>100000</v>
      </c>
      <c r="V462" s="6" t="e">
        <f t="shared" ref="V462:V547" si="280">N462/M462</f>
        <v>#DIV/0!</v>
      </c>
    </row>
    <row r="463" spans="1:22" ht="21.95" customHeight="1" x14ac:dyDescent="0.25">
      <c r="A463" s="40" t="s">
        <v>1197</v>
      </c>
      <c r="B463" s="8" t="s">
        <v>577</v>
      </c>
      <c r="C463" s="2">
        <f t="shared" si="240"/>
        <v>1569600</v>
      </c>
      <c r="D463" s="3">
        <f t="shared" si="278"/>
        <v>0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3">
        <v>0</v>
      </c>
      <c r="K463" s="11">
        <v>0</v>
      </c>
      <c r="L463" s="5">
        <v>0</v>
      </c>
      <c r="M463" s="5">
        <v>267.2</v>
      </c>
      <c r="N463" s="3">
        <f t="shared" ref="N463:N474" si="281">M463*5500</f>
        <v>1469600</v>
      </c>
      <c r="O463" s="5">
        <v>0</v>
      </c>
      <c r="P463" s="5">
        <v>0</v>
      </c>
      <c r="Q463" s="5">
        <v>0</v>
      </c>
      <c r="R463" s="3">
        <f t="shared" si="279"/>
        <v>0</v>
      </c>
      <c r="S463" s="5">
        <v>0</v>
      </c>
      <c r="T463" s="5">
        <v>0</v>
      </c>
      <c r="U463" s="5">
        <v>100000</v>
      </c>
      <c r="V463" s="6">
        <f t="shared" si="280"/>
        <v>5500</v>
      </c>
    </row>
    <row r="464" spans="1:22" ht="21.95" customHeight="1" x14ac:dyDescent="0.25">
      <c r="A464" s="40" t="s">
        <v>1198</v>
      </c>
      <c r="B464" s="8" t="s">
        <v>578</v>
      </c>
      <c r="C464" s="2">
        <f t="shared" si="240"/>
        <v>1566949.9999999998</v>
      </c>
      <c r="D464" s="3">
        <f t="shared" si="278"/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11">
        <v>0</v>
      </c>
      <c r="L464" s="5">
        <v>0</v>
      </c>
      <c r="M464" s="5">
        <v>284.89999999999998</v>
      </c>
      <c r="N464" s="3">
        <f t="shared" si="281"/>
        <v>1566949.9999999998</v>
      </c>
      <c r="O464" s="5">
        <v>0</v>
      </c>
      <c r="P464" s="5">
        <v>0</v>
      </c>
      <c r="Q464" s="5">
        <v>0</v>
      </c>
      <c r="R464" s="3">
        <f t="shared" si="279"/>
        <v>0</v>
      </c>
      <c r="S464" s="5">
        <v>0</v>
      </c>
      <c r="T464" s="5">
        <v>0</v>
      </c>
      <c r="U464" s="5">
        <v>0</v>
      </c>
      <c r="V464" s="6">
        <f t="shared" si="280"/>
        <v>5500</v>
      </c>
    </row>
    <row r="465" spans="1:22" ht="21.95" customHeight="1" x14ac:dyDescent="0.25">
      <c r="A465" s="40" t="s">
        <v>1199</v>
      </c>
      <c r="B465" s="23" t="s">
        <v>579</v>
      </c>
      <c r="C465" s="2">
        <f t="shared" si="240"/>
        <v>1566949.9999999998</v>
      </c>
      <c r="D465" s="3">
        <f t="shared" si="278"/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11">
        <v>0</v>
      </c>
      <c r="L465" s="5">
        <v>0</v>
      </c>
      <c r="M465" s="5">
        <v>284.89999999999998</v>
      </c>
      <c r="N465" s="3">
        <f t="shared" si="281"/>
        <v>1566949.9999999998</v>
      </c>
      <c r="O465" s="5">
        <v>0</v>
      </c>
      <c r="P465" s="5">
        <v>0</v>
      </c>
      <c r="Q465" s="5">
        <v>0</v>
      </c>
      <c r="R465" s="3">
        <f t="shared" si="279"/>
        <v>0</v>
      </c>
      <c r="S465" s="5">
        <v>0</v>
      </c>
      <c r="T465" s="5">
        <v>0</v>
      </c>
      <c r="U465" s="5">
        <v>0</v>
      </c>
      <c r="V465" s="6">
        <f t="shared" si="280"/>
        <v>5500</v>
      </c>
    </row>
    <row r="466" spans="1:22" ht="21.95" customHeight="1" x14ac:dyDescent="0.25">
      <c r="A466" s="40" t="s">
        <v>1200</v>
      </c>
      <c r="B466" s="24" t="s">
        <v>1374</v>
      </c>
      <c r="C466" s="2">
        <f>D466+L466+N466+P466+R466+S466+T466+U466</f>
        <v>3520000</v>
      </c>
      <c r="D466" s="3">
        <f>SUM(E466:J466)</f>
        <v>0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4">
        <v>0</v>
      </c>
      <c r="L466" s="3">
        <v>0</v>
      </c>
      <c r="M466" s="3">
        <v>640</v>
      </c>
      <c r="N466" s="3">
        <f>M466*5500</f>
        <v>3520000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6">
        <f>N466/M466</f>
        <v>5500</v>
      </c>
    </row>
    <row r="467" spans="1:22" ht="21.95" customHeight="1" x14ac:dyDescent="0.25">
      <c r="A467" s="40" t="s">
        <v>1201</v>
      </c>
      <c r="B467" s="24" t="s">
        <v>1375</v>
      </c>
      <c r="C467" s="2">
        <f>D467+L467+N467+P467+R467+S467+T467+U467</f>
        <v>3206500</v>
      </c>
      <c r="D467" s="3">
        <f>SUM(E467:J467)</f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4">
        <v>0</v>
      </c>
      <c r="L467" s="3">
        <v>0</v>
      </c>
      <c r="M467" s="3">
        <v>583</v>
      </c>
      <c r="N467" s="3">
        <f t="shared" ref="N467:N468" si="282">M467*5500</f>
        <v>3206500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6">
        <f>N467/M467</f>
        <v>5500</v>
      </c>
    </row>
    <row r="468" spans="1:22" ht="21.95" customHeight="1" x14ac:dyDescent="0.25">
      <c r="A468" s="40" t="s">
        <v>1202</v>
      </c>
      <c r="B468" s="24" t="s">
        <v>1376</v>
      </c>
      <c r="C468" s="2">
        <f>D468+L468+N468+P468+R468+S468+T468+U468</f>
        <v>2816000</v>
      </c>
      <c r="D468" s="3">
        <f>SUM(E468:J468)</f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4">
        <v>0</v>
      </c>
      <c r="L468" s="3">
        <v>0</v>
      </c>
      <c r="M468" s="3">
        <v>512</v>
      </c>
      <c r="N468" s="3">
        <f t="shared" si="282"/>
        <v>2816000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6">
        <f>N468/M468</f>
        <v>5500</v>
      </c>
    </row>
    <row r="469" spans="1:22" ht="21.95" customHeight="1" x14ac:dyDescent="0.25">
      <c r="A469" s="40" t="s">
        <v>1203</v>
      </c>
      <c r="B469" s="8" t="s">
        <v>428</v>
      </c>
      <c r="C469" s="2">
        <f t="shared" si="240"/>
        <v>2133400</v>
      </c>
      <c r="D469" s="3">
        <f t="shared" si="278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4">
        <v>0</v>
      </c>
      <c r="L469" s="3">
        <v>0</v>
      </c>
      <c r="M469" s="3">
        <v>278.8</v>
      </c>
      <c r="N469" s="3">
        <f t="shared" si="281"/>
        <v>1533400</v>
      </c>
      <c r="O469" s="3">
        <v>0</v>
      </c>
      <c r="P469" s="3">
        <v>0</v>
      </c>
      <c r="Q469" s="3">
        <v>200</v>
      </c>
      <c r="R469" s="3">
        <f t="shared" si="279"/>
        <v>600000</v>
      </c>
      <c r="S469" s="3">
        <v>0</v>
      </c>
      <c r="T469" s="5">
        <v>0</v>
      </c>
      <c r="U469" s="3">
        <v>0</v>
      </c>
      <c r="V469" s="6">
        <f t="shared" si="280"/>
        <v>5500</v>
      </c>
    </row>
    <row r="470" spans="1:22" ht="21.95" customHeight="1" x14ac:dyDescent="0.25">
      <c r="A470" s="40" t="s">
        <v>1204</v>
      </c>
      <c r="B470" s="23" t="s">
        <v>429</v>
      </c>
      <c r="C470" s="2">
        <f t="shared" si="240"/>
        <v>3789650</v>
      </c>
      <c r="D470" s="3">
        <f t="shared" si="278"/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4">
        <v>0</v>
      </c>
      <c r="L470" s="3">
        <v>0</v>
      </c>
      <c r="M470" s="3">
        <v>404.3</v>
      </c>
      <c r="N470" s="3">
        <f t="shared" si="281"/>
        <v>2223650</v>
      </c>
      <c r="O470" s="3">
        <v>0</v>
      </c>
      <c r="P470" s="3">
        <v>0</v>
      </c>
      <c r="Q470" s="3">
        <v>522</v>
      </c>
      <c r="R470" s="3">
        <f t="shared" si="279"/>
        <v>1566000</v>
      </c>
      <c r="S470" s="3">
        <v>0</v>
      </c>
      <c r="T470" s="5">
        <v>0</v>
      </c>
      <c r="U470" s="3">
        <v>0</v>
      </c>
      <c r="V470" s="6">
        <f t="shared" si="280"/>
        <v>5500</v>
      </c>
    </row>
    <row r="471" spans="1:22" ht="21.95" customHeight="1" x14ac:dyDescent="0.25">
      <c r="A471" s="40" t="s">
        <v>1205</v>
      </c>
      <c r="B471" s="23" t="s">
        <v>449</v>
      </c>
      <c r="C471" s="2">
        <f t="shared" si="240"/>
        <v>3492606</v>
      </c>
      <c r="D471" s="3">
        <f t="shared" si="278"/>
        <v>697856</v>
      </c>
      <c r="E471" s="3">
        <f>350*296.96</f>
        <v>103936</v>
      </c>
      <c r="F471" s="3">
        <f>1050*296.96</f>
        <v>311808</v>
      </c>
      <c r="G471" s="3">
        <f>300*296.96</f>
        <v>89088</v>
      </c>
      <c r="H471" s="3">
        <f>400*296.96</f>
        <v>118783.99999999999</v>
      </c>
      <c r="I471" s="3">
        <f>250*296.96</f>
        <v>74240</v>
      </c>
      <c r="J471" s="3">
        <f>350*0</f>
        <v>0</v>
      </c>
      <c r="K471" s="4">
        <v>0</v>
      </c>
      <c r="L471" s="3">
        <v>0</v>
      </c>
      <c r="M471" s="3">
        <v>214.5</v>
      </c>
      <c r="N471" s="3">
        <f t="shared" si="281"/>
        <v>1179750</v>
      </c>
      <c r="O471" s="3">
        <v>0</v>
      </c>
      <c r="P471" s="3">
        <v>0</v>
      </c>
      <c r="Q471" s="3">
        <v>505</v>
      </c>
      <c r="R471" s="3">
        <f t="shared" si="279"/>
        <v>1515000</v>
      </c>
      <c r="S471" s="3">
        <v>0</v>
      </c>
      <c r="T471" s="5">
        <v>0</v>
      </c>
      <c r="U471" s="3">
        <v>100000</v>
      </c>
      <c r="V471" s="6">
        <f t="shared" si="280"/>
        <v>5500</v>
      </c>
    </row>
    <row r="472" spans="1:22" ht="21.75" customHeight="1" x14ac:dyDescent="0.25">
      <c r="A472" s="40" t="s">
        <v>1206</v>
      </c>
      <c r="B472" s="8" t="s">
        <v>495</v>
      </c>
      <c r="C472" s="2">
        <f>D472+L472+N472+P472+R472+S472+T472+U472</f>
        <v>3559000</v>
      </c>
      <c r="D472" s="3">
        <f>SUM(E472:J472)</f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4">
        <v>0</v>
      </c>
      <c r="L472" s="3">
        <v>0</v>
      </c>
      <c r="M472" s="3">
        <v>250</v>
      </c>
      <c r="N472" s="3">
        <f>M472*5500</f>
        <v>1375000</v>
      </c>
      <c r="O472" s="3">
        <v>0</v>
      </c>
      <c r="P472" s="3">
        <v>0</v>
      </c>
      <c r="Q472" s="3">
        <v>728</v>
      </c>
      <c r="R472" s="3">
        <f>Q472*3000</f>
        <v>2184000</v>
      </c>
      <c r="S472" s="3">
        <v>0</v>
      </c>
      <c r="T472" s="5">
        <v>0</v>
      </c>
      <c r="U472" s="3">
        <v>0</v>
      </c>
      <c r="V472" s="6">
        <f>N472/M472</f>
        <v>5500</v>
      </c>
    </row>
    <row r="473" spans="1:22" ht="21.95" customHeight="1" x14ac:dyDescent="0.25">
      <c r="A473" s="40" t="s">
        <v>1207</v>
      </c>
      <c r="B473" s="8" t="s">
        <v>496</v>
      </c>
      <c r="C473" s="2">
        <f t="shared" si="240"/>
        <v>2029500</v>
      </c>
      <c r="D473" s="3">
        <f t="shared" si="278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4">
        <v>0</v>
      </c>
      <c r="L473" s="3">
        <v>0</v>
      </c>
      <c r="M473" s="3">
        <v>369</v>
      </c>
      <c r="N473" s="3">
        <f t="shared" si="281"/>
        <v>2029500</v>
      </c>
      <c r="O473" s="3">
        <v>0</v>
      </c>
      <c r="P473" s="3">
        <v>0</v>
      </c>
      <c r="Q473" s="3">
        <v>0</v>
      </c>
      <c r="R473" s="3">
        <f t="shared" si="279"/>
        <v>0</v>
      </c>
      <c r="S473" s="3">
        <v>0</v>
      </c>
      <c r="T473" s="5">
        <v>0</v>
      </c>
      <c r="U473" s="3">
        <v>0</v>
      </c>
      <c r="V473" s="6">
        <f t="shared" si="280"/>
        <v>5500</v>
      </c>
    </row>
    <row r="474" spans="1:22" ht="21.95" customHeight="1" x14ac:dyDescent="0.25">
      <c r="A474" s="40" t="s">
        <v>1208</v>
      </c>
      <c r="B474" s="8" t="s">
        <v>580</v>
      </c>
      <c r="C474" s="2">
        <f t="shared" si="240"/>
        <v>3033470</v>
      </c>
      <c r="D474" s="3">
        <f t="shared" si="278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1">
        <v>0</v>
      </c>
      <c r="L474" s="5">
        <v>0</v>
      </c>
      <c r="M474" s="5">
        <v>551.54</v>
      </c>
      <c r="N474" s="3">
        <f t="shared" si="281"/>
        <v>3033470</v>
      </c>
      <c r="O474" s="5">
        <v>0</v>
      </c>
      <c r="P474" s="5">
        <v>0</v>
      </c>
      <c r="Q474" s="5">
        <v>0</v>
      </c>
      <c r="R474" s="3">
        <f t="shared" si="279"/>
        <v>0</v>
      </c>
      <c r="S474" s="5">
        <v>0</v>
      </c>
      <c r="T474" s="5">
        <v>0</v>
      </c>
      <c r="U474" s="5">
        <v>0</v>
      </c>
      <c r="V474" s="6">
        <f t="shared" si="280"/>
        <v>5500</v>
      </c>
    </row>
    <row r="475" spans="1:22" ht="21.95" customHeight="1" x14ac:dyDescent="0.25">
      <c r="A475" s="40" t="s">
        <v>1209</v>
      </c>
      <c r="B475" s="23" t="s">
        <v>581</v>
      </c>
      <c r="C475" s="2">
        <f t="shared" si="240"/>
        <v>3913894.5</v>
      </c>
      <c r="D475" s="3">
        <f t="shared" si="278"/>
        <v>1893894.5</v>
      </c>
      <c r="E475" s="3">
        <f>350*801.87</f>
        <v>280654.5</v>
      </c>
      <c r="F475" s="3">
        <f>1050*801.87</f>
        <v>841963.5</v>
      </c>
      <c r="G475" s="3">
        <f>300*811.87</f>
        <v>243561</v>
      </c>
      <c r="H475" s="3">
        <f>400*811.87</f>
        <v>324748</v>
      </c>
      <c r="I475" s="3">
        <f>250*811.87</f>
        <v>202967.5</v>
      </c>
      <c r="J475" s="3">
        <f>350*0</f>
        <v>0</v>
      </c>
      <c r="K475" s="11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640</v>
      </c>
      <c r="R475" s="3">
        <f t="shared" si="279"/>
        <v>1920000</v>
      </c>
      <c r="S475" s="5">
        <v>0</v>
      </c>
      <c r="T475" s="5">
        <v>0</v>
      </c>
      <c r="U475" s="5">
        <v>100000</v>
      </c>
      <c r="V475" s="6" t="e">
        <f t="shared" si="280"/>
        <v>#DIV/0!</v>
      </c>
    </row>
    <row r="476" spans="1:22" ht="21.95" customHeight="1" x14ac:dyDescent="0.25">
      <c r="A476" s="40" t="s">
        <v>1210</v>
      </c>
      <c r="B476" s="8" t="s">
        <v>478</v>
      </c>
      <c r="C476" s="2">
        <f t="shared" si="240"/>
        <v>3396250</v>
      </c>
      <c r="D476" s="3">
        <f t="shared" si="278"/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4">
        <v>0</v>
      </c>
      <c r="L476" s="3">
        <v>0</v>
      </c>
      <c r="M476" s="3">
        <v>617.5</v>
      </c>
      <c r="N476" s="3">
        <f t="shared" ref="N476:N483" si="283">M476*5500</f>
        <v>3396250</v>
      </c>
      <c r="O476" s="3">
        <v>0</v>
      </c>
      <c r="P476" s="3">
        <v>0</v>
      </c>
      <c r="Q476" s="3">
        <v>0</v>
      </c>
      <c r="R476" s="3">
        <f t="shared" si="279"/>
        <v>0</v>
      </c>
      <c r="S476" s="3">
        <v>0</v>
      </c>
      <c r="T476" s="5">
        <v>0</v>
      </c>
      <c r="U476" s="3">
        <v>0</v>
      </c>
      <c r="V476" s="6">
        <f t="shared" si="280"/>
        <v>5500</v>
      </c>
    </row>
    <row r="477" spans="1:22" ht="21.95" customHeight="1" x14ac:dyDescent="0.25">
      <c r="A477" s="40" t="s">
        <v>1211</v>
      </c>
      <c r="B477" s="8" t="s">
        <v>497</v>
      </c>
      <c r="C477" s="2">
        <f t="shared" si="240"/>
        <v>3220300</v>
      </c>
      <c r="D477" s="3">
        <f t="shared" si="278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4">
        <v>0</v>
      </c>
      <c r="L477" s="3">
        <v>0</v>
      </c>
      <c r="M477" s="3">
        <v>394.6</v>
      </c>
      <c r="N477" s="3">
        <f t="shared" si="283"/>
        <v>2170300</v>
      </c>
      <c r="O477" s="3">
        <v>0</v>
      </c>
      <c r="P477" s="3">
        <v>0</v>
      </c>
      <c r="Q477" s="3">
        <v>350</v>
      </c>
      <c r="R477" s="3">
        <f t="shared" si="279"/>
        <v>1050000</v>
      </c>
      <c r="S477" s="3">
        <v>0</v>
      </c>
      <c r="T477" s="5">
        <v>0</v>
      </c>
      <c r="U477" s="3">
        <v>0</v>
      </c>
      <c r="V477" s="6">
        <f t="shared" si="280"/>
        <v>5500</v>
      </c>
    </row>
    <row r="478" spans="1:22" ht="21.95" customHeight="1" x14ac:dyDescent="0.25">
      <c r="A478" s="40" t="s">
        <v>1212</v>
      </c>
      <c r="B478" s="8" t="s">
        <v>582</v>
      </c>
      <c r="C478" s="2">
        <f t="shared" si="240"/>
        <v>1429449.9999999998</v>
      </c>
      <c r="D478" s="3">
        <f t="shared" si="278"/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11">
        <v>0</v>
      </c>
      <c r="L478" s="5">
        <v>0</v>
      </c>
      <c r="M478" s="5">
        <v>259.89999999999998</v>
      </c>
      <c r="N478" s="3">
        <f t="shared" si="283"/>
        <v>1429449.9999999998</v>
      </c>
      <c r="O478" s="5">
        <v>0</v>
      </c>
      <c r="P478" s="5">
        <v>0</v>
      </c>
      <c r="Q478" s="5">
        <v>0</v>
      </c>
      <c r="R478" s="3">
        <f t="shared" si="279"/>
        <v>0</v>
      </c>
      <c r="S478" s="5">
        <v>0</v>
      </c>
      <c r="T478" s="5">
        <v>0</v>
      </c>
      <c r="U478" s="5">
        <v>0</v>
      </c>
      <c r="V478" s="6">
        <f t="shared" si="280"/>
        <v>5500</v>
      </c>
    </row>
    <row r="479" spans="1:22" ht="21.95" customHeight="1" x14ac:dyDescent="0.25">
      <c r="A479" s="40" t="s">
        <v>1213</v>
      </c>
      <c r="B479" s="8" t="s">
        <v>583</v>
      </c>
      <c r="C479" s="2">
        <f t="shared" si="240"/>
        <v>1408000</v>
      </c>
      <c r="D479" s="3">
        <f t="shared" si="278"/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11">
        <v>0</v>
      </c>
      <c r="L479" s="5">
        <v>0</v>
      </c>
      <c r="M479" s="5">
        <v>256</v>
      </c>
      <c r="N479" s="3">
        <f t="shared" si="283"/>
        <v>1408000</v>
      </c>
      <c r="O479" s="5">
        <v>0</v>
      </c>
      <c r="P479" s="5">
        <v>0</v>
      </c>
      <c r="Q479" s="5">
        <v>0</v>
      </c>
      <c r="R479" s="3">
        <f t="shared" si="279"/>
        <v>0</v>
      </c>
      <c r="S479" s="5">
        <v>0</v>
      </c>
      <c r="T479" s="5">
        <v>0</v>
      </c>
      <c r="U479" s="5">
        <v>0</v>
      </c>
      <c r="V479" s="6">
        <f t="shared" si="280"/>
        <v>5500</v>
      </c>
    </row>
    <row r="480" spans="1:22" ht="21.95" customHeight="1" x14ac:dyDescent="0.25">
      <c r="A480" s="40" t="s">
        <v>1214</v>
      </c>
      <c r="B480" s="8" t="s">
        <v>420</v>
      </c>
      <c r="C480" s="2">
        <f t="shared" si="240"/>
        <v>3458950</v>
      </c>
      <c r="D480" s="3">
        <f t="shared" si="278"/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4">
        <v>0</v>
      </c>
      <c r="L480" s="3">
        <v>0</v>
      </c>
      <c r="M480" s="3">
        <v>628.9</v>
      </c>
      <c r="N480" s="3">
        <f t="shared" si="283"/>
        <v>3458950</v>
      </c>
      <c r="O480" s="3">
        <v>0</v>
      </c>
      <c r="P480" s="3">
        <v>0</v>
      </c>
      <c r="Q480" s="3">
        <v>0</v>
      </c>
      <c r="R480" s="3">
        <f t="shared" si="279"/>
        <v>0</v>
      </c>
      <c r="S480" s="3">
        <v>0</v>
      </c>
      <c r="T480" s="5">
        <v>0</v>
      </c>
      <c r="U480" s="3">
        <v>0</v>
      </c>
      <c r="V480" s="6">
        <f t="shared" si="280"/>
        <v>5500</v>
      </c>
    </row>
    <row r="481" spans="1:22" ht="21.95" customHeight="1" x14ac:dyDescent="0.25">
      <c r="A481" s="40" t="s">
        <v>1215</v>
      </c>
      <c r="B481" s="23" t="s">
        <v>584</v>
      </c>
      <c r="C481" s="2">
        <f t="shared" si="240"/>
        <v>3708649.9999999995</v>
      </c>
      <c r="D481" s="3">
        <f t="shared" si="278"/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11">
        <v>0</v>
      </c>
      <c r="L481" s="5">
        <v>0</v>
      </c>
      <c r="M481" s="5">
        <v>674.3</v>
      </c>
      <c r="N481" s="3">
        <f t="shared" si="283"/>
        <v>3708649.9999999995</v>
      </c>
      <c r="O481" s="5">
        <v>0</v>
      </c>
      <c r="P481" s="5">
        <v>0</v>
      </c>
      <c r="Q481" s="5">
        <v>0</v>
      </c>
      <c r="R481" s="3">
        <f t="shared" si="279"/>
        <v>0</v>
      </c>
      <c r="S481" s="5">
        <v>0</v>
      </c>
      <c r="T481" s="5">
        <v>0</v>
      </c>
      <c r="U481" s="5">
        <v>0</v>
      </c>
      <c r="V481" s="6">
        <f t="shared" si="280"/>
        <v>5500</v>
      </c>
    </row>
    <row r="482" spans="1:22" ht="21.95" customHeight="1" x14ac:dyDescent="0.25">
      <c r="A482" s="40" t="s">
        <v>1216</v>
      </c>
      <c r="B482" s="23" t="s">
        <v>479</v>
      </c>
      <c r="C482" s="2">
        <f t="shared" si="240"/>
        <v>6574200</v>
      </c>
      <c r="D482" s="3">
        <f t="shared" si="278"/>
        <v>1458600</v>
      </c>
      <c r="E482" s="3">
        <f>350*748</f>
        <v>261800</v>
      </c>
      <c r="F482" s="3">
        <f>1050*748</f>
        <v>785400</v>
      </c>
      <c r="G482" s="3">
        <f>300*748</f>
        <v>224400</v>
      </c>
      <c r="H482" s="3">
        <f>400*0</f>
        <v>0</v>
      </c>
      <c r="I482" s="3">
        <f>250*748</f>
        <v>187000</v>
      </c>
      <c r="J482" s="3">
        <f>350*0</f>
        <v>0</v>
      </c>
      <c r="K482" s="4">
        <v>0</v>
      </c>
      <c r="L482" s="3">
        <v>0</v>
      </c>
      <c r="M482" s="3">
        <v>639.20000000000005</v>
      </c>
      <c r="N482" s="3">
        <f t="shared" si="283"/>
        <v>3515600.0000000005</v>
      </c>
      <c r="O482" s="3">
        <v>0</v>
      </c>
      <c r="P482" s="3">
        <v>0</v>
      </c>
      <c r="Q482" s="3">
        <v>500</v>
      </c>
      <c r="R482" s="3">
        <f t="shared" si="279"/>
        <v>1500000</v>
      </c>
      <c r="S482" s="3">
        <v>0</v>
      </c>
      <c r="T482" s="5">
        <v>0</v>
      </c>
      <c r="U482" s="3">
        <v>100000</v>
      </c>
      <c r="V482" s="6">
        <f t="shared" si="280"/>
        <v>5500</v>
      </c>
    </row>
    <row r="483" spans="1:22" ht="21.95" customHeight="1" x14ac:dyDescent="0.25">
      <c r="A483" s="40" t="s">
        <v>1217</v>
      </c>
      <c r="B483" s="8" t="s">
        <v>585</v>
      </c>
      <c r="C483" s="2">
        <f t="shared" si="240"/>
        <v>1438800.0000000002</v>
      </c>
      <c r="D483" s="3">
        <f t="shared" si="278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1">
        <v>0</v>
      </c>
      <c r="L483" s="5">
        <v>0</v>
      </c>
      <c r="M483" s="5">
        <v>261.60000000000002</v>
      </c>
      <c r="N483" s="3">
        <f t="shared" si="283"/>
        <v>1438800.0000000002</v>
      </c>
      <c r="O483" s="5">
        <v>0</v>
      </c>
      <c r="P483" s="5">
        <v>0</v>
      </c>
      <c r="Q483" s="5">
        <v>0</v>
      </c>
      <c r="R483" s="3">
        <f t="shared" si="279"/>
        <v>0</v>
      </c>
      <c r="S483" s="5">
        <v>0</v>
      </c>
      <c r="T483" s="5">
        <v>0</v>
      </c>
      <c r="U483" s="5">
        <v>0</v>
      </c>
      <c r="V483" s="6">
        <f t="shared" si="280"/>
        <v>5500</v>
      </c>
    </row>
    <row r="484" spans="1:22" ht="21.95" customHeight="1" x14ac:dyDescent="0.25">
      <c r="A484" s="40" t="s">
        <v>1218</v>
      </c>
      <c r="B484" s="23" t="s">
        <v>506</v>
      </c>
      <c r="C484" s="2">
        <f>D484+L484+N484+P484+R484+S484+T484+U484</f>
        <v>6758070</v>
      </c>
      <c r="D484" s="3">
        <f>SUM(E484:J484)</f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4">
        <v>0</v>
      </c>
      <c r="L484" s="3">
        <v>0</v>
      </c>
      <c r="M484" s="3">
        <v>1161.9000000000001</v>
      </c>
      <c r="N484" s="3">
        <v>6158070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600000</v>
      </c>
      <c r="V484" s="6">
        <f>N484/M484</f>
        <v>5300</v>
      </c>
    </row>
    <row r="485" spans="1:22" ht="21.95" customHeight="1" x14ac:dyDescent="0.25">
      <c r="A485" s="40" t="s">
        <v>1219</v>
      </c>
      <c r="B485" s="23" t="s">
        <v>508</v>
      </c>
      <c r="C485" s="2">
        <f>D485+L485+N485+P485+R485+S485+T485+U485</f>
        <v>16655539.5</v>
      </c>
      <c r="D485" s="3">
        <f>SUM(E485:J485)</f>
        <v>3664609.5</v>
      </c>
      <c r="E485" s="3">
        <f>350*1980.87</f>
        <v>693304.5</v>
      </c>
      <c r="F485" s="3">
        <f>800*1980.87</f>
        <v>1584696</v>
      </c>
      <c r="G485" s="3">
        <f>300*1980.87</f>
        <v>594261</v>
      </c>
      <c r="H485" s="3">
        <f>500*0</f>
        <v>0</v>
      </c>
      <c r="I485" s="3">
        <f>400*1980.87</f>
        <v>792348</v>
      </c>
      <c r="J485" s="3">
        <f>350*0</f>
        <v>0</v>
      </c>
      <c r="K485" s="4">
        <v>0</v>
      </c>
      <c r="L485" s="3">
        <v>0</v>
      </c>
      <c r="M485" s="3">
        <v>1748.1</v>
      </c>
      <c r="N485" s="3">
        <v>9264930</v>
      </c>
      <c r="O485" s="3">
        <v>0</v>
      </c>
      <c r="P485" s="3">
        <v>0</v>
      </c>
      <c r="Q485" s="3">
        <v>1200</v>
      </c>
      <c r="R485" s="3">
        <f>Q485*2605</f>
        <v>3126000</v>
      </c>
      <c r="S485" s="3">
        <v>0</v>
      </c>
      <c r="T485" s="3">
        <v>0</v>
      </c>
      <c r="U485" s="3">
        <v>600000</v>
      </c>
      <c r="V485" s="6">
        <f>N485/M485</f>
        <v>5300</v>
      </c>
    </row>
    <row r="486" spans="1:22" ht="21.95" customHeight="1" x14ac:dyDescent="0.25">
      <c r="A486" s="40" t="s">
        <v>1629</v>
      </c>
      <c r="B486" s="8" t="s">
        <v>400</v>
      </c>
      <c r="C486" s="2">
        <f>D486+L486+N486+P486+R486+S486+T486+U486</f>
        <v>5991710</v>
      </c>
      <c r="D486" s="3">
        <f>SUM(E486:J486)</f>
        <v>2135210</v>
      </c>
      <c r="E486" s="3">
        <f>350*908.6</f>
        <v>318010</v>
      </c>
      <c r="F486" s="3">
        <f>908.6*800</f>
        <v>726880</v>
      </c>
      <c r="G486" s="3">
        <f>908.6*300</f>
        <v>272580</v>
      </c>
      <c r="H486" s="3">
        <f>908.6*500</f>
        <v>454300</v>
      </c>
      <c r="I486" s="3">
        <f>908.6*400</f>
        <v>363440</v>
      </c>
      <c r="J486" s="3">
        <f>350*0</f>
        <v>0</v>
      </c>
      <c r="K486" s="4">
        <v>0</v>
      </c>
      <c r="L486" s="3">
        <v>0</v>
      </c>
      <c r="M486" s="3">
        <v>683</v>
      </c>
      <c r="N486" s="3">
        <f>M486*5500</f>
        <v>3756500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100000</v>
      </c>
      <c r="V486" s="6">
        <f>N486/M486</f>
        <v>5500</v>
      </c>
    </row>
    <row r="487" spans="1:22" ht="21.95" customHeight="1" x14ac:dyDescent="0.25">
      <c r="A487" s="40" t="s">
        <v>1220</v>
      </c>
      <c r="B487" s="8" t="s">
        <v>586</v>
      </c>
      <c r="C487" s="2">
        <f t="shared" si="240"/>
        <v>7258550</v>
      </c>
      <c r="D487" s="3">
        <f t="shared" si="278"/>
        <v>3978550</v>
      </c>
      <c r="E487" s="3">
        <f>350*1693</f>
        <v>592550</v>
      </c>
      <c r="F487" s="3">
        <f>1050*1693</f>
        <v>1777650</v>
      </c>
      <c r="G487" s="3">
        <f>300*1693</f>
        <v>507900</v>
      </c>
      <c r="H487" s="3">
        <f>400*1693</f>
        <v>677200</v>
      </c>
      <c r="I487" s="3">
        <f>250*1693</f>
        <v>423250</v>
      </c>
      <c r="J487" s="3">
        <f>350*0</f>
        <v>0</v>
      </c>
      <c r="K487" s="11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1060</v>
      </c>
      <c r="R487" s="3">
        <f t="shared" si="279"/>
        <v>3180000</v>
      </c>
      <c r="S487" s="5">
        <v>0</v>
      </c>
      <c r="T487" s="5">
        <v>0</v>
      </c>
      <c r="U487" s="5">
        <v>100000</v>
      </c>
      <c r="V487" s="6" t="e">
        <f t="shared" si="280"/>
        <v>#DIV/0!</v>
      </c>
    </row>
    <row r="488" spans="1:22" ht="21.95" customHeight="1" x14ac:dyDescent="0.25">
      <c r="A488" s="40" t="s">
        <v>1221</v>
      </c>
      <c r="B488" s="8" t="s">
        <v>391</v>
      </c>
      <c r="C488" s="2">
        <f t="shared" si="240"/>
        <v>2938612</v>
      </c>
      <c r="D488" s="3">
        <f t="shared" si="278"/>
        <v>2838612</v>
      </c>
      <c r="E488" s="3">
        <f>350*1207.92</f>
        <v>422772</v>
      </c>
      <c r="F488" s="3">
        <f>1050*1207.92</f>
        <v>1268316</v>
      </c>
      <c r="G488" s="3">
        <f>300*1207.92</f>
        <v>362376</v>
      </c>
      <c r="H488" s="3">
        <f>400*1207.92</f>
        <v>483168</v>
      </c>
      <c r="I488" s="3">
        <f>250*1207.92</f>
        <v>301980</v>
      </c>
      <c r="J488" s="3">
        <f>350*0</f>
        <v>0</v>
      </c>
      <c r="K488" s="4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f t="shared" si="279"/>
        <v>0</v>
      </c>
      <c r="S488" s="3">
        <v>0</v>
      </c>
      <c r="T488" s="3">
        <v>0</v>
      </c>
      <c r="U488" s="3">
        <v>100000</v>
      </c>
      <c r="V488" s="6" t="e">
        <f t="shared" si="280"/>
        <v>#DIV/0!</v>
      </c>
    </row>
    <row r="489" spans="1:22" ht="21.95" customHeight="1" x14ac:dyDescent="0.25">
      <c r="A489" s="40" t="s">
        <v>1222</v>
      </c>
      <c r="B489" s="8" t="s">
        <v>441</v>
      </c>
      <c r="C489" s="2">
        <f t="shared" si="240"/>
        <v>1837000</v>
      </c>
      <c r="D489" s="3">
        <f t="shared" si="278"/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4">
        <v>0</v>
      </c>
      <c r="L489" s="3">
        <v>0</v>
      </c>
      <c r="M489" s="3">
        <v>334</v>
      </c>
      <c r="N489" s="3">
        <f t="shared" ref="N489:N498" si="284">M489*5500</f>
        <v>1837000</v>
      </c>
      <c r="O489" s="3">
        <v>0</v>
      </c>
      <c r="P489" s="3">
        <v>0</v>
      </c>
      <c r="Q489" s="3">
        <v>0</v>
      </c>
      <c r="R489" s="3">
        <f t="shared" si="279"/>
        <v>0</v>
      </c>
      <c r="S489" s="3">
        <v>0</v>
      </c>
      <c r="T489" s="5">
        <v>0</v>
      </c>
      <c r="U489" s="3">
        <v>0</v>
      </c>
      <c r="V489" s="6">
        <f t="shared" si="280"/>
        <v>5500</v>
      </c>
    </row>
    <row r="490" spans="1:22" ht="21.95" customHeight="1" x14ac:dyDescent="0.25">
      <c r="A490" s="40" t="s">
        <v>1223</v>
      </c>
      <c r="B490" s="8" t="s">
        <v>442</v>
      </c>
      <c r="C490" s="2">
        <f t="shared" si="240"/>
        <v>1848000</v>
      </c>
      <c r="D490" s="3">
        <f t="shared" si="278"/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4">
        <v>0</v>
      </c>
      <c r="L490" s="3">
        <v>0</v>
      </c>
      <c r="M490" s="3">
        <v>336</v>
      </c>
      <c r="N490" s="3">
        <f t="shared" si="284"/>
        <v>1848000</v>
      </c>
      <c r="O490" s="3">
        <v>0</v>
      </c>
      <c r="P490" s="3">
        <v>0</v>
      </c>
      <c r="Q490" s="3">
        <v>0</v>
      </c>
      <c r="R490" s="3">
        <f t="shared" si="279"/>
        <v>0</v>
      </c>
      <c r="S490" s="3">
        <v>0</v>
      </c>
      <c r="T490" s="5">
        <v>0</v>
      </c>
      <c r="U490" s="3">
        <v>0</v>
      </c>
      <c r="V490" s="6">
        <f t="shared" si="280"/>
        <v>5500</v>
      </c>
    </row>
    <row r="491" spans="1:22" ht="21.95" customHeight="1" x14ac:dyDescent="0.25">
      <c r="A491" s="40" t="s">
        <v>1224</v>
      </c>
      <c r="B491" s="8" t="s">
        <v>587</v>
      </c>
      <c r="C491" s="2">
        <f t="shared" si="240"/>
        <v>3206500</v>
      </c>
      <c r="D491" s="3">
        <f t="shared" si="278"/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11">
        <v>0</v>
      </c>
      <c r="L491" s="5">
        <v>0</v>
      </c>
      <c r="M491" s="5">
        <v>583</v>
      </c>
      <c r="N491" s="3">
        <f t="shared" si="284"/>
        <v>3206500</v>
      </c>
      <c r="O491" s="5">
        <v>0</v>
      </c>
      <c r="P491" s="5">
        <v>0</v>
      </c>
      <c r="Q491" s="5">
        <v>0</v>
      </c>
      <c r="R491" s="3">
        <f t="shared" si="279"/>
        <v>0</v>
      </c>
      <c r="S491" s="5">
        <v>0</v>
      </c>
      <c r="T491" s="5">
        <v>0</v>
      </c>
      <c r="U491" s="5">
        <v>0</v>
      </c>
      <c r="V491" s="6">
        <f t="shared" si="280"/>
        <v>5500</v>
      </c>
    </row>
    <row r="492" spans="1:22" ht="21.95" customHeight="1" x14ac:dyDescent="0.25">
      <c r="A492" s="40" t="s">
        <v>1225</v>
      </c>
      <c r="B492" s="8" t="s">
        <v>1342</v>
      </c>
      <c r="C492" s="2">
        <f t="shared" si="240"/>
        <v>1548360</v>
      </c>
      <c r="D492" s="3">
        <f t="shared" si="278"/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11">
        <v>0</v>
      </c>
      <c r="L492" s="5">
        <v>0</v>
      </c>
      <c r="M492" s="5">
        <v>281.52</v>
      </c>
      <c r="N492" s="3">
        <f t="shared" si="284"/>
        <v>1548360</v>
      </c>
      <c r="O492" s="5">
        <v>0</v>
      </c>
      <c r="P492" s="5">
        <v>0</v>
      </c>
      <c r="Q492" s="5">
        <v>0</v>
      </c>
      <c r="R492" s="3">
        <f t="shared" si="279"/>
        <v>0</v>
      </c>
      <c r="S492" s="5">
        <v>0</v>
      </c>
      <c r="T492" s="5">
        <v>0</v>
      </c>
      <c r="U492" s="5">
        <v>0</v>
      </c>
      <c r="V492" s="6">
        <f t="shared" si="280"/>
        <v>5500</v>
      </c>
    </row>
    <row r="493" spans="1:22" ht="21.95" customHeight="1" x14ac:dyDescent="0.25">
      <c r="A493" s="40" t="s">
        <v>1416</v>
      </c>
      <c r="B493" s="8" t="s">
        <v>397</v>
      </c>
      <c r="C493" s="2">
        <f t="shared" si="240"/>
        <v>3380200</v>
      </c>
      <c r="D493" s="3">
        <f t="shared" si="278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4">
        <v>0</v>
      </c>
      <c r="L493" s="3">
        <v>0</v>
      </c>
      <c r="M493" s="3">
        <v>394</v>
      </c>
      <c r="N493" s="3">
        <f t="shared" si="284"/>
        <v>2167000</v>
      </c>
      <c r="O493" s="3">
        <v>0</v>
      </c>
      <c r="P493" s="3">
        <v>0</v>
      </c>
      <c r="Q493" s="3">
        <v>404.4</v>
      </c>
      <c r="R493" s="3">
        <f t="shared" si="279"/>
        <v>1213200</v>
      </c>
      <c r="S493" s="3">
        <v>0</v>
      </c>
      <c r="T493" s="5">
        <v>0</v>
      </c>
      <c r="U493" s="3">
        <v>0</v>
      </c>
      <c r="V493" s="6">
        <f t="shared" si="280"/>
        <v>5500</v>
      </c>
    </row>
    <row r="494" spans="1:22" ht="21.95" customHeight="1" x14ac:dyDescent="0.25">
      <c r="A494" s="40" t="s">
        <v>1226</v>
      </c>
      <c r="B494" s="8" t="s">
        <v>511</v>
      </c>
      <c r="C494" s="2">
        <f t="shared" si="240"/>
        <v>2745000</v>
      </c>
      <c r="D494" s="3">
        <f t="shared" si="278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11">
        <v>0</v>
      </c>
      <c r="L494" s="5">
        <v>0</v>
      </c>
      <c r="M494" s="5">
        <v>270</v>
      </c>
      <c r="N494" s="3">
        <f t="shared" si="284"/>
        <v>1485000</v>
      </c>
      <c r="O494" s="5">
        <v>0</v>
      </c>
      <c r="P494" s="5">
        <v>0</v>
      </c>
      <c r="Q494" s="5">
        <v>420</v>
      </c>
      <c r="R494" s="3">
        <f t="shared" si="279"/>
        <v>1260000</v>
      </c>
      <c r="S494" s="5">
        <v>0</v>
      </c>
      <c r="T494" s="5">
        <v>0</v>
      </c>
      <c r="U494" s="5">
        <v>0</v>
      </c>
      <c r="V494" s="6">
        <f t="shared" si="280"/>
        <v>5500</v>
      </c>
    </row>
    <row r="495" spans="1:22" ht="21.95" customHeight="1" x14ac:dyDescent="0.25">
      <c r="A495" s="40" t="s">
        <v>1227</v>
      </c>
      <c r="B495" s="8" t="s">
        <v>588</v>
      </c>
      <c r="C495" s="2">
        <f t="shared" si="240"/>
        <v>2849000</v>
      </c>
      <c r="D495" s="3">
        <f t="shared" si="278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1">
        <v>0</v>
      </c>
      <c r="L495" s="5">
        <v>0</v>
      </c>
      <c r="M495" s="5">
        <v>518</v>
      </c>
      <c r="N495" s="3">
        <f t="shared" si="284"/>
        <v>2849000</v>
      </c>
      <c r="O495" s="5">
        <v>0</v>
      </c>
      <c r="P495" s="5">
        <v>0</v>
      </c>
      <c r="Q495" s="5">
        <v>0</v>
      </c>
      <c r="R495" s="3">
        <f t="shared" si="279"/>
        <v>0</v>
      </c>
      <c r="S495" s="5">
        <v>0</v>
      </c>
      <c r="T495" s="5">
        <v>0</v>
      </c>
      <c r="U495" s="5">
        <v>0</v>
      </c>
      <c r="V495" s="6">
        <f t="shared" si="280"/>
        <v>5500</v>
      </c>
    </row>
    <row r="496" spans="1:22" ht="21.95" customHeight="1" x14ac:dyDescent="0.25">
      <c r="A496" s="40" t="s">
        <v>1228</v>
      </c>
      <c r="B496" s="8" t="s">
        <v>684</v>
      </c>
      <c r="C496" s="2">
        <f t="shared" si="240"/>
        <v>730950</v>
      </c>
      <c r="D496" s="3">
        <f t="shared" si="278"/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4">
        <v>0</v>
      </c>
      <c r="L496" s="3">
        <v>0</v>
      </c>
      <c r="M496" s="3">
        <v>132.9</v>
      </c>
      <c r="N496" s="3">
        <f t="shared" si="284"/>
        <v>730950</v>
      </c>
      <c r="O496" s="3">
        <v>0</v>
      </c>
      <c r="P496" s="3">
        <v>0</v>
      </c>
      <c r="Q496" s="3">
        <v>0</v>
      </c>
      <c r="R496" s="3">
        <f t="shared" si="279"/>
        <v>0</v>
      </c>
      <c r="S496" s="3">
        <v>0</v>
      </c>
      <c r="T496" s="5">
        <v>0</v>
      </c>
      <c r="U496" s="3">
        <v>0</v>
      </c>
      <c r="V496" s="6">
        <f t="shared" si="280"/>
        <v>5500</v>
      </c>
    </row>
    <row r="497" spans="1:22" ht="21.95" customHeight="1" x14ac:dyDescent="0.25">
      <c r="A497" s="40" t="s">
        <v>1229</v>
      </c>
      <c r="B497" s="8" t="s">
        <v>512</v>
      </c>
      <c r="C497" s="2">
        <f t="shared" si="240"/>
        <v>1863400</v>
      </c>
      <c r="D497" s="3">
        <f t="shared" si="278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11">
        <v>0</v>
      </c>
      <c r="L497" s="5">
        <v>0</v>
      </c>
      <c r="M497" s="5">
        <v>338.8</v>
      </c>
      <c r="N497" s="3">
        <f t="shared" si="284"/>
        <v>1863400</v>
      </c>
      <c r="O497" s="5">
        <v>0</v>
      </c>
      <c r="P497" s="5">
        <v>0</v>
      </c>
      <c r="Q497" s="5">
        <v>0</v>
      </c>
      <c r="R497" s="3">
        <f t="shared" si="279"/>
        <v>0</v>
      </c>
      <c r="S497" s="5">
        <v>0</v>
      </c>
      <c r="T497" s="5">
        <v>0</v>
      </c>
      <c r="U497" s="5">
        <v>0</v>
      </c>
      <c r="V497" s="6">
        <f t="shared" si="280"/>
        <v>5500</v>
      </c>
    </row>
    <row r="498" spans="1:22" ht="21.95" customHeight="1" x14ac:dyDescent="0.25">
      <c r="A498" s="40" t="s">
        <v>1230</v>
      </c>
      <c r="B498" s="8" t="s">
        <v>589</v>
      </c>
      <c r="C498" s="2">
        <f t="shared" si="240"/>
        <v>2816000</v>
      </c>
      <c r="D498" s="3">
        <f t="shared" si="278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1">
        <v>0</v>
      </c>
      <c r="L498" s="5">
        <v>0</v>
      </c>
      <c r="M498" s="5">
        <v>512</v>
      </c>
      <c r="N498" s="3">
        <f t="shared" si="284"/>
        <v>2816000</v>
      </c>
      <c r="O498" s="5">
        <v>0</v>
      </c>
      <c r="P498" s="5">
        <v>0</v>
      </c>
      <c r="Q498" s="5">
        <v>0</v>
      </c>
      <c r="R498" s="3">
        <f t="shared" si="279"/>
        <v>0</v>
      </c>
      <c r="S498" s="5">
        <v>0</v>
      </c>
      <c r="T498" s="5">
        <v>0</v>
      </c>
      <c r="U498" s="5">
        <v>0</v>
      </c>
      <c r="V498" s="6">
        <f t="shared" si="280"/>
        <v>5500</v>
      </c>
    </row>
    <row r="499" spans="1:22" ht="21.95" customHeight="1" x14ac:dyDescent="0.25">
      <c r="A499" s="40" t="s">
        <v>1231</v>
      </c>
      <c r="B499" s="8" t="s">
        <v>464</v>
      </c>
      <c r="C499" s="2">
        <f t="shared" si="240"/>
        <v>4736960</v>
      </c>
      <c r="D499" s="3">
        <f t="shared" ref="D499" si="285">SUM(E499:J499)</f>
        <v>4736960</v>
      </c>
      <c r="E499" s="3">
        <v>0</v>
      </c>
      <c r="F499" s="3">
        <f>800*5921.2</f>
        <v>4736960</v>
      </c>
      <c r="G499" s="3">
        <v>0</v>
      </c>
      <c r="H499" s="3">
        <f>500*0</f>
        <v>0</v>
      </c>
      <c r="I499" s="3">
        <v>0</v>
      </c>
      <c r="J499" s="3">
        <f>350*0</f>
        <v>0</v>
      </c>
      <c r="K499" s="4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6" t="e">
        <f t="shared" si="280"/>
        <v>#DIV/0!</v>
      </c>
    </row>
    <row r="500" spans="1:22" ht="21.95" customHeight="1" x14ac:dyDescent="0.25">
      <c r="A500" s="40" t="s">
        <v>1232</v>
      </c>
      <c r="B500" s="23" t="s">
        <v>590</v>
      </c>
      <c r="C500" s="2">
        <f t="shared" si="240"/>
        <v>4923305.5</v>
      </c>
      <c r="D500" s="3">
        <f t="shared" si="278"/>
        <v>4823305.5</v>
      </c>
      <c r="E500" s="3">
        <f>350*2473.49</f>
        <v>865721.49999999988</v>
      </c>
      <c r="F500" s="3">
        <f>1050*2473.49</f>
        <v>2597164.5</v>
      </c>
      <c r="G500" s="3">
        <f>300*2473.49</f>
        <v>742046.99999999988</v>
      </c>
      <c r="H500" s="3">
        <v>0</v>
      </c>
      <c r="I500" s="3">
        <f>250*2473.49</f>
        <v>618372.5</v>
      </c>
      <c r="J500" s="3">
        <f>350*0</f>
        <v>0</v>
      </c>
      <c r="K500" s="11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3">
        <f t="shared" si="279"/>
        <v>0</v>
      </c>
      <c r="S500" s="5">
        <v>0</v>
      </c>
      <c r="T500" s="5">
        <v>0</v>
      </c>
      <c r="U500" s="5">
        <v>100000</v>
      </c>
      <c r="V500" s="6" t="e">
        <f t="shared" si="280"/>
        <v>#DIV/0!</v>
      </c>
    </row>
    <row r="501" spans="1:22" ht="21.95" customHeight="1" x14ac:dyDescent="0.25">
      <c r="A501" s="40" t="s">
        <v>1233</v>
      </c>
      <c r="B501" s="8" t="s">
        <v>591</v>
      </c>
      <c r="C501" s="2">
        <f t="shared" si="240"/>
        <v>2546080</v>
      </c>
      <c r="D501" s="3">
        <f t="shared" si="278"/>
        <v>2446080</v>
      </c>
      <c r="E501" s="3">
        <f>350*1254.4</f>
        <v>439040.00000000006</v>
      </c>
      <c r="F501" s="3">
        <f>1050*1254.4</f>
        <v>1317120</v>
      </c>
      <c r="G501" s="3">
        <f>300*1254.4</f>
        <v>376320</v>
      </c>
      <c r="H501" s="3">
        <v>0</v>
      </c>
      <c r="I501" s="3">
        <f>250*1254.4</f>
        <v>313600</v>
      </c>
      <c r="J501" s="3">
        <f>350*0</f>
        <v>0</v>
      </c>
      <c r="K501" s="11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3">
        <f t="shared" si="279"/>
        <v>0</v>
      </c>
      <c r="S501" s="5">
        <v>0</v>
      </c>
      <c r="T501" s="5">
        <v>0</v>
      </c>
      <c r="U501" s="5">
        <v>100000</v>
      </c>
      <c r="V501" s="6" t="e">
        <f t="shared" si="280"/>
        <v>#DIV/0!</v>
      </c>
    </row>
    <row r="502" spans="1:22" ht="21.95" customHeight="1" x14ac:dyDescent="0.25">
      <c r="A502" s="40" t="s">
        <v>1234</v>
      </c>
      <c r="B502" s="8" t="s">
        <v>390</v>
      </c>
      <c r="C502" s="2">
        <f>D502+L502+N502+P502+R502+S502+T502+U502</f>
        <v>10458306.5</v>
      </c>
      <c r="D502" s="3">
        <f>SUM(E502:J502)</f>
        <v>10258306.5</v>
      </c>
      <c r="E502" s="3">
        <f>350*5260.67</f>
        <v>1841234.5</v>
      </c>
      <c r="F502" s="3">
        <f>1050*5260.67</f>
        <v>5523703.5</v>
      </c>
      <c r="G502" s="3">
        <f>300*5260.67</f>
        <v>1578201</v>
      </c>
      <c r="H502" s="3">
        <v>0</v>
      </c>
      <c r="I502" s="3">
        <f>250*5260.67</f>
        <v>1315167.5</v>
      </c>
      <c r="J502" s="3">
        <f>350*0</f>
        <v>0</v>
      </c>
      <c r="K502" s="4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200000</v>
      </c>
      <c r="V502" s="6" t="e">
        <f>N502/M502</f>
        <v>#DIV/0!</v>
      </c>
    </row>
    <row r="503" spans="1:22" ht="21.95" customHeight="1" x14ac:dyDescent="0.25">
      <c r="A503" s="40" t="s">
        <v>1235</v>
      </c>
      <c r="B503" s="23" t="s">
        <v>1184</v>
      </c>
      <c r="C503" s="2">
        <f t="shared" ref="C503:C589" si="286">D503+L503+N503+P503+R503+S503+T503+U503</f>
        <v>3480500</v>
      </c>
      <c r="D503" s="3">
        <f t="shared" si="278"/>
        <v>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11">
        <v>0</v>
      </c>
      <c r="L503" s="5">
        <v>0</v>
      </c>
      <c r="M503" s="5">
        <v>371</v>
      </c>
      <c r="N503" s="3">
        <f t="shared" ref="N503:N508" si="287">M503*5500</f>
        <v>2040500</v>
      </c>
      <c r="O503" s="5">
        <v>0</v>
      </c>
      <c r="P503" s="5">
        <v>0</v>
      </c>
      <c r="Q503" s="5">
        <v>480</v>
      </c>
      <c r="R503" s="3">
        <f t="shared" si="279"/>
        <v>1440000</v>
      </c>
      <c r="S503" s="5">
        <v>0</v>
      </c>
      <c r="T503" s="5">
        <v>0</v>
      </c>
      <c r="U503" s="5">
        <v>0</v>
      </c>
      <c r="V503" s="6">
        <f t="shared" si="280"/>
        <v>5500</v>
      </c>
    </row>
    <row r="504" spans="1:22" ht="21.95" customHeight="1" x14ac:dyDescent="0.25">
      <c r="A504" s="40" t="s">
        <v>1236</v>
      </c>
      <c r="B504" s="23" t="s">
        <v>430</v>
      </c>
      <c r="C504" s="2">
        <f t="shared" si="286"/>
        <v>2200000</v>
      </c>
      <c r="D504" s="3">
        <f t="shared" si="278"/>
        <v>0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4">
        <v>0</v>
      </c>
      <c r="L504" s="3">
        <v>0</v>
      </c>
      <c r="M504" s="3">
        <v>400</v>
      </c>
      <c r="N504" s="3">
        <f t="shared" si="287"/>
        <v>2200000</v>
      </c>
      <c r="O504" s="3">
        <v>0</v>
      </c>
      <c r="P504" s="3">
        <v>0</v>
      </c>
      <c r="Q504" s="3">
        <v>0</v>
      </c>
      <c r="R504" s="3">
        <f t="shared" si="279"/>
        <v>0</v>
      </c>
      <c r="S504" s="3">
        <v>0</v>
      </c>
      <c r="T504" s="5">
        <v>0</v>
      </c>
      <c r="U504" s="3">
        <v>0</v>
      </c>
      <c r="V504" s="6">
        <f t="shared" si="280"/>
        <v>5500</v>
      </c>
    </row>
    <row r="505" spans="1:22" ht="21.95" customHeight="1" x14ac:dyDescent="0.25">
      <c r="A505" s="40" t="s">
        <v>1237</v>
      </c>
      <c r="B505" s="23" t="s">
        <v>435</v>
      </c>
      <c r="C505" s="2">
        <f t="shared" si="286"/>
        <v>3762000</v>
      </c>
      <c r="D505" s="3">
        <f t="shared" si="278"/>
        <v>0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4">
        <v>0</v>
      </c>
      <c r="L505" s="3">
        <v>0</v>
      </c>
      <c r="M505" s="3">
        <v>402</v>
      </c>
      <c r="N505" s="3">
        <f t="shared" si="287"/>
        <v>2211000</v>
      </c>
      <c r="O505" s="3">
        <v>0</v>
      </c>
      <c r="P505" s="3">
        <v>0</v>
      </c>
      <c r="Q505" s="3">
        <v>517</v>
      </c>
      <c r="R505" s="3">
        <f t="shared" si="279"/>
        <v>1551000</v>
      </c>
      <c r="S505" s="3">
        <v>0</v>
      </c>
      <c r="T505" s="5">
        <v>0</v>
      </c>
      <c r="U505" s="3">
        <v>0</v>
      </c>
      <c r="V505" s="6">
        <f t="shared" si="280"/>
        <v>5500</v>
      </c>
    </row>
    <row r="506" spans="1:22" ht="21.95" customHeight="1" x14ac:dyDescent="0.25">
      <c r="A506" s="40" t="s">
        <v>1238</v>
      </c>
      <c r="B506" s="23" t="s">
        <v>513</v>
      </c>
      <c r="C506" s="2">
        <f t="shared" si="286"/>
        <v>2612500</v>
      </c>
      <c r="D506" s="3">
        <f t="shared" si="278"/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11">
        <v>0</v>
      </c>
      <c r="L506" s="5">
        <v>0</v>
      </c>
      <c r="M506" s="5">
        <v>475</v>
      </c>
      <c r="N506" s="3">
        <f t="shared" si="287"/>
        <v>2612500</v>
      </c>
      <c r="O506" s="5">
        <v>0</v>
      </c>
      <c r="P506" s="5">
        <v>0</v>
      </c>
      <c r="Q506" s="5">
        <v>0</v>
      </c>
      <c r="R506" s="3">
        <f t="shared" si="279"/>
        <v>0</v>
      </c>
      <c r="S506" s="5">
        <v>0</v>
      </c>
      <c r="T506" s="5">
        <v>0</v>
      </c>
      <c r="U506" s="5">
        <v>0</v>
      </c>
      <c r="V506" s="6">
        <f t="shared" si="280"/>
        <v>5500</v>
      </c>
    </row>
    <row r="507" spans="1:22" ht="21.95" customHeight="1" x14ac:dyDescent="0.25">
      <c r="A507" s="40" t="s">
        <v>1239</v>
      </c>
      <c r="B507" s="23" t="s">
        <v>465</v>
      </c>
      <c r="C507" s="2">
        <f t="shared" si="286"/>
        <v>1930500</v>
      </c>
      <c r="D507" s="3">
        <f t="shared" si="278"/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4">
        <v>0</v>
      </c>
      <c r="L507" s="3">
        <v>0</v>
      </c>
      <c r="M507" s="3">
        <v>351</v>
      </c>
      <c r="N507" s="3">
        <f t="shared" si="287"/>
        <v>1930500</v>
      </c>
      <c r="O507" s="3">
        <v>0</v>
      </c>
      <c r="P507" s="3">
        <v>0</v>
      </c>
      <c r="Q507" s="3">
        <v>0</v>
      </c>
      <c r="R507" s="3">
        <f t="shared" si="279"/>
        <v>0</v>
      </c>
      <c r="S507" s="3">
        <v>0</v>
      </c>
      <c r="T507" s="5">
        <v>0</v>
      </c>
      <c r="U507" s="3">
        <v>0</v>
      </c>
      <c r="V507" s="6">
        <f t="shared" si="280"/>
        <v>5500</v>
      </c>
    </row>
    <row r="508" spans="1:22" ht="31.5" x14ac:dyDescent="0.25">
      <c r="A508" s="40" t="s">
        <v>1240</v>
      </c>
      <c r="B508" s="8" t="s">
        <v>1411</v>
      </c>
      <c r="C508" s="2">
        <f t="shared" si="286"/>
        <v>5197500</v>
      </c>
      <c r="D508" s="3">
        <f t="shared" si="278"/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11">
        <v>0</v>
      </c>
      <c r="L508" s="5">
        <v>0</v>
      </c>
      <c r="M508" s="5">
        <v>945</v>
      </c>
      <c r="N508" s="3">
        <f t="shared" si="287"/>
        <v>5197500</v>
      </c>
      <c r="O508" s="5">
        <v>0</v>
      </c>
      <c r="P508" s="5">
        <v>0</v>
      </c>
      <c r="Q508" s="5">
        <v>0</v>
      </c>
      <c r="R508" s="3">
        <f t="shared" si="279"/>
        <v>0</v>
      </c>
      <c r="S508" s="5">
        <v>0</v>
      </c>
      <c r="T508" s="5">
        <v>0</v>
      </c>
      <c r="U508" s="5">
        <v>0</v>
      </c>
      <c r="V508" s="6">
        <f t="shared" si="280"/>
        <v>5500</v>
      </c>
    </row>
    <row r="509" spans="1:22" ht="21.95" customHeight="1" x14ac:dyDescent="0.25">
      <c r="A509" s="40" t="s">
        <v>1241</v>
      </c>
      <c r="B509" s="8" t="s">
        <v>690</v>
      </c>
      <c r="C509" s="2">
        <f t="shared" si="286"/>
        <v>300000</v>
      </c>
      <c r="D509" s="3">
        <f t="shared" si="278"/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11">
        <v>0</v>
      </c>
      <c r="L509" s="3">
        <v>0</v>
      </c>
      <c r="M509" s="3">
        <v>0</v>
      </c>
      <c r="N509" s="20">
        <v>0</v>
      </c>
      <c r="O509" s="3">
        <v>0</v>
      </c>
      <c r="P509" s="3">
        <v>0</v>
      </c>
      <c r="Q509" s="3">
        <v>0</v>
      </c>
      <c r="R509" s="3">
        <f t="shared" si="279"/>
        <v>0</v>
      </c>
      <c r="S509" s="3">
        <v>0</v>
      </c>
      <c r="T509" s="5">
        <v>0</v>
      </c>
      <c r="U509" s="3">
        <v>300000</v>
      </c>
      <c r="V509" s="6" t="e">
        <f t="shared" si="280"/>
        <v>#DIV/0!</v>
      </c>
    </row>
    <row r="510" spans="1:22" ht="21.95" customHeight="1" x14ac:dyDescent="0.25">
      <c r="A510" s="40" t="s">
        <v>1242</v>
      </c>
      <c r="B510" s="8" t="s">
        <v>413</v>
      </c>
      <c r="C510" s="2">
        <f t="shared" si="286"/>
        <v>3764661</v>
      </c>
      <c r="D510" s="3">
        <f t="shared" si="278"/>
        <v>479661</v>
      </c>
      <c r="E510" s="3">
        <f>350*368.97</f>
        <v>129139.50000000001</v>
      </c>
      <c r="F510" s="3">
        <f>1050*0</f>
        <v>0</v>
      </c>
      <c r="G510" s="3">
        <f>300*368.97</f>
        <v>110691.00000000001</v>
      </c>
      <c r="H510" s="3">
        <f>400*368.97</f>
        <v>147588</v>
      </c>
      <c r="I510" s="3">
        <f>250*368.97</f>
        <v>92242.5</v>
      </c>
      <c r="J510" s="3">
        <f>350*0</f>
        <v>0</v>
      </c>
      <c r="K510" s="4">
        <v>0</v>
      </c>
      <c r="L510" s="3">
        <v>0</v>
      </c>
      <c r="M510" s="3">
        <v>350</v>
      </c>
      <c r="N510" s="3">
        <f t="shared" ref="N510:N518" si="288">M510*5500</f>
        <v>1925000</v>
      </c>
      <c r="O510" s="3">
        <v>0</v>
      </c>
      <c r="P510" s="3">
        <v>0</v>
      </c>
      <c r="Q510" s="3">
        <v>420</v>
      </c>
      <c r="R510" s="3">
        <f t="shared" si="279"/>
        <v>1260000</v>
      </c>
      <c r="S510" s="3">
        <v>0</v>
      </c>
      <c r="T510" s="5">
        <v>0</v>
      </c>
      <c r="U510" s="3">
        <v>100000</v>
      </c>
      <c r="V510" s="6">
        <f t="shared" si="280"/>
        <v>5500</v>
      </c>
    </row>
    <row r="511" spans="1:22" ht="21.95" customHeight="1" x14ac:dyDescent="0.25">
      <c r="A511" s="40" t="s">
        <v>1243</v>
      </c>
      <c r="B511" s="8" t="s">
        <v>414</v>
      </c>
      <c r="C511" s="2">
        <f t="shared" si="286"/>
        <v>1980000</v>
      </c>
      <c r="D511" s="3">
        <f t="shared" si="278"/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4">
        <v>0</v>
      </c>
      <c r="L511" s="3">
        <v>0</v>
      </c>
      <c r="M511" s="3">
        <v>360</v>
      </c>
      <c r="N511" s="3">
        <f t="shared" si="288"/>
        <v>1980000</v>
      </c>
      <c r="O511" s="3">
        <v>0</v>
      </c>
      <c r="P511" s="3">
        <v>0</v>
      </c>
      <c r="Q511" s="3">
        <v>0</v>
      </c>
      <c r="R511" s="3">
        <f t="shared" si="279"/>
        <v>0</v>
      </c>
      <c r="S511" s="3">
        <v>0</v>
      </c>
      <c r="T511" s="5">
        <v>0</v>
      </c>
      <c r="U511" s="3">
        <v>0</v>
      </c>
      <c r="V511" s="6">
        <f t="shared" si="280"/>
        <v>5500</v>
      </c>
    </row>
    <row r="512" spans="1:22" ht="21.95" customHeight="1" x14ac:dyDescent="0.25">
      <c r="A512" s="40" t="s">
        <v>1566</v>
      </c>
      <c r="B512" s="8" t="s">
        <v>415</v>
      </c>
      <c r="C512" s="2">
        <f t="shared" si="286"/>
        <v>1980000</v>
      </c>
      <c r="D512" s="3">
        <f t="shared" si="278"/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4">
        <v>0</v>
      </c>
      <c r="L512" s="3">
        <v>0</v>
      </c>
      <c r="M512" s="3">
        <v>360</v>
      </c>
      <c r="N512" s="3">
        <f t="shared" si="288"/>
        <v>1980000</v>
      </c>
      <c r="O512" s="3">
        <v>0</v>
      </c>
      <c r="P512" s="3">
        <v>0</v>
      </c>
      <c r="Q512" s="3">
        <v>0</v>
      </c>
      <c r="R512" s="3">
        <f t="shared" si="279"/>
        <v>0</v>
      </c>
      <c r="S512" s="3">
        <v>0</v>
      </c>
      <c r="T512" s="5">
        <v>0</v>
      </c>
      <c r="U512" s="3">
        <v>0</v>
      </c>
      <c r="V512" s="6">
        <f t="shared" si="280"/>
        <v>5500</v>
      </c>
    </row>
    <row r="513" spans="1:22" ht="21.95" customHeight="1" x14ac:dyDescent="0.25">
      <c r="A513" s="40" t="s">
        <v>1567</v>
      </c>
      <c r="B513" s="8" t="s">
        <v>412</v>
      </c>
      <c r="C513" s="2">
        <f t="shared" si="286"/>
        <v>1727000</v>
      </c>
      <c r="D513" s="3">
        <f t="shared" si="278"/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4">
        <v>0</v>
      </c>
      <c r="L513" s="3">
        <v>0</v>
      </c>
      <c r="M513" s="3">
        <v>314</v>
      </c>
      <c r="N513" s="3">
        <f t="shared" si="288"/>
        <v>1727000</v>
      </c>
      <c r="O513" s="3">
        <v>0</v>
      </c>
      <c r="P513" s="3">
        <v>0</v>
      </c>
      <c r="Q513" s="3">
        <v>0</v>
      </c>
      <c r="R513" s="3">
        <f t="shared" si="279"/>
        <v>0</v>
      </c>
      <c r="S513" s="3">
        <v>0</v>
      </c>
      <c r="T513" s="5">
        <v>0</v>
      </c>
      <c r="U513" s="3">
        <v>0</v>
      </c>
      <c r="V513" s="6">
        <f t="shared" si="280"/>
        <v>5500</v>
      </c>
    </row>
    <row r="514" spans="1:22" ht="21.95" customHeight="1" x14ac:dyDescent="0.25">
      <c r="A514" s="40" t="s">
        <v>1568</v>
      </c>
      <c r="B514" s="8" t="s">
        <v>593</v>
      </c>
      <c r="C514" s="2">
        <f t="shared" si="286"/>
        <v>2706550</v>
      </c>
      <c r="D514" s="3">
        <f t="shared" si="278"/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11">
        <v>0</v>
      </c>
      <c r="L514" s="5">
        <v>0</v>
      </c>
      <c r="M514" s="5">
        <v>492.1</v>
      </c>
      <c r="N514" s="3">
        <f t="shared" si="288"/>
        <v>2706550</v>
      </c>
      <c r="O514" s="5">
        <v>0</v>
      </c>
      <c r="P514" s="5">
        <v>0</v>
      </c>
      <c r="Q514" s="5">
        <v>0</v>
      </c>
      <c r="R514" s="3">
        <f t="shared" si="279"/>
        <v>0</v>
      </c>
      <c r="S514" s="5">
        <v>0</v>
      </c>
      <c r="T514" s="5">
        <v>0</v>
      </c>
      <c r="U514" s="5">
        <v>0</v>
      </c>
      <c r="V514" s="6">
        <f t="shared" si="280"/>
        <v>5500</v>
      </c>
    </row>
    <row r="515" spans="1:22" ht="21.95" customHeight="1" x14ac:dyDescent="0.25">
      <c r="A515" s="40" t="s">
        <v>1569</v>
      </c>
      <c r="B515" s="8" t="s">
        <v>514</v>
      </c>
      <c r="C515" s="2">
        <f t="shared" si="286"/>
        <v>1270500</v>
      </c>
      <c r="D515" s="3">
        <f t="shared" si="278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11">
        <v>0</v>
      </c>
      <c r="L515" s="5">
        <v>0</v>
      </c>
      <c r="M515" s="5">
        <v>231</v>
      </c>
      <c r="N515" s="3">
        <f t="shared" si="288"/>
        <v>1270500</v>
      </c>
      <c r="O515" s="5">
        <v>0</v>
      </c>
      <c r="P515" s="5">
        <v>0</v>
      </c>
      <c r="Q515" s="5">
        <v>0</v>
      </c>
      <c r="R515" s="3">
        <f t="shared" si="279"/>
        <v>0</v>
      </c>
      <c r="S515" s="5">
        <v>0</v>
      </c>
      <c r="T515" s="5">
        <v>0</v>
      </c>
      <c r="U515" s="5">
        <v>0</v>
      </c>
      <c r="V515" s="6">
        <f t="shared" si="280"/>
        <v>5500</v>
      </c>
    </row>
    <row r="516" spans="1:22" ht="21.95" customHeight="1" x14ac:dyDescent="0.25">
      <c r="A516" s="40" t="s">
        <v>1570</v>
      </c>
      <c r="B516" s="8" t="s">
        <v>466</v>
      </c>
      <c r="C516" s="2">
        <f t="shared" si="286"/>
        <v>2101000</v>
      </c>
      <c r="D516" s="3">
        <f t="shared" si="278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4">
        <v>0</v>
      </c>
      <c r="L516" s="3">
        <v>0</v>
      </c>
      <c r="M516" s="3">
        <v>382</v>
      </c>
      <c r="N516" s="3">
        <f t="shared" si="288"/>
        <v>2101000</v>
      </c>
      <c r="O516" s="3">
        <v>0</v>
      </c>
      <c r="P516" s="3">
        <v>0</v>
      </c>
      <c r="Q516" s="3">
        <v>0</v>
      </c>
      <c r="R516" s="3">
        <f t="shared" si="279"/>
        <v>0</v>
      </c>
      <c r="S516" s="3">
        <v>0</v>
      </c>
      <c r="T516" s="5">
        <v>0</v>
      </c>
      <c r="U516" s="3">
        <v>0</v>
      </c>
      <c r="V516" s="6">
        <f t="shared" si="280"/>
        <v>5500</v>
      </c>
    </row>
    <row r="517" spans="1:22" ht="21.95" customHeight="1" x14ac:dyDescent="0.25">
      <c r="A517" s="40" t="s">
        <v>1244</v>
      </c>
      <c r="B517" s="8" t="s">
        <v>594</v>
      </c>
      <c r="C517" s="2">
        <f t="shared" si="286"/>
        <v>1611500</v>
      </c>
      <c r="D517" s="3">
        <f t="shared" si="278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1">
        <v>0</v>
      </c>
      <c r="L517" s="5">
        <v>0</v>
      </c>
      <c r="M517" s="5">
        <v>293</v>
      </c>
      <c r="N517" s="3">
        <f t="shared" si="288"/>
        <v>1611500</v>
      </c>
      <c r="O517" s="5">
        <v>0</v>
      </c>
      <c r="P517" s="5">
        <v>0</v>
      </c>
      <c r="Q517" s="5">
        <v>0</v>
      </c>
      <c r="R517" s="3">
        <f t="shared" si="279"/>
        <v>0</v>
      </c>
      <c r="S517" s="5">
        <v>0</v>
      </c>
      <c r="T517" s="5">
        <v>0</v>
      </c>
      <c r="U517" s="5">
        <v>0</v>
      </c>
      <c r="V517" s="6">
        <f t="shared" si="280"/>
        <v>5500</v>
      </c>
    </row>
    <row r="518" spans="1:22" ht="21.95" customHeight="1" x14ac:dyDescent="0.25">
      <c r="A518" s="40" t="s">
        <v>1245</v>
      </c>
      <c r="B518" s="8" t="s">
        <v>595</v>
      </c>
      <c r="C518" s="2">
        <f t="shared" si="286"/>
        <v>1606000</v>
      </c>
      <c r="D518" s="3">
        <f t="shared" si="278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1">
        <v>0</v>
      </c>
      <c r="L518" s="5">
        <v>0</v>
      </c>
      <c r="M518" s="5">
        <v>292</v>
      </c>
      <c r="N518" s="3">
        <f t="shared" si="288"/>
        <v>1606000</v>
      </c>
      <c r="O518" s="5">
        <v>0</v>
      </c>
      <c r="P518" s="5">
        <v>0</v>
      </c>
      <c r="Q518" s="5">
        <v>0</v>
      </c>
      <c r="R518" s="3">
        <f t="shared" si="279"/>
        <v>0</v>
      </c>
      <c r="S518" s="5">
        <v>0</v>
      </c>
      <c r="T518" s="5">
        <v>0</v>
      </c>
      <c r="U518" s="5">
        <v>0</v>
      </c>
      <c r="V518" s="6">
        <f t="shared" si="280"/>
        <v>5500</v>
      </c>
    </row>
    <row r="519" spans="1:22" ht="21.95" customHeight="1" x14ac:dyDescent="0.25">
      <c r="A519" s="40" t="s">
        <v>1246</v>
      </c>
      <c r="B519" s="8" t="s">
        <v>407</v>
      </c>
      <c r="C519" s="2">
        <f>D519+L519+N519+P519+R519+S519+T519+U519</f>
        <v>886320</v>
      </c>
      <c r="D519" s="3">
        <f>SUM(E519:J519)</f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4">
        <v>0</v>
      </c>
      <c r="L519" s="3">
        <v>0</v>
      </c>
      <c r="M519" s="3">
        <v>0</v>
      </c>
      <c r="N519" s="3">
        <v>0</v>
      </c>
      <c r="O519" s="3">
        <v>238.6</v>
      </c>
      <c r="P519" s="3">
        <f>O519*1200</f>
        <v>286320</v>
      </c>
      <c r="Q519" s="3">
        <v>0</v>
      </c>
      <c r="R519" s="3">
        <v>0</v>
      </c>
      <c r="S519" s="3">
        <v>0</v>
      </c>
      <c r="T519" s="3">
        <v>0</v>
      </c>
      <c r="U519" s="3">
        <v>600000</v>
      </c>
      <c r="V519" s="6" t="e">
        <f>N519/M519</f>
        <v>#DIV/0!</v>
      </c>
    </row>
    <row r="520" spans="1:22" ht="21.95" customHeight="1" x14ac:dyDescent="0.25">
      <c r="A520" s="40" t="s">
        <v>1247</v>
      </c>
      <c r="B520" s="8" t="s">
        <v>444</v>
      </c>
      <c r="C520" s="2">
        <f t="shared" ref="C520:C522" si="289">D520+L520+N520+P520+R520+S520+T520+U520</f>
        <v>3276240.0599999996</v>
      </c>
      <c r="D520" s="3">
        <f t="shared" ref="D520:D522" si="290">SUM(E520:J520)</f>
        <v>3276240.0599999996</v>
      </c>
      <c r="E520" s="3">
        <v>536604.72</v>
      </c>
      <c r="F520" s="3">
        <v>2178999.2999999998</v>
      </c>
      <c r="G520" s="3">
        <v>237575.28</v>
      </c>
      <c r="H520" s="3">
        <v>0</v>
      </c>
      <c r="I520" s="3">
        <v>323060.76</v>
      </c>
      <c r="J520" s="3">
        <f t="shared" ref="J520:J522" si="291">0*350</f>
        <v>0</v>
      </c>
      <c r="K520" s="4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6" t="e">
        <f t="shared" ref="V520:V522" si="292">N520/M520</f>
        <v>#DIV/0!</v>
      </c>
    </row>
    <row r="521" spans="1:22" ht="21.95" customHeight="1" x14ac:dyDescent="0.25">
      <c r="A521" s="40" t="s">
        <v>1248</v>
      </c>
      <c r="B521" s="8" t="s">
        <v>436</v>
      </c>
      <c r="C521" s="2">
        <f t="shared" si="289"/>
        <v>5107865.76</v>
      </c>
      <c r="D521" s="3">
        <f t="shared" si="290"/>
        <v>5107865.76</v>
      </c>
      <c r="E521" s="3">
        <v>781371.18</v>
      </c>
      <c r="F521" s="3">
        <v>3561682.02</v>
      </c>
      <c r="G521" s="3">
        <v>360356.64</v>
      </c>
      <c r="H521" s="3">
        <v>0</v>
      </c>
      <c r="I521" s="3">
        <v>404455.92</v>
      </c>
      <c r="J521" s="3">
        <f t="shared" si="291"/>
        <v>0</v>
      </c>
      <c r="K521" s="4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6" t="e">
        <f t="shared" si="292"/>
        <v>#DIV/0!</v>
      </c>
    </row>
    <row r="522" spans="1:22" ht="21.95" customHeight="1" x14ac:dyDescent="0.25">
      <c r="A522" s="40" t="s">
        <v>1249</v>
      </c>
      <c r="B522" s="8" t="s">
        <v>437</v>
      </c>
      <c r="C522" s="2">
        <f t="shared" si="289"/>
        <v>4073783.4600000004</v>
      </c>
      <c r="D522" s="3">
        <f t="shared" si="290"/>
        <v>4073783.4600000004</v>
      </c>
      <c r="E522" s="3">
        <v>738309.66</v>
      </c>
      <c r="F522" s="3">
        <v>2413974.66</v>
      </c>
      <c r="G522" s="3">
        <v>280206.24</v>
      </c>
      <c r="H522" s="3">
        <v>0</v>
      </c>
      <c r="I522" s="3">
        <v>641292.9</v>
      </c>
      <c r="J522" s="3">
        <f t="shared" si="291"/>
        <v>0</v>
      </c>
      <c r="K522" s="4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6" t="e">
        <f t="shared" si="292"/>
        <v>#DIV/0!</v>
      </c>
    </row>
    <row r="523" spans="1:22" ht="21.95" customHeight="1" x14ac:dyDescent="0.25">
      <c r="A523" s="40" t="s">
        <v>1250</v>
      </c>
      <c r="B523" s="8" t="s">
        <v>443</v>
      </c>
      <c r="C523" s="2">
        <f t="shared" ref="C523" si="293">D523+L523+N523+P523+R523+S523+T523+U523</f>
        <v>3266086.48</v>
      </c>
      <c r="D523" s="3">
        <f t="shared" ref="D523" si="294">SUM(E523:J523)</f>
        <v>3266086.48</v>
      </c>
      <c r="E523" s="3">
        <v>525016.86</v>
      </c>
      <c r="F523" s="3">
        <v>2279050.6800000002</v>
      </c>
      <c r="G523" s="3">
        <v>196454.04</v>
      </c>
      <c r="H523" s="3">
        <v>0</v>
      </c>
      <c r="I523" s="3">
        <v>265564.90000000002</v>
      </c>
      <c r="J523" s="3">
        <f t="shared" ref="J523" si="295">0*350</f>
        <v>0</v>
      </c>
      <c r="K523" s="4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6" t="e">
        <f t="shared" ref="V523" si="296">N523/M523</f>
        <v>#DIV/0!</v>
      </c>
    </row>
    <row r="524" spans="1:22" ht="21.95" customHeight="1" x14ac:dyDescent="0.25">
      <c r="A524" s="40" t="s">
        <v>1251</v>
      </c>
      <c r="B524" s="8" t="s">
        <v>417</v>
      </c>
      <c r="C524" s="2">
        <f>D524+L524+N524+P524+R524+S524+T524+U524</f>
        <v>1070597</v>
      </c>
      <c r="D524" s="3">
        <f>SUM(E524:J524)</f>
        <v>870597</v>
      </c>
      <c r="E524" s="3">
        <f>350*829.14</f>
        <v>290199</v>
      </c>
      <c r="F524" s="3">
        <v>0</v>
      </c>
      <c r="G524" s="3">
        <f>300*829.14</f>
        <v>248742</v>
      </c>
      <c r="H524" s="3">
        <f>500*0</f>
        <v>0</v>
      </c>
      <c r="I524" s="3">
        <f>400*829.14</f>
        <v>331656</v>
      </c>
      <c r="J524" s="3">
        <f>350*0</f>
        <v>0</v>
      </c>
      <c r="K524" s="4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200000</v>
      </c>
      <c r="V524" s="6" t="e">
        <f>N524/M524</f>
        <v>#DIV/0!</v>
      </c>
    </row>
    <row r="525" spans="1:22" ht="21.95" customHeight="1" x14ac:dyDescent="0.25">
      <c r="A525" s="40" t="s">
        <v>1252</v>
      </c>
      <c r="B525" s="8" t="s">
        <v>378</v>
      </c>
      <c r="C525" s="2">
        <f>D525+L525+N525+P525+R525+S525+T525+U525</f>
        <v>1339200</v>
      </c>
      <c r="D525" s="3">
        <f>SUM(E525:J525)</f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4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739200</v>
      </c>
      <c r="T525" s="3">
        <v>0</v>
      </c>
      <c r="U525" s="3">
        <v>600000</v>
      </c>
      <c r="V525" s="6" t="e">
        <f>N525/M525</f>
        <v>#DIV/0!</v>
      </c>
    </row>
    <row r="526" spans="1:22" ht="21.95" customHeight="1" x14ac:dyDescent="0.25">
      <c r="A526" s="40" t="s">
        <v>1253</v>
      </c>
      <c r="B526" s="8" t="s">
        <v>396</v>
      </c>
      <c r="C526" s="2">
        <f t="shared" si="286"/>
        <v>6560032.5</v>
      </c>
      <c r="D526" s="3">
        <f t="shared" si="278"/>
        <v>6460032.5</v>
      </c>
      <c r="E526" s="3">
        <f>350*2748.95</f>
        <v>962132.49999999988</v>
      </c>
      <c r="F526" s="3">
        <f>1050*2748.95</f>
        <v>2886397.5</v>
      </c>
      <c r="G526" s="3">
        <f>300*2748.95</f>
        <v>824685</v>
      </c>
      <c r="H526" s="3">
        <f>400*2748.95</f>
        <v>1099580</v>
      </c>
      <c r="I526" s="3">
        <f>250*2748.95</f>
        <v>687237.5</v>
      </c>
      <c r="J526" s="3">
        <f>350*0</f>
        <v>0</v>
      </c>
      <c r="K526" s="4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f t="shared" si="279"/>
        <v>0</v>
      </c>
      <c r="S526" s="3">
        <v>0</v>
      </c>
      <c r="T526" s="5">
        <v>0</v>
      </c>
      <c r="U526" s="3">
        <v>100000</v>
      </c>
      <c r="V526" s="6" t="e">
        <f t="shared" si="280"/>
        <v>#DIV/0!</v>
      </c>
    </row>
    <row r="527" spans="1:22" ht="21.95" customHeight="1" x14ac:dyDescent="0.25">
      <c r="A527" s="40" t="s">
        <v>1254</v>
      </c>
      <c r="B527" s="8" t="s">
        <v>422</v>
      </c>
      <c r="C527" s="2">
        <f>D527+L527+N527+P527+R527+S527+T527+U527</f>
        <v>1269900</v>
      </c>
      <c r="D527" s="3">
        <f>SUM(E527:J527)</f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4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669900</v>
      </c>
      <c r="T527" s="3">
        <v>0</v>
      </c>
      <c r="U527" s="3">
        <v>600000</v>
      </c>
      <c r="V527" s="6" t="e">
        <f>N527/M527</f>
        <v>#DIV/0!</v>
      </c>
    </row>
    <row r="528" spans="1:22" ht="21.95" customHeight="1" x14ac:dyDescent="0.25">
      <c r="A528" s="40" t="s">
        <v>1255</v>
      </c>
      <c r="B528" s="8" t="s">
        <v>445</v>
      </c>
      <c r="C528" s="2">
        <f t="shared" ref="C528:C529" si="297">D528+L528+N528+P528+R528+S528+T528+U528</f>
        <v>10277975</v>
      </c>
      <c r="D528" s="3">
        <f t="shared" ref="D528:D529" si="298">SUM(E528:J528)</f>
        <v>10077975</v>
      </c>
      <c r="E528" s="3">
        <f>350*4288.5</f>
        <v>1500975</v>
      </c>
      <c r="F528" s="3">
        <f>800*4288.5</f>
        <v>3430800</v>
      </c>
      <c r="G528" s="3">
        <f>300*4288.5</f>
        <v>1286550</v>
      </c>
      <c r="H528" s="3">
        <f>500*4288.5</f>
        <v>2144250</v>
      </c>
      <c r="I528" s="3">
        <f>400*4288.5</f>
        <v>1715400</v>
      </c>
      <c r="J528" s="3">
        <f>350*0</f>
        <v>0</v>
      </c>
      <c r="K528" s="4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200000</v>
      </c>
      <c r="V528" s="6" t="e">
        <f t="shared" ref="V528:V529" si="299">N528/M528</f>
        <v>#DIV/0!</v>
      </c>
    </row>
    <row r="529" spans="1:22" ht="21.95" customHeight="1" x14ac:dyDescent="0.25">
      <c r="A529" s="40" t="s">
        <v>1256</v>
      </c>
      <c r="B529" s="8" t="s">
        <v>401</v>
      </c>
      <c r="C529" s="2">
        <f t="shared" si="297"/>
        <v>5752800</v>
      </c>
      <c r="D529" s="3">
        <f t="shared" si="298"/>
        <v>5752800</v>
      </c>
      <c r="E529" s="3">
        <f>350*2448</f>
        <v>856800</v>
      </c>
      <c r="F529" s="3">
        <f>800*2448</f>
        <v>1958400</v>
      </c>
      <c r="G529" s="3">
        <f>300*2448</f>
        <v>734400</v>
      </c>
      <c r="H529" s="3">
        <f>500*2448</f>
        <v>1224000</v>
      </c>
      <c r="I529" s="3">
        <f>400*2448</f>
        <v>979200</v>
      </c>
      <c r="J529" s="3">
        <f>350*0</f>
        <v>0</v>
      </c>
      <c r="K529" s="4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6" t="e">
        <f t="shared" si="299"/>
        <v>#DIV/0!</v>
      </c>
    </row>
    <row r="530" spans="1:22" ht="21.95" customHeight="1" x14ac:dyDescent="0.25">
      <c r="A530" s="40" t="s">
        <v>1257</v>
      </c>
      <c r="B530" s="8" t="s">
        <v>402</v>
      </c>
      <c r="C530" s="2">
        <f t="shared" si="286"/>
        <v>5341565</v>
      </c>
      <c r="D530" s="3">
        <f t="shared" si="278"/>
        <v>5141565</v>
      </c>
      <c r="E530" s="3">
        <f>350*2187.9</f>
        <v>765765</v>
      </c>
      <c r="F530" s="3">
        <f>1050*2187.9</f>
        <v>2297295</v>
      </c>
      <c r="G530" s="3">
        <f>300*2187.9</f>
        <v>656370</v>
      </c>
      <c r="H530" s="3">
        <f>400*2187.9</f>
        <v>875160</v>
      </c>
      <c r="I530" s="3">
        <f>250*2187.9</f>
        <v>546975</v>
      </c>
      <c r="J530" s="3">
        <f t="shared" ref="J530" si="300">350*0</f>
        <v>0</v>
      </c>
      <c r="K530" s="4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200000</v>
      </c>
      <c r="V530" s="6" t="e">
        <f t="shared" si="280"/>
        <v>#DIV/0!</v>
      </c>
    </row>
    <row r="531" spans="1:22" ht="21.95" customHeight="1" x14ac:dyDescent="0.25">
      <c r="A531" s="40" t="s">
        <v>1258</v>
      </c>
      <c r="B531" s="8" t="s">
        <v>383</v>
      </c>
      <c r="C531" s="2">
        <f>D531+L531+N531+P531+R531+S531+T531+U531</f>
        <v>1194560</v>
      </c>
      <c r="D531" s="3">
        <f>SUM(E531:J531)</f>
        <v>994560</v>
      </c>
      <c r="E531" s="3">
        <f>350*537.6</f>
        <v>188160</v>
      </c>
      <c r="F531" s="3">
        <f>800*537.6</f>
        <v>430080</v>
      </c>
      <c r="G531" s="3">
        <f>300*537.6</f>
        <v>161280</v>
      </c>
      <c r="H531" s="3">
        <f>500*0</f>
        <v>0</v>
      </c>
      <c r="I531" s="3">
        <f>400*537.6</f>
        <v>215040</v>
      </c>
      <c r="J531" s="3">
        <f t="shared" si="73"/>
        <v>0</v>
      </c>
      <c r="K531" s="4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200000</v>
      </c>
      <c r="V531" s="6" t="e">
        <f>N531/M531</f>
        <v>#DIV/0!</v>
      </c>
    </row>
    <row r="532" spans="1:22" ht="21.95" customHeight="1" x14ac:dyDescent="0.25">
      <c r="A532" s="40" t="s">
        <v>1259</v>
      </c>
      <c r="B532" s="8" t="s">
        <v>384</v>
      </c>
      <c r="C532" s="2">
        <f>D532+L532+N532+P532+R532+S532+T532+U532</f>
        <v>2013000</v>
      </c>
      <c r="D532" s="3">
        <f>SUM(E532:J532)</f>
        <v>1813000</v>
      </c>
      <c r="E532" s="3">
        <f>350*980</f>
        <v>343000</v>
      </c>
      <c r="F532" s="3">
        <f>800*980</f>
        <v>784000</v>
      </c>
      <c r="G532" s="3">
        <f>300*980</f>
        <v>294000</v>
      </c>
      <c r="H532" s="3">
        <f>500*0</f>
        <v>0</v>
      </c>
      <c r="I532" s="3">
        <f>400*980</f>
        <v>392000</v>
      </c>
      <c r="J532" s="3">
        <f t="shared" si="73"/>
        <v>0</v>
      </c>
      <c r="K532" s="4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200000</v>
      </c>
      <c r="V532" s="6" t="e">
        <f>N532/M532</f>
        <v>#DIV/0!</v>
      </c>
    </row>
    <row r="533" spans="1:22" ht="21.95" customHeight="1" x14ac:dyDescent="0.25">
      <c r="A533" s="40" t="s">
        <v>1260</v>
      </c>
      <c r="B533" s="23" t="s">
        <v>446</v>
      </c>
      <c r="C533" s="2">
        <f t="shared" ref="C533" si="301">D533+L533+N533+P533+R533+S533+T533+U533</f>
        <v>17610900</v>
      </c>
      <c r="D533" s="3">
        <f t="shared" ref="D533" si="302">SUM(E533:J533)</f>
        <v>17610900</v>
      </c>
      <c r="E533" s="3">
        <f>350*7494</f>
        <v>2622900</v>
      </c>
      <c r="F533" s="3">
        <f>800*7494</f>
        <v>5995200</v>
      </c>
      <c r="G533" s="3">
        <f>300*7494</f>
        <v>2248200</v>
      </c>
      <c r="H533" s="3">
        <f>500*7494</f>
        <v>3747000</v>
      </c>
      <c r="I533" s="3">
        <f>400*7494</f>
        <v>2997600</v>
      </c>
      <c r="J533" s="3">
        <f t="shared" si="73"/>
        <v>0</v>
      </c>
      <c r="K533" s="4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6" t="e">
        <f t="shared" ref="V533" si="303">N533/M533</f>
        <v>#DIV/0!</v>
      </c>
    </row>
    <row r="534" spans="1:22" ht="21.95" customHeight="1" x14ac:dyDescent="0.25">
      <c r="A534" s="40" t="s">
        <v>1261</v>
      </c>
      <c r="B534" s="8" t="s">
        <v>416</v>
      </c>
      <c r="C534" s="2">
        <f>D534+L534+N534+P534+R534+S534+T534+U534</f>
        <v>7245065</v>
      </c>
      <c r="D534" s="3">
        <f>SUM(E534:J534)</f>
        <v>7045065</v>
      </c>
      <c r="E534" s="3">
        <f>350*2997.9</f>
        <v>1049265</v>
      </c>
      <c r="F534" s="3">
        <f>800*2997.9</f>
        <v>2398320</v>
      </c>
      <c r="G534" s="3">
        <f>300*2997.9</f>
        <v>899370</v>
      </c>
      <c r="H534" s="3">
        <f>500*2997.9</f>
        <v>1498950</v>
      </c>
      <c r="I534" s="3">
        <f>400*2997.9</f>
        <v>1199160</v>
      </c>
      <c r="J534" s="3">
        <f t="shared" si="73"/>
        <v>0</v>
      </c>
      <c r="K534" s="4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200000</v>
      </c>
      <c r="V534" s="6" t="e">
        <f>N534/M534</f>
        <v>#DIV/0!</v>
      </c>
    </row>
    <row r="535" spans="1:22" ht="21.95" customHeight="1" x14ac:dyDescent="0.25">
      <c r="A535" s="40" t="s">
        <v>1262</v>
      </c>
      <c r="B535" s="8" t="s">
        <v>596</v>
      </c>
      <c r="C535" s="2">
        <f t="shared" si="286"/>
        <v>5953600</v>
      </c>
      <c r="D535" s="3">
        <f t="shared" si="278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1">
        <v>0</v>
      </c>
      <c r="L535" s="5">
        <v>0</v>
      </c>
      <c r="M535" s="5">
        <v>635.20000000000005</v>
      </c>
      <c r="N535" s="3">
        <f t="shared" ref="N535:N536" si="304">M535*5500</f>
        <v>3493600.0000000005</v>
      </c>
      <c r="O535" s="5">
        <v>0</v>
      </c>
      <c r="P535" s="5">
        <v>0</v>
      </c>
      <c r="Q535" s="5">
        <v>820</v>
      </c>
      <c r="R535" s="3">
        <f t="shared" si="279"/>
        <v>2460000</v>
      </c>
      <c r="S535" s="5">
        <v>0</v>
      </c>
      <c r="T535" s="5">
        <v>0</v>
      </c>
      <c r="U535" s="5">
        <v>0</v>
      </c>
      <c r="V535" s="6">
        <f t="shared" si="280"/>
        <v>5500</v>
      </c>
    </row>
    <row r="536" spans="1:22" ht="21.95" customHeight="1" x14ac:dyDescent="0.25">
      <c r="A536" s="40" t="s">
        <v>1263</v>
      </c>
      <c r="B536" s="8" t="s">
        <v>597</v>
      </c>
      <c r="C536" s="2">
        <f t="shared" si="286"/>
        <v>1468500</v>
      </c>
      <c r="D536" s="3">
        <f t="shared" si="278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1">
        <v>0</v>
      </c>
      <c r="L536" s="5">
        <v>0</v>
      </c>
      <c r="M536" s="5">
        <v>267</v>
      </c>
      <c r="N536" s="3">
        <f t="shared" si="304"/>
        <v>1468500</v>
      </c>
      <c r="O536" s="5">
        <v>0</v>
      </c>
      <c r="P536" s="5">
        <v>0</v>
      </c>
      <c r="Q536" s="5">
        <v>0</v>
      </c>
      <c r="R536" s="3">
        <f t="shared" si="279"/>
        <v>0</v>
      </c>
      <c r="S536" s="5">
        <v>0</v>
      </c>
      <c r="T536" s="5">
        <v>0</v>
      </c>
      <c r="U536" s="5">
        <v>0</v>
      </c>
      <c r="V536" s="6">
        <f t="shared" si="280"/>
        <v>5500</v>
      </c>
    </row>
    <row r="537" spans="1:22" ht="21.95" customHeight="1" x14ac:dyDescent="0.25">
      <c r="A537" s="40" t="s">
        <v>1264</v>
      </c>
      <c r="B537" s="23" t="s">
        <v>524</v>
      </c>
      <c r="C537" s="2">
        <f>D537+L537+N537+P537+R537+S537+T537+U537</f>
        <v>4125000</v>
      </c>
      <c r="D537" s="3">
        <f>SUM(E537:J537)</f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1">
        <v>0</v>
      </c>
      <c r="L537" s="5">
        <v>0</v>
      </c>
      <c r="M537" s="5">
        <v>750</v>
      </c>
      <c r="N537" s="3">
        <f>M537*5500</f>
        <v>4125000</v>
      </c>
      <c r="O537" s="5">
        <v>0</v>
      </c>
      <c r="P537" s="5">
        <v>0</v>
      </c>
      <c r="Q537" s="5">
        <v>0</v>
      </c>
      <c r="R537" s="3">
        <f>Q537*3000</f>
        <v>0</v>
      </c>
      <c r="S537" s="5">
        <v>0</v>
      </c>
      <c r="T537" s="5">
        <v>0</v>
      </c>
      <c r="U537" s="5">
        <v>0</v>
      </c>
      <c r="V537" s="6">
        <f>N537/M537</f>
        <v>5500</v>
      </c>
    </row>
    <row r="538" spans="1:22" ht="21.95" customHeight="1" x14ac:dyDescent="0.25">
      <c r="A538" s="40" t="s">
        <v>1265</v>
      </c>
      <c r="B538" s="23" t="s">
        <v>515</v>
      </c>
      <c r="C538" s="2">
        <f t="shared" si="286"/>
        <v>2385900</v>
      </c>
      <c r="D538" s="3">
        <f t="shared" si="278"/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11">
        <v>0</v>
      </c>
      <c r="L538" s="5">
        <v>0</v>
      </c>
      <c r="M538" s="5">
        <v>433.8</v>
      </c>
      <c r="N538" s="3">
        <f t="shared" ref="N538:N552" si="305">M538*5500</f>
        <v>2385900</v>
      </c>
      <c r="O538" s="5">
        <v>0</v>
      </c>
      <c r="P538" s="5">
        <v>0</v>
      </c>
      <c r="Q538" s="5">
        <v>0</v>
      </c>
      <c r="R538" s="3">
        <f t="shared" si="279"/>
        <v>0</v>
      </c>
      <c r="S538" s="5">
        <v>0</v>
      </c>
      <c r="T538" s="5">
        <v>0</v>
      </c>
      <c r="U538" s="5">
        <v>0</v>
      </c>
      <c r="V538" s="6">
        <f t="shared" si="280"/>
        <v>5500</v>
      </c>
    </row>
    <row r="539" spans="1:22" ht="21.95" customHeight="1" x14ac:dyDescent="0.25">
      <c r="A539" s="40" t="s">
        <v>1266</v>
      </c>
      <c r="B539" s="23" t="s">
        <v>516</v>
      </c>
      <c r="C539" s="2">
        <f t="shared" si="286"/>
        <v>2420000</v>
      </c>
      <c r="D539" s="3">
        <f t="shared" si="278"/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11">
        <v>0</v>
      </c>
      <c r="L539" s="5">
        <v>0</v>
      </c>
      <c r="M539" s="5">
        <v>440</v>
      </c>
      <c r="N539" s="3">
        <f t="shared" si="305"/>
        <v>2420000</v>
      </c>
      <c r="O539" s="5">
        <v>0</v>
      </c>
      <c r="P539" s="5">
        <v>0</v>
      </c>
      <c r="Q539" s="5">
        <v>0</v>
      </c>
      <c r="R539" s="3">
        <f t="shared" si="279"/>
        <v>0</v>
      </c>
      <c r="S539" s="5">
        <v>0</v>
      </c>
      <c r="T539" s="5">
        <v>0</v>
      </c>
      <c r="U539" s="5">
        <v>0</v>
      </c>
      <c r="V539" s="6">
        <f t="shared" si="280"/>
        <v>5500</v>
      </c>
    </row>
    <row r="540" spans="1:22" ht="21.95" customHeight="1" x14ac:dyDescent="0.25">
      <c r="A540" s="40" t="s">
        <v>1267</v>
      </c>
      <c r="B540" s="23" t="s">
        <v>517</v>
      </c>
      <c r="C540" s="2">
        <f t="shared" si="286"/>
        <v>2414500</v>
      </c>
      <c r="D540" s="3">
        <f t="shared" si="278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11">
        <v>0</v>
      </c>
      <c r="L540" s="5">
        <v>0</v>
      </c>
      <c r="M540" s="5">
        <v>439</v>
      </c>
      <c r="N540" s="3">
        <f t="shared" si="305"/>
        <v>2414500</v>
      </c>
      <c r="O540" s="5">
        <v>0</v>
      </c>
      <c r="P540" s="5">
        <v>0</v>
      </c>
      <c r="Q540" s="5">
        <v>0</v>
      </c>
      <c r="R540" s="3">
        <f t="shared" si="279"/>
        <v>0</v>
      </c>
      <c r="S540" s="5">
        <v>0</v>
      </c>
      <c r="T540" s="5">
        <v>0</v>
      </c>
      <c r="U540" s="5">
        <v>0</v>
      </c>
      <c r="V540" s="6">
        <f t="shared" si="280"/>
        <v>5500</v>
      </c>
    </row>
    <row r="541" spans="1:22" ht="21.95" customHeight="1" x14ac:dyDescent="0.25">
      <c r="A541" s="40" t="s">
        <v>1268</v>
      </c>
      <c r="B541" s="23" t="s">
        <v>518</v>
      </c>
      <c r="C541" s="2">
        <f t="shared" si="286"/>
        <v>2420000</v>
      </c>
      <c r="D541" s="3">
        <f t="shared" si="278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1">
        <v>0</v>
      </c>
      <c r="L541" s="5">
        <v>0</v>
      </c>
      <c r="M541" s="5">
        <v>440</v>
      </c>
      <c r="N541" s="3">
        <f t="shared" si="305"/>
        <v>2420000</v>
      </c>
      <c r="O541" s="5">
        <v>0</v>
      </c>
      <c r="P541" s="5">
        <v>0</v>
      </c>
      <c r="Q541" s="5">
        <v>0</v>
      </c>
      <c r="R541" s="3">
        <f t="shared" si="279"/>
        <v>0</v>
      </c>
      <c r="S541" s="5">
        <v>0</v>
      </c>
      <c r="T541" s="5">
        <v>0</v>
      </c>
      <c r="U541" s="5">
        <v>0</v>
      </c>
      <c r="V541" s="6">
        <f t="shared" si="280"/>
        <v>5500</v>
      </c>
    </row>
    <row r="542" spans="1:22" ht="21.95" customHeight="1" x14ac:dyDescent="0.25">
      <c r="A542" s="40" t="s">
        <v>1269</v>
      </c>
      <c r="B542" s="23" t="s">
        <v>519</v>
      </c>
      <c r="C542" s="2">
        <f t="shared" si="286"/>
        <v>2381500</v>
      </c>
      <c r="D542" s="3">
        <f t="shared" si="278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11">
        <v>0</v>
      </c>
      <c r="L542" s="5">
        <v>0</v>
      </c>
      <c r="M542" s="5">
        <v>433</v>
      </c>
      <c r="N542" s="3">
        <f t="shared" si="305"/>
        <v>2381500</v>
      </c>
      <c r="O542" s="5">
        <v>0</v>
      </c>
      <c r="P542" s="5">
        <v>0</v>
      </c>
      <c r="Q542" s="5">
        <v>0</v>
      </c>
      <c r="R542" s="3">
        <f t="shared" si="279"/>
        <v>0</v>
      </c>
      <c r="S542" s="5">
        <v>0</v>
      </c>
      <c r="T542" s="5">
        <v>0</v>
      </c>
      <c r="U542" s="5">
        <v>0</v>
      </c>
      <c r="V542" s="6">
        <f t="shared" si="280"/>
        <v>5500</v>
      </c>
    </row>
    <row r="543" spans="1:22" ht="21.95" customHeight="1" x14ac:dyDescent="0.25">
      <c r="A543" s="40" t="s">
        <v>1270</v>
      </c>
      <c r="B543" s="23" t="s">
        <v>520</v>
      </c>
      <c r="C543" s="2">
        <f t="shared" si="286"/>
        <v>2381500</v>
      </c>
      <c r="D543" s="3">
        <f t="shared" si="278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11">
        <v>0</v>
      </c>
      <c r="L543" s="5">
        <v>0</v>
      </c>
      <c r="M543" s="5">
        <v>433</v>
      </c>
      <c r="N543" s="3">
        <f t="shared" si="305"/>
        <v>2381500</v>
      </c>
      <c r="O543" s="5">
        <v>0</v>
      </c>
      <c r="P543" s="5">
        <v>0</v>
      </c>
      <c r="Q543" s="5">
        <v>0</v>
      </c>
      <c r="R543" s="3">
        <f t="shared" si="279"/>
        <v>0</v>
      </c>
      <c r="S543" s="5">
        <v>0</v>
      </c>
      <c r="T543" s="5">
        <v>0</v>
      </c>
      <c r="U543" s="5">
        <v>0</v>
      </c>
      <c r="V543" s="6">
        <f t="shared" si="280"/>
        <v>5500</v>
      </c>
    </row>
    <row r="544" spans="1:22" ht="21.95" customHeight="1" x14ac:dyDescent="0.25">
      <c r="A544" s="40" t="s">
        <v>1649</v>
      </c>
      <c r="B544" s="23" t="s">
        <v>521</v>
      </c>
      <c r="C544" s="2">
        <f t="shared" si="286"/>
        <v>2381500</v>
      </c>
      <c r="D544" s="3">
        <f t="shared" si="278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11">
        <v>0</v>
      </c>
      <c r="L544" s="5">
        <v>0</v>
      </c>
      <c r="M544" s="5">
        <v>433</v>
      </c>
      <c r="N544" s="3">
        <f t="shared" si="305"/>
        <v>2381500</v>
      </c>
      <c r="O544" s="5">
        <v>0</v>
      </c>
      <c r="P544" s="5">
        <v>0</v>
      </c>
      <c r="Q544" s="5">
        <v>0</v>
      </c>
      <c r="R544" s="3">
        <f t="shared" si="279"/>
        <v>0</v>
      </c>
      <c r="S544" s="5">
        <v>0</v>
      </c>
      <c r="T544" s="5">
        <v>0</v>
      </c>
      <c r="U544" s="5">
        <v>0</v>
      </c>
      <c r="V544" s="6">
        <f t="shared" si="280"/>
        <v>5500</v>
      </c>
    </row>
    <row r="545" spans="1:22" ht="21.95" customHeight="1" x14ac:dyDescent="0.25">
      <c r="A545" s="40" t="s">
        <v>1271</v>
      </c>
      <c r="B545" s="23" t="s">
        <v>522</v>
      </c>
      <c r="C545" s="2">
        <f t="shared" si="286"/>
        <v>2381500</v>
      </c>
      <c r="D545" s="3">
        <f t="shared" si="278"/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11">
        <v>0</v>
      </c>
      <c r="L545" s="5">
        <v>0</v>
      </c>
      <c r="M545" s="5">
        <v>433</v>
      </c>
      <c r="N545" s="3">
        <f t="shared" si="305"/>
        <v>2381500</v>
      </c>
      <c r="O545" s="5">
        <v>0</v>
      </c>
      <c r="P545" s="5">
        <v>0</v>
      </c>
      <c r="Q545" s="5">
        <v>0</v>
      </c>
      <c r="R545" s="3">
        <f t="shared" si="279"/>
        <v>0</v>
      </c>
      <c r="S545" s="5">
        <v>0</v>
      </c>
      <c r="T545" s="5">
        <v>0</v>
      </c>
      <c r="U545" s="5">
        <v>0</v>
      </c>
      <c r="V545" s="6">
        <f t="shared" si="280"/>
        <v>5500</v>
      </c>
    </row>
    <row r="546" spans="1:22" ht="21.95" customHeight="1" x14ac:dyDescent="0.25">
      <c r="A546" s="40" t="s">
        <v>1272</v>
      </c>
      <c r="B546" s="23" t="s">
        <v>523</v>
      </c>
      <c r="C546" s="2">
        <f t="shared" si="286"/>
        <v>2381500</v>
      </c>
      <c r="D546" s="3">
        <f t="shared" si="278"/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11">
        <v>0</v>
      </c>
      <c r="L546" s="5">
        <v>0</v>
      </c>
      <c r="M546" s="5">
        <v>433</v>
      </c>
      <c r="N546" s="3">
        <f t="shared" si="305"/>
        <v>2381500</v>
      </c>
      <c r="O546" s="5">
        <v>0</v>
      </c>
      <c r="P546" s="5">
        <v>0</v>
      </c>
      <c r="Q546" s="5">
        <v>0</v>
      </c>
      <c r="R546" s="3">
        <f t="shared" si="279"/>
        <v>0</v>
      </c>
      <c r="S546" s="5">
        <v>0</v>
      </c>
      <c r="T546" s="5">
        <v>0</v>
      </c>
      <c r="U546" s="5">
        <v>0</v>
      </c>
      <c r="V546" s="6">
        <f t="shared" si="280"/>
        <v>5500</v>
      </c>
    </row>
    <row r="547" spans="1:22" ht="21.95" customHeight="1" x14ac:dyDescent="0.25">
      <c r="A547" s="40" t="s">
        <v>1273</v>
      </c>
      <c r="B547" s="23" t="s">
        <v>598</v>
      </c>
      <c r="C547" s="2">
        <f t="shared" si="286"/>
        <v>2381500</v>
      </c>
      <c r="D547" s="3">
        <f t="shared" si="278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11">
        <v>0</v>
      </c>
      <c r="L547" s="5">
        <v>0</v>
      </c>
      <c r="M547" s="5">
        <v>433</v>
      </c>
      <c r="N547" s="3">
        <f t="shared" si="305"/>
        <v>2381500</v>
      </c>
      <c r="O547" s="5">
        <v>0</v>
      </c>
      <c r="P547" s="5">
        <v>0</v>
      </c>
      <c r="Q547" s="5">
        <v>0</v>
      </c>
      <c r="R547" s="3">
        <f t="shared" si="279"/>
        <v>0</v>
      </c>
      <c r="S547" s="5">
        <v>0</v>
      </c>
      <c r="T547" s="5">
        <v>0</v>
      </c>
      <c r="U547" s="5">
        <v>0</v>
      </c>
      <c r="V547" s="6">
        <f t="shared" si="280"/>
        <v>5500</v>
      </c>
    </row>
    <row r="548" spans="1:22" ht="21.95" customHeight="1" x14ac:dyDescent="0.25">
      <c r="A548" s="40" t="s">
        <v>1274</v>
      </c>
      <c r="B548" s="23" t="s">
        <v>599</v>
      </c>
      <c r="C548" s="2">
        <f t="shared" si="286"/>
        <v>2381500</v>
      </c>
      <c r="D548" s="3">
        <f t="shared" si="278"/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1">
        <v>0</v>
      </c>
      <c r="L548" s="5">
        <v>0</v>
      </c>
      <c r="M548" s="5">
        <v>433</v>
      </c>
      <c r="N548" s="3">
        <f t="shared" si="305"/>
        <v>2381500</v>
      </c>
      <c r="O548" s="5">
        <v>0</v>
      </c>
      <c r="P548" s="5">
        <v>0</v>
      </c>
      <c r="Q548" s="5">
        <v>0</v>
      </c>
      <c r="R548" s="3">
        <f t="shared" ref="R548:R618" si="306">Q548*3000</f>
        <v>0</v>
      </c>
      <c r="S548" s="5">
        <v>0</v>
      </c>
      <c r="T548" s="5">
        <v>0</v>
      </c>
      <c r="U548" s="5">
        <v>0</v>
      </c>
      <c r="V548" s="6">
        <f t="shared" ref="V548:V618" si="307">N548/M548</f>
        <v>5500</v>
      </c>
    </row>
    <row r="549" spans="1:22" ht="21.95" customHeight="1" x14ac:dyDescent="0.25">
      <c r="A549" s="40" t="s">
        <v>1275</v>
      </c>
      <c r="B549" s="23" t="s">
        <v>600</v>
      </c>
      <c r="C549" s="2">
        <f t="shared" si="286"/>
        <v>2381500</v>
      </c>
      <c r="D549" s="3">
        <f t="shared" ref="D549:D618" si="308">SUM(E549:J549)</f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11">
        <v>0</v>
      </c>
      <c r="L549" s="5">
        <v>0</v>
      </c>
      <c r="M549" s="5">
        <v>433</v>
      </c>
      <c r="N549" s="3">
        <f t="shared" si="305"/>
        <v>2381500</v>
      </c>
      <c r="O549" s="5">
        <v>0</v>
      </c>
      <c r="P549" s="5">
        <v>0</v>
      </c>
      <c r="Q549" s="5">
        <v>0</v>
      </c>
      <c r="R549" s="3">
        <f t="shared" si="306"/>
        <v>0</v>
      </c>
      <c r="S549" s="5">
        <v>0</v>
      </c>
      <c r="T549" s="5">
        <v>0</v>
      </c>
      <c r="U549" s="5">
        <v>0</v>
      </c>
      <c r="V549" s="6">
        <f t="shared" si="307"/>
        <v>5500</v>
      </c>
    </row>
    <row r="550" spans="1:22" ht="21.95" customHeight="1" x14ac:dyDescent="0.25">
      <c r="A550" s="40" t="s">
        <v>1276</v>
      </c>
      <c r="B550" s="23" t="s">
        <v>601</v>
      </c>
      <c r="C550" s="2">
        <f t="shared" si="286"/>
        <v>2381500</v>
      </c>
      <c r="D550" s="3">
        <f t="shared" si="308"/>
        <v>0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11">
        <v>0</v>
      </c>
      <c r="L550" s="5">
        <v>0</v>
      </c>
      <c r="M550" s="5">
        <v>433</v>
      </c>
      <c r="N550" s="3">
        <f t="shared" si="305"/>
        <v>2381500</v>
      </c>
      <c r="O550" s="5">
        <v>0</v>
      </c>
      <c r="P550" s="5">
        <v>0</v>
      </c>
      <c r="Q550" s="5">
        <v>0</v>
      </c>
      <c r="R550" s="3">
        <f t="shared" si="306"/>
        <v>0</v>
      </c>
      <c r="S550" s="5">
        <v>0</v>
      </c>
      <c r="T550" s="5">
        <v>0</v>
      </c>
      <c r="U550" s="5">
        <v>0</v>
      </c>
      <c r="V550" s="6">
        <f t="shared" si="307"/>
        <v>5500</v>
      </c>
    </row>
    <row r="551" spans="1:22" ht="21.95" customHeight="1" x14ac:dyDescent="0.25">
      <c r="A551" s="40" t="s">
        <v>1277</v>
      </c>
      <c r="B551" s="8" t="s">
        <v>602</v>
      </c>
      <c r="C551" s="2">
        <f t="shared" si="286"/>
        <v>2381500</v>
      </c>
      <c r="D551" s="3">
        <f t="shared" si="308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1">
        <v>0</v>
      </c>
      <c r="L551" s="5">
        <v>0</v>
      </c>
      <c r="M551" s="5">
        <v>433</v>
      </c>
      <c r="N551" s="3">
        <f t="shared" si="305"/>
        <v>2381500</v>
      </c>
      <c r="O551" s="5">
        <v>0</v>
      </c>
      <c r="P551" s="5">
        <v>0</v>
      </c>
      <c r="Q551" s="5">
        <v>0</v>
      </c>
      <c r="R551" s="3">
        <f t="shared" si="306"/>
        <v>0</v>
      </c>
      <c r="S551" s="5">
        <v>0</v>
      </c>
      <c r="T551" s="5">
        <v>0</v>
      </c>
      <c r="U551" s="5">
        <v>0</v>
      </c>
      <c r="V551" s="6">
        <f t="shared" si="307"/>
        <v>5500</v>
      </c>
    </row>
    <row r="552" spans="1:22" ht="21.95" customHeight="1" x14ac:dyDescent="0.25">
      <c r="A552" s="40" t="s">
        <v>1278</v>
      </c>
      <c r="B552" s="23" t="s">
        <v>786</v>
      </c>
      <c r="C552" s="2">
        <f t="shared" si="286"/>
        <v>6852036</v>
      </c>
      <c r="D552" s="3">
        <f t="shared" si="308"/>
        <v>1519886</v>
      </c>
      <c r="E552" s="3">
        <f>350*646.76</f>
        <v>226366</v>
      </c>
      <c r="F552" s="3">
        <f>1050*646.76</f>
        <v>679098</v>
      </c>
      <c r="G552" s="3">
        <f>300*646.76</f>
        <v>194028</v>
      </c>
      <c r="H552" s="3">
        <f>400*646.76</f>
        <v>258704</v>
      </c>
      <c r="I552" s="3">
        <f>250*646.76</f>
        <v>161690</v>
      </c>
      <c r="J552" s="3">
        <f>350*0</f>
        <v>0</v>
      </c>
      <c r="K552" s="4">
        <v>0</v>
      </c>
      <c r="L552" s="3">
        <v>0</v>
      </c>
      <c r="M552" s="3">
        <v>551.29999999999995</v>
      </c>
      <c r="N552" s="3">
        <f t="shared" si="305"/>
        <v>3032149.9999999995</v>
      </c>
      <c r="O552" s="3">
        <v>0</v>
      </c>
      <c r="P552" s="3">
        <v>0</v>
      </c>
      <c r="Q552" s="5">
        <v>700</v>
      </c>
      <c r="R552" s="3">
        <f t="shared" si="306"/>
        <v>2100000</v>
      </c>
      <c r="S552" s="3">
        <v>0</v>
      </c>
      <c r="T552" s="5">
        <v>0</v>
      </c>
      <c r="U552" s="3">
        <v>200000</v>
      </c>
      <c r="V552" s="6">
        <f t="shared" si="307"/>
        <v>5500</v>
      </c>
    </row>
    <row r="553" spans="1:22" ht="21.95" customHeight="1" x14ac:dyDescent="0.25">
      <c r="A553" s="40" t="s">
        <v>1279</v>
      </c>
      <c r="B553" s="8" t="s">
        <v>603</v>
      </c>
      <c r="C553" s="2">
        <f t="shared" si="286"/>
        <v>2797100</v>
      </c>
      <c r="D553" s="3">
        <f t="shared" si="308"/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11">
        <v>0</v>
      </c>
      <c r="L553" s="5">
        <v>0</v>
      </c>
      <c r="M553" s="5">
        <v>293</v>
      </c>
      <c r="N553" s="3">
        <f t="shared" ref="N553:N564" si="309">M553*5500</f>
        <v>1611500</v>
      </c>
      <c r="O553" s="5">
        <v>0</v>
      </c>
      <c r="P553" s="5">
        <v>0</v>
      </c>
      <c r="Q553" s="5">
        <v>395.2</v>
      </c>
      <c r="R553" s="3">
        <f t="shared" si="306"/>
        <v>1185600</v>
      </c>
      <c r="S553" s="5">
        <v>0</v>
      </c>
      <c r="T553" s="5">
        <v>0</v>
      </c>
      <c r="U553" s="5">
        <v>0</v>
      </c>
      <c r="V553" s="6">
        <f t="shared" si="307"/>
        <v>5500</v>
      </c>
    </row>
    <row r="554" spans="1:22" ht="21.95" customHeight="1" x14ac:dyDescent="0.25">
      <c r="A554" s="40" t="s">
        <v>1280</v>
      </c>
      <c r="B554" s="8" t="s">
        <v>525</v>
      </c>
      <c r="C554" s="2">
        <f t="shared" si="286"/>
        <v>2741200</v>
      </c>
      <c r="D554" s="3">
        <f t="shared" si="308"/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11">
        <v>0</v>
      </c>
      <c r="L554" s="5">
        <v>0</v>
      </c>
      <c r="M554" s="5">
        <v>498.4</v>
      </c>
      <c r="N554" s="3">
        <f t="shared" si="309"/>
        <v>2741200</v>
      </c>
      <c r="O554" s="5">
        <v>0</v>
      </c>
      <c r="P554" s="5">
        <v>0</v>
      </c>
      <c r="Q554" s="5">
        <v>0</v>
      </c>
      <c r="R554" s="3">
        <f t="shared" si="306"/>
        <v>0</v>
      </c>
      <c r="S554" s="5">
        <v>0</v>
      </c>
      <c r="T554" s="5">
        <v>0</v>
      </c>
      <c r="U554" s="5">
        <v>0</v>
      </c>
      <c r="V554" s="6">
        <f t="shared" si="307"/>
        <v>5500</v>
      </c>
    </row>
    <row r="555" spans="1:22" ht="21.95" customHeight="1" x14ac:dyDescent="0.25">
      <c r="A555" s="40" t="s">
        <v>1281</v>
      </c>
      <c r="B555" s="8" t="s">
        <v>526</v>
      </c>
      <c r="C555" s="2">
        <f t="shared" si="286"/>
        <v>3729000</v>
      </c>
      <c r="D555" s="3">
        <f t="shared" si="308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11">
        <v>0</v>
      </c>
      <c r="L555" s="5">
        <v>0</v>
      </c>
      <c r="M555" s="5">
        <v>678</v>
      </c>
      <c r="N555" s="3">
        <f t="shared" si="309"/>
        <v>3729000</v>
      </c>
      <c r="O555" s="5">
        <v>0</v>
      </c>
      <c r="P555" s="5">
        <v>0</v>
      </c>
      <c r="Q555" s="5">
        <v>0</v>
      </c>
      <c r="R555" s="3">
        <f t="shared" si="306"/>
        <v>0</v>
      </c>
      <c r="S555" s="5">
        <v>0</v>
      </c>
      <c r="T555" s="5">
        <v>0</v>
      </c>
      <c r="U555" s="5">
        <v>0</v>
      </c>
      <c r="V555" s="6">
        <f t="shared" si="307"/>
        <v>5500</v>
      </c>
    </row>
    <row r="556" spans="1:22" ht="21.95" customHeight="1" x14ac:dyDescent="0.25">
      <c r="A556" s="40" t="s">
        <v>1282</v>
      </c>
      <c r="B556" s="8" t="s">
        <v>529</v>
      </c>
      <c r="C556" s="2">
        <f>D556+L556+N556+P556+R556+S556+T556+U556</f>
        <v>2860000</v>
      </c>
      <c r="D556" s="3">
        <f>SUM(E556:J556)</f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1">
        <v>0</v>
      </c>
      <c r="L556" s="5">
        <v>0</v>
      </c>
      <c r="M556" s="5">
        <v>520</v>
      </c>
      <c r="N556" s="3">
        <f>M556*5500</f>
        <v>2860000</v>
      </c>
      <c r="O556" s="5">
        <v>0</v>
      </c>
      <c r="P556" s="5">
        <v>0</v>
      </c>
      <c r="Q556" s="5">
        <v>0</v>
      </c>
      <c r="R556" s="3">
        <f>Q556*3000</f>
        <v>0</v>
      </c>
      <c r="S556" s="5">
        <v>0</v>
      </c>
      <c r="T556" s="5">
        <v>0</v>
      </c>
      <c r="U556" s="5">
        <v>0</v>
      </c>
      <c r="V556" s="6">
        <f>N556/M556</f>
        <v>5500</v>
      </c>
    </row>
    <row r="557" spans="1:22" ht="21.95" customHeight="1" x14ac:dyDescent="0.25">
      <c r="A557" s="40" t="s">
        <v>1283</v>
      </c>
      <c r="B557" s="8" t="s">
        <v>530</v>
      </c>
      <c r="C557" s="2">
        <f>D557+L557+N557+P557+R557+S557+T557+U557</f>
        <v>2860000</v>
      </c>
      <c r="D557" s="3">
        <f>SUM(E557:J557)</f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1">
        <v>0</v>
      </c>
      <c r="L557" s="5">
        <v>0</v>
      </c>
      <c r="M557" s="5">
        <v>520</v>
      </c>
      <c r="N557" s="3">
        <f>M557*5500</f>
        <v>2860000</v>
      </c>
      <c r="O557" s="5">
        <v>0</v>
      </c>
      <c r="P557" s="5">
        <v>0</v>
      </c>
      <c r="Q557" s="5">
        <v>0</v>
      </c>
      <c r="R557" s="3">
        <f>Q557*3000</f>
        <v>0</v>
      </c>
      <c r="S557" s="5">
        <v>0</v>
      </c>
      <c r="T557" s="5">
        <v>0</v>
      </c>
      <c r="U557" s="5">
        <v>0</v>
      </c>
      <c r="V557" s="6">
        <f>N557/M557</f>
        <v>5500</v>
      </c>
    </row>
    <row r="558" spans="1:22" ht="21.95" customHeight="1" x14ac:dyDescent="0.25">
      <c r="A558" s="40" t="s">
        <v>1284</v>
      </c>
      <c r="B558" s="8" t="s">
        <v>604</v>
      </c>
      <c r="C558" s="2">
        <f>D558+L558+N558+P558+R558+S558+T558+U558</f>
        <v>2860000</v>
      </c>
      <c r="D558" s="3">
        <f>SUM(E558:J558)</f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1">
        <v>0</v>
      </c>
      <c r="L558" s="5">
        <v>0</v>
      </c>
      <c r="M558" s="5">
        <v>520</v>
      </c>
      <c r="N558" s="3">
        <f>M558*5500</f>
        <v>2860000</v>
      </c>
      <c r="O558" s="5">
        <v>0</v>
      </c>
      <c r="P558" s="5">
        <v>0</v>
      </c>
      <c r="Q558" s="5">
        <v>0</v>
      </c>
      <c r="R558" s="3">
        <f>Q558*3000</f>
        <v>0</v>
      </c>
      <c r="S558" s="5">
        <v>0</v>
      </c>
      <c r="T558" s="5">
        <v>0</v>
      </c>
      <c r="U558" s="5">
        <v>0</v>
      </c>
      <c r="V558" s="6">
        <f>N558/M558</f>
        <v>5500</v>
      </c>
    </row>
    <row r="559" spans="1:22" ht="21.95" customHeight="1" x14ac:dyDescent="0.25">
      <c r="A559" s="40" t="s">
        <v>1285</v>
      </c>
      <c r="B559" s="8" t="s">
        <v>527</v>
      </c>
      <c r="C559" s="2">
        <f t="shared" si="286"/>
        <v>2860000</v>
      </c>
      <c r="D559" s="3">
        <f t="shared" si="308"/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1">
        <v>0</v>
      </c>
      <c r="L559" s="5">
        <v>0</v>
      </c>
      <c r="M559" s="5">
        <v>520</v>
      </c>
      <c r="N559" s="3">
        <f t="shared" si="309"/>
        <v>2860000</v>
      </c>
      <c r="O559" s="5">
        <v>0</v>
      </c>
      <c r="P559" s="5">
        <v>0</v>
      </c>
      <c r="Q559" s="5">
        <v>0</v>
      </c>
      <c r="R559" s="3">
        <f t="shared" si="306"/>
        <v>0</v>
      </c>
      <c r="S559" s="5">
        <v>0</v>
      </c>
      <c r="T559" s="5">
        <v>0</v>
      </c>
      <c r="U559" s="5">
        <v>0</v>
      </c>
      <c r="V559" s="6">
        <f t="shared" si="307"/>
        <v>5500</v>
      </c>
    </row>
    <row r="560" spans="1:22" ht="21.95" customHeight="1" x14ac:dyDescent="0.25">
      <c r="A560" s="40" t="s">
        <v>1286</v>
      </c>
      <c r="B560" s="8" t="s">
        <v>528</v>
      </c>
      <c r="C560" s="2">
        <f t="shared" si="286"/>
        <v>2860000</v>
      </c>
      <c r="D560" s="3">
        <f t="shared" si="308"/>
        <v>0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11">
        <v>0</v>
      </c>
      <c r="L560" s="5">
        <v>0</v>
      </c>
      <c r="M560" s="5">
        <v>520</v>
      </c>
      <c r="N560" s="3">
        <f t="shared" si="309"/>
        <v>2860000</v>
      </c>
      <c r="O560" s="5">
        <v>0</v>
      </c>
      <c r="P560" s="5">
        <v>0</v>
      </c>
      <c r="Q560" s="5">
        <v>0</v>
      </c>
      <c r="R560" s="3">
        <f t="shared" si="306"/>
        <v>0</v>
      </c>
      <c r="S560" s="5">
        <v>0</v>
      </c>
      <c r="T560" s="5">
        <v>0</v>
      </c>
      <c r="U560" s="5">
        <v>0</v>
      </c>
      <c r="V560" s="6">
        <f t="shared" si="307"/>
        <v>5500</v>
      </c>
    </row>
    <row r="561" spans="1:22" ht="21.95" customHeight="1" x14ac:dyDescent="0.25">
      <c r="A561" s="40" t="s">
        <v>1287</v>
      </c>
      <c r="B561" s="8" t="s">
        <v>467</v>
      </c>
      <c r="C561" s="2">
        <f t="shared" si="286"/>
        <v>2860000</v>
      </c>
      <c r="D561" s="3">
        <f t="shared" si="308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4">
        <v>0</v>
      </c>
      <c r="L561" s="3">
        <v>0</v>
      </c>
      <c r="M561" s="3">
        <v>520</v>
      </c>
      <c r="N561" s="3">
        <f t="shared" si="309"/>
        <v>2860000</v>
      </c>
      <c r="O561" s="3">
        <v>0</v>
      </c>
      <c r="P561" s="3">
        <v>0</v>
      </c>
      <c r="Q561" s="3">
        <v>0</v>
      </c>
      <c r="R561" s="3">
        <f t="shared" si="306"/>
        <v>0</v>
      </c>
      <c r="S561" s="3">
        <v>0</v>
      </c>
      <c r="T561" s="5">
        <v>0</v>
      </c>
      <c r="U561" s="3">
        <v>0</v>
      </c>
      <c r="V561" s="6">
        <f t="shared" si="307"/>
        <v>5500</v>
      </c>
    </row>
    <row r="562" spans="1:22" ht="21.95" customHeight="1" x14ac:dyDescent="0.25">
      <c r="A562" s="40" t="s">
        <v>1288</v>
      </c>
      <c r="B562" s="8" t="s">
        <v>468</v>
      </c>
      <c r="C562" s="2">
        <f t="shared" si="286"/>
        <v>2860000</v>
      </c>
      <c r="D562" s="3">
        <f t="shared" si="308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4">
        <v>0</v>
      </c>
      <c r="L562" s="3">
        <v>0</v>
      </c>
      <c r="M562" s="3">
        <v>520</v>
      </c>
      <c r="N562" s="3">
        <f t="shared" si="309"/>
        <v>2860000</v>
      </c>
      <c r="O562" s="3">
        <v>0</v>
      </c>
      <c r="P562" s="3">
        <v>0</v>
      </c>
      <c r="Q562" s="3">
        <v>0</v>
      </c>
      <c r="R562" s="3">
        <f t="shared" si="306"/>
        <v>0</v>
      </c>
      <c r="S562" s="3">
        <v>0</v>
      </c>
      <c r="T562" s="5">
        <v>0</v>
      </c>
      <c r="U562" s="3">
        <v>0</v>
      </c>
      <c r="V562" s="6">
        <f t="shared" si="307"/>
        <v>5500</v>
      </c>
    </row>
    <row r="563" spans="1:22" ht="21.95" customHeight="1" x14ac:dyDescent="0.25">
      <c r="A563" s="40" t="s">
        <v>1289</v>
      </c>
      <c r="B563" s="8" t="s">
        <v>423</v>
      </c>
      <c r="C563" s="2">
        <f t="shared" si="286"/>
        <v>1815000</v>
      </c>
      <c r="D563" s="3">
        <f t="shared" si="308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4">
        <v>0</v>
      </c>
      <c r="L563" s="3">
        <v>0</v>
      </c>
      <c r="M563" s="3">
        <v>330</v>
      </c>
      <c r="N563" s="3">
        <f t="shared" si="309"/>
        <v>1815000</v>
      </c>
      <c r="O563" s="3">
        <v>0</v>
      </c>
      <c r="P563" s="3">
        <v>0</v>
      </c>
      <c r="Q563" s="3">
        <v>0</v>
      </c>
      <c r="R563" s="3">
        <f t="shared" si="306"/>
        <v>0</v>
      </c>
      <c r="S563" s="3">
        <v>0</v>
      </c>
      <c r="T563" s="5">
        <v>0</v>
      </c>
      <c r="U563" s="3">
        <v>0</v>
      </c>
      <c r="V563" s="6">
        <f t="shared" si="307"/>
        <v>5500</v>
      </c>
    </row>
    <row r="564" spans="1:22" ht="21.95" customHeight="1" x14ac:dyDescent="0.25">
      <c r="A564" s="40" t="s">
        <v>1290</v>
      </c>
      <c r="B564" s="8" t="s">
        <v>531</v>
      </c>
      <c r="C564" s="2">
        <f t="shared" si="286"/>
        <v>2743950</v>
      </c>
      <c r="D564" s="3">
        <f t="shared" si="308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1">
        <v>0</v>
      </c>
      <c r="L564" s="5">
        <v>0</v>
      </c>
      <c r="M564" s="5">
        <v>498.9</v>
      </c>
      <c r="N564" s="3">
        <f t="shared" si="309"/>
        <v>2743950</v>
      </c>
      <c r="O564" s="5">
        <v>0</v>
      </c>
      <c r="P564" s="5">
        <v>0</v>
      </c>
      <c r="Q564" s="5">
        <v>0</v>
      </c>
      <c r="R564" s="3">
        <f t="shared" si="306"/>
        <v>0</v>
      </c>
      <c r="S564" s="5">
        <v>0</v>
      </c>
      <c r="T564" s="5">
        <v>0</v>
      </c>
      <c r="U564" s="5">
        <v>0</v>
      </c>
      <c r="V564" s="6">
        <f t="shared" si="307"/>
        <v>5500</v>
      </c>
    </row>
    <row r="565" spans="1:22" ht="21.95" customHeight="1" x14ac:dyDescent="0.25">
      <c r="A565" s="40" t="s">
        <v>1291</v>
      </c>
      <c r="B565" s="8" t="s">
        <v>482</v>
      </c>
      <c r="C565" s="2">
        <f t="shared" si="286"/>
        <v>6966070.2599999998</v>
      </c>
      <c r="D565" s="3">
        <f t="shared" ref="D565" si="310">SUM(E565:J565)</f>
        <v>6966070.2599999998</v>
      </c>
      <c r="E565" s="3">
        <v>1011850.5</v>
      </c>
      <c r="F565" s="3">
        <v>3377227.08</v>
      </c>
      <c r="G565" s="3">
        <v>833317.14</v>
      </c>
      <c r="H565" s="3">
        <v>1144690.68</v>
      </c>
      <c r="I565" s="3">
        <v>598984.86</v>
      </c>
      <c r="J565" s="3">
        <f>350*0</f>
        <v>0</v>
      </c>
      <c r="K565" s="4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6" t="e">
        <f t="shared" si="307"/>
        <v>#DIV/0!</v>
      </c>
    </row>
    <row r="566" spans="1:22" ht="21.95" customHeight="1" x14ac:dyDescent="0.25">
      <c r="A566" s="40" t="s">
        <v>1292</v>
      </c>
      <c r="B566" s="8" t="s">
        <v>605</v>
      </c>
      <c r="C566" s="2">
        <f t="shared" si="286"/>
        <v>3133380</v>
      </c>
      <c r="D566" s="3">
        <f t="shared" si="308"/>
        <v>3033380</v>
      </c>
      <c r="E566" s="3">
        <f>350*1290.8</f>
        <v>451780</v>
      </c>
      <c r="F566" s="3">
        <f>1050*1290.8</f>
        <v>1355340</v>
      </c>
      <c r="G566" s="3">
        <f>300*1290.8</f>
        <v>387240</v>
      </c>
      <c r="H566" s="3">
        <f>400*1290.8</f>
        <v>516320</v>
      </c>
      <c r="I566" s="3">
        <f>250*1290.8</f>
        <v>322700</v>
      </c>
      <c r="J566" s="3">
        <f>350*0</f>
        <v>0</v>
      </c>
      <c r="K566" s="11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3">
        <f t="shared" si="306"/>
        <v>0</v>
      </c>
      <c r="S566" s="5">
        <v>0</v>
      </c>
      <c r="T566" s="5">
        <v>0</v>
      </c>
      <c r="U566" s="5">
        <v>100000</v>
      </c>
      <c r="V566" s="6" t="e">
        <f t="shared" si="307"/>
        <v>#DIV/0!</v>
      </c>
    </row>
    <row r="567" spans="1:22" ht="21.95" customHeight="1" x14ac:dyDescent="0.25">
      <c r="A567" s="40" t="s">
        <v>1293</v>
      </c>
      <c r="B567" s="8" t="s">
        <v>532</v>
      </c>
      <c r="C567" s="2">
        <f t="shared" si="286"/>
        <v>4554000</v>
      </c>
      <c r="D567" s="3">
        <f t="shared" si="308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1">
        <v>0</v>
      </c>
      <c r="L567" s="5">
        <v>0</v>
      </c>
      <c r="M567" s="5">
        <v>828</v>
      </c>
      <c r="N567" s="3">
        <f t="shared" ref="N567:N581" si="311">M567*5500</f>
        <v>4554000</v>
      </c>
      <c r="O567" s="5">
        <v>0</v>
      </c>
      <c r="P567" s="5">
        <v>0</v>
      </c>
      <c r="Q567" s="5">
        <v>0</v>
      </c>
      <c r="R567" s="3">
        <f t="shared" si="306"/>
        <v>0</v>
      </c>
      <c r="S567" s="5">
        <v>0</v>
      </c>
      <c r="T567" s="5">
        <v>0</v>
      </c>
      <c r="U567" s="5">
        <v>0</v>
      </c>
      <c r="V567" s="6">
        <f t="shared" si="307"/>
        <v>5500</v>
      </c>
    </row>
    <row r="568" spans="1:22" ht="21.95" customHeight="1" x14ac:dyDescent="0.25">
      <c r="A568" s="40" t="s">
        <v>1294</v>
      </c>
      <c r="B568" s="23" t="s">
        <v>533</v>
      </c>
      <c r="C568" s="2">
        <f t="shared" si="286"/>
        <v>1496000</v>
      </c>
      <c r="D568" s="3">
        <f t="shared" si="308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1">
        <v>0</v>
      </c>
      <c r="L568" s="5">
        <v>0</v>
      </c>
      <c r="M568" s="5">
        <v>272</v>
      </c>
      <c r="N568" s="3">
        <f t="shared" si="311"/>
        <v>1496000</v>
      </c>
      <c r="O568" s="5">
        <v>0</v>
      </c>
      <c r="P568" s="5">
        <v>0</v>
      </c>
      <c r="Q568" s="5">
        <v>0</v>
      </c>
      <c r="R568" s="3">
        <f t="shared" si="306"/>
        <v>0</v>
      </c>
      <c r="S568" s="5">
        <v>0</v>
      </c>
      <c r="T568" s="5">
        <v>0</v>
      </c>
      <c r="U568" s="5">
        <v>0</v>
      </c>
      <c r="V568" s="6">
        <f t="shared" si="307"/>
        <v>5500</v>
      </c>
    </row>
    <row r="569" spans="1:22" ht="21.95" customHeight="1" x14ac:dyDescent="0.25">
      <c r="A569" s="40" t="s">
        <v>1295</v>
      </c>
      <c r="B569" s="24" t="s">
        <v>1390</v>
      </c>
      <c r="C569" s="2">
        <f>D569+L569+N569+P569+R569+S569+T569+U569</f>
        <v>1484400</v>
      </c>
      <c r="D569" s="3">
        <f>SUM(E569:J569)</f>
        <v>1484400</v>
      </c>
      <c r="E569" s="3">
        <v>0</v>
      </c>
      <c r="F569" s="3">
        <v>0</v>
      </c>
      <c r="G569" s="3">
        <v>0</v>
      </c>
      <c r="H569" s="3">
        <v>0</v>
      </c>
      <c r="I569" s="3">
        <f>400*3711</f>
        <v>1484400</v>
      </c>
      <c r="J569" s="3">
        <f>350*0</f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5">
        <v>0</v>
      </c>
      <c r="S569" s="3">
        <v>0</v>
      </c>
      <c r="T569" s="3">
        <v>0</v>
      </c>
      <c r="U569" s="3">
        <v>0</v>
      </c>
      <c r="V569" s="6" t="e">
        <f>N569/M569</f>
        <v>#DIV/0!</v>
      </c>
    </row>
    <row r="570" spans="1:22" ht="21.95" customHeight="1" x14ac:dyDescent="0.25">
      <c r="A570" s="40" t="s">
        <v>1296</v>
      </c>
      <c r="B570" s="24" t="s">
        <v>1372</v>
      </c>
      <c r="C570" s="2">
        <f>D570+L570+N570+P570+R570+S570+T570+U570</f>
        <v>7856559.2000000002</v>
      </c>
      <c r="D570" s="3">
        <f>SUM(E570:J570)</f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4">
        <v>0</v>
      </c>
      <c r="L570" s="3">
        <v>0</v>
      </c>
      <c r="M570" s="3">
        <v>553.39</v>
      </c>
      <c r="N570" s="3">
        <f>M570*5500</f>
        <v>3043645</v>
      </c>
      <c r="O570" s="3">
        <v>0</v>
      </c>
      <c r="P570" s="3">
        <v>0</v>
      </c>
      <c r="Q570" s="3">
        <v>1400</v>
      </c>
      <c r="R570" s="5">
        <f>Q570*3000</f>
        <v>4200000</v>
      </c>
      <c r="S570" s="3">
        <v>0</v>
      </c>
      <c r="T570" s="3">
        <v>0</v>
      </c>
      <c r="U570" s="3">
        <v>612914.19999999995</v>
      </c>
      <c r="V570" s="6">
        <f>N570/M570</f>
        <v>5500</v>
      </c>
    </row>
    <row r="571" spans="1:22" ht="21.95" customHeight="1" x14ac:dyDescent="0.25">
      <c r="A571" s="40" t="s">
        <v>1297</v>
      </c>
      <c r="B571" s="23" t="s">
        <v>395</v>
      </c>
      <c r="C571" s="2">
        <f t="shared" si="286"/>
        <v>2467300</v>
      </c>
      <c r="D571" s="3">
        <f t="shared" si="308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4">
        <v>0</v>
      </c>
      <c r="L571" s="3">
        <v>0</v>
      </c>
      <c r="M571" s="3">
        <v>448.6</v>
      </c>
      <c r="N571" s="3">
        <f t="shared" si="311"/>
        <v>2467300</v>
      </c>
      <c r="O571" s="3">
        <v>0</v>
      </c>
      <c r="P571" s="3">
        <v>0</v>
      </c>
      <c r="Q571" s="3">
        <v>0</v>
      </c>
      <c r="R571" s="3">
        <f t="shared" si="306"/>
        <v>0</v>
      </c>
      <c r="S571" s="3">
        <v>0</v>
      </c>
      <c r="T571" s="5">
        <v>0</v>
      </c>
      <c r="U571" s="3">
        <v>0</v>
      </c>
      <c r="V571" s="6">
        <f t="shared" si="307"/>
        <v>5500</v>
      </c>
    </row>
    <row r="572" spans="1:22" ht="21.95" customHeight="1" x14ac:dyDescent="0.25">
      <c r="A572" s="40" t="s">
        <v>1298</v>
      </c>
      <c r="B572" s="8" t="s">
        <v>389</v>
      </c>
      <c r="C572" s="2">
        <f t="shared" si="286"/>
        <v>1888150</v>
      </c>
      <c r="D572" s="3">
        <f t="shared" si="308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4">
        <v>0</v>
      </c>
      <c r="L572" s="3">
        <v>0</v>
      </c>
      <c r="M572" s="3">
        <v>343.3</v>
      </c>
      <c r="N572" s="3">
        <f t="shared" si="311"/>
        <v>1888150</v>
      </c>
      <c r="O572" s="3">
        <v>0</v>
      </c>
      <c r="P572" s="3">
        <v>0</v>
      </c>
      <c r="Q572" s="3">
        <v>0</v>
      </c>
      <c r="R572" s="3">
        <f t="shared" si="306"/>
        <v>0</v>
      </c>
      <c r="S572" s="3">
        <v>0</v>
      </c>
      <c r="T572" s="5">
        <v>0</v>
      </c>
      <c r="U572" s="3">
        <v>0</v>
      </c>
      <c r="V572" s="6">
        <f t="shared" si="307"/>
        <v>5500</v>
      </c>
    </row>
    <row r="573" spans="1:22" ht="21.95" customHeight="1" x14ac:dyDescent="0.25">
      <c r="A573" s="40" t="s">
        <v>1299</v>
      </c>
      <c r="B573" s="8" t="s">
        <v>534</v>
      </c>
      <c r="C573" s="2">
        <f t="shared" si="286"/>
        <v>5111385</v>
      </c>
      <c r="D573" s="3">
        <f t="shared" si="308"/>
        <v>2190435</v>
      </c>
      <c r="E573" s="3">
        <f>350*932.1</f>
        <v>326235</v>
      </c>
      <c r="F573" s="3">
        <f>1050*932.1</f>
        <v>978705</v>
      </c>
      <c r="G573" s="3">
        <f>300*932.1</f>
        <v>279630</v>
      </c>
      <c r="H573" s="3">
        <f>400*932.1</f>
        <v>372840</v>
      </c>
      <c r="I573" s="3">
        <f>250*932.1</f>
        <v>233025</v>
      </c>
      <c r="J573" s="3">
        <f>350*0</f>
        <v>0</v>
      </c>
      <c r="K573" s="11">
        <v>0</v>
      </c>
      <c r="L573" s="5">
        <v>0</v>
      </c>
      <c r="M573" s="5">
        <v>512.9</v>
      </c>
      <c r="N573" s="3">
        <f t="shared" si="311"/>
        <v>2820950</v>
      </c>
      <c r="O573" s="5">
        <v>0</v>
      </c>
      <c r="P573" s="5">
        <v>0</v>
      </c>
      <c r="Q573" s="5">
        <v>0</v>
      </c>
      <c r="R573" s="3">
        <f t="shared" si="306"/>
        <v>0</v>
      </c>
      <c r="S573" s="5">
        <v>0</v>
      </c>
      <c r="T573" s="5">
        <v>0</v>
      </c>
      <c r="U573" s="5">
        <v>100000</v>
      </c>
      <c r="V573" s="6">
        <f t="shared" si="307"/>
        <v>5500</v>
      </c>
    </row>
    <row r="574" spans="1:22" ht="21.95" customHeight="1" x14ac:dyDescent="0.25">
      <c r="A574" s="40" t="s">
        <v>1300</v>
      </c>
      <c r="B574" s="8" t="s">
        <v>535</v>
      </c>
      <c r="C574" s="2">
        <f t="shared" si="286"/>
        <v>1595000</v>
      </c>
      <c r="D574" s="3">
        <f t="shared" si="308"/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11">
        <v>0</v>
      </c>
      <c r="L574" s="5">
        <v>0</v>
      </c>
      <c r="M574" s="5">
        <v>290</v>
      </c>
      <c r="N574" s="3">
        <f t="shared" si="311"/>
        <v>1595000</v>
      </c>
      <c r="O574" s="5">
        <v>0</v>
      </c>
      <c r="P574" s="5">
        <v>0</v>
      </c>
      <c r="Q574" s="5">
        <v>0</v>
      </c>
      <c r="R574" s="3">
        <f t="shared" si="306"/>
        <v>0</v>
      </c>
      <c r="S574" s="5">
        <v>0</v>
      </c>
      <c r="T574" s="5">
        <v>0</v>
      </c>
      <c r="U574" s="5">
        <v>0</v>
      </c>
      <c r="V574" s="6">
        <f t="shared" si="307"/>
        <v>5500</v>
      </c>
    </row>
    <row r="575" spans="1:22" ht="21.95" customHeight="1" x14ac:dyDescent="0.25">
      <c r="A575" s="40" t="s">
        <v>1301</v>
      </c>
      <c r="B575" s="24" t="s">
        <v>1379</v>
      </c>
      <c r="C575" s="2">
        <f>D575+L575+N575+P575+R575+S575+T575+U575</f>
        <v>3547000</v>
      </c>
      <c r="D575" s="3">
        <f>SUM(E575:J575)</f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4">
        <v>0</v>
      </c>
      <c r="L575" s="3">
        <v>0</v>
      </c>
      <c r="M575" s="3">
        <v>554</v>
      </c>
      <c r="N575" s="3">
        <f>M575*5500</f>
        <v>3047000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500000</v>
      </c>
      <c r="V575" s="6">
        <f>N575/M575</f>
        <v>5500</v>
      </c>
    </row>
    <row r="576" spans="1:22" ht="21.95" customHeight="1" x14ac:dyDescent="0.25">
      <c r="A576" s="40" t="s">
        <v>1302</v>
      </c>
      <c r="B576" s="8" t="s">
        <v>403</v>
      </c>
      <c r="C576" s="2">
        <f>D576+L576+N576+P576+R576+S576+T576+U576</f>
        <v>1754040</v>
      </c>
      <c r="D576" s="3">
        <f>SUM(E576:J576)</f>
        <v>1754040</v>
      </c>
      <c r="E576" s="3">
        <f>350*746.4</f>
        <v>261240</v>
      </c>
      <c r="F576" s="3">
        <f>800*746.4</f>
        <v>597120</v>
      </c>
      <c r="G576" s="3">
        <f>300*746.4</f>
        <v>223920</v>
      </c>
      <c r="H576" s="3">
        <f>500*746.4</f>
        <v>373200</v>
      </c>
      <c r="I576" s="3">
        <f>400*746.4</f>
        <v>298560</v>
      </c>
      <c r="J576" s="3">
        <f>350*0</f>
        <v>0</v>
      </c>
      <c r="K576" s="4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6" t="e">
        <f>N576/M576</f>
        <v>#DIV/0!</v>
      </c>
    </row>
    <row r="577" spans="1:22" ht="21.95" customHeight="1" x14ac:dyDescent="0.25">
      <c r="A577" s="40" t="s">
        <v>1303</v>
      </c>
      <c r="B577" s="24" t="s">
        <v>1405</v>
      </c>
      <c r="C577" s="2">
        <f>D577+L577+N577+P577+R577+S577+T577+U577</f>
        <v>2964500</v>
      </c>
      <c r="D577" s="3">
        <f>SUM(E577:J577)</f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4">
        <v>0</v>
      </c>
      <c r="L577" s="3">
        <v>0</v>
      </c>
      <c r="M577" s="3">
        <v>539</v>
      </c>
      <c r="N577" s="3">
        <f>M577*5500</f>
        <v>2964500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6">
        <f>N577/M577</f>
        <v>5500</v>
      </c>
    </row>
    <row r="578" spans="1:22" ht="21.95" customHeight="1" x14ac:dyDescent="0.25">
      <c r="A578" s="40" t="s">
        <v>1304</v>
      </c>
      <c r="B578" s="8" t="s">
        <v>398</v>
      </c>
      <c r="C578" s="2">
        <f t="shared" ref="C578:C579" si="312">D578+L578+N578+P578+R578+S578+T578+U578</f>
        <v>5485620</v>
      </c>
      <c r="D578" s="3">
        <f t="shared" ref="D578:D579" si="313">SUM(E578:J578)</f>
        <v>5485620</v>
      </c>
      <c r="E578" s="3">
        <f>350*2965.2</f>
        <v>1037819.9999999999</v>
      </c>
      <c r="F578" s="3">
        <f>800*2965.2</f>
        <v>2372160</v>
      </c>
      <c r="G578" s="3">
        <f>300*2965.2</f>
        <v>889560</v>
      </c>
      <c r="H578" s="3">
        <f>500*0</f>
        <v>0</v>
      </c>
      <c r="I578" s="3">
        <f>400*2965.2</f>
        <v>1186080</v>
      </c>
      <c r="J578" s="3">
        <f>350*0</f>
        <v>0</v>
      </c>
      <c r="K578" s="4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6" t="e">
        <f t="shared" ref="V578:V579" si="314">N578/M578</f>
        <v>#DIV/0!</v>
      </c>
    </row>
    <row r="579" spans="1:22" ht="21.95" customHeight="1" x14ac:dyDescent="0.25">
      <c r="A579" s="40" t="s">
        <v>1305</v>
      </c>
      <c r="B579" s="8" t="s">
        <v>392</v>
      </c>
      <c r="C579" s="2">
        <f t="shared" si="312"/>
        <v>3433350</v>
      </c>
      <c r="D579" s="3">
        <f t="shared" si="313"/>
        <v>3433350</v>
      </c>
      <c r="E579" s="3">
        <f>350*1461</f>
        <v>511350</v>
      </c>
      <c r="F579" s="3">
        <f>800*1461</f>
        <v>1168800</v>
      </c>
      <c r="G579" s="3">
        <f>300*1461</f>
        <v>438300</v>
      </c>
      <c r="H579" s="3">
        <f>500*1461</f>
        <v>730500</v>
      </c>
      <c r="I579" s="3">
        <f>400*1461</f>
        <v>584400</v>
      </c>
      <c r="J579" s="3">
        <f>350*0</f>
        <v>0</v>
      </c>
      <c r="K579" s="4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6" t="e">
        <f t="shared" si="314"/>
        <v>#DIV/0!</v>
      </c>
    </row>
    <row r="580" spans="1:22" ht="21.95" customHeight="1" x14ac:dyDescent="0.25">
      <c r="A580" s="40" t="s">
        <v>1306</v>
      </c>
      <c r="B580" s="8" t="s">
        <v>607</v>
      </c>
      <c r="C580" s="2">
        <f t="shared" si="286"/>
        <v>1419000</v>
      </c>
      <c r="D580" s="3">
        <f t="shared" si="308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11">
        <v>0</v>
      </c>
      <c r="L580" s="5">
        <v>0</v>
      </c>
      <c r="M580" s="5">
        <v>258</v>
      </c>
      <c r="N580" s="3">
        <f t="shared" si="311"/>
        <v>1419000</v>
      </c>
      <c r="O580" s="5">
        <v>0</v>
      </c>
      <c r="P580" s="5">
        <v>0</v>
      </c>
      <c r="Q580" s="5">
        <v>0</v>
      </c>
      <c r="R580" s="3">
        <f t="shared" si="306"/>
        <v>0</v>
      </c>
      <c r="S580" s="5">
        <v>0</v>
      </c>
      <c r="T580" s="5">
        <v>0</v>
      </c>
      <c r="U580" s="5">
        <v>0</v>
      </c>
      <c r="V580" s="6">
        <f t="shared" si="307"/>
        <v>5500</v>
      </c>
    </row>
    <row r="581" spans="1:22" ht="21.95" customHeight="1" x14ac:dyDescent="0.25">
      <c r="A581" s="40" t="s">
        <v>1560</v>
      </c>
      <c r="B581" s="8" t="s">
        <v>537</v>
      </c>
      <c r="C581" s="2">
        <f t="shared" si="286"/>
        <v>1392050</v>
      </c>
      <c r="D581" s="3">
        <f t="shared" si="308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11">
        <v>0</v>
      </c>
      <c r="L581" s="5">
        <v>0</v>
      </c>
      <c r="M581" s="5">
        <v>253.1</v>
      </c>
      <c r="N581" s="3">
        <f t="shared" si="311"/>
        <v>1392050</v>
      </c>
      <c r="O581" s="5">
        <v>0</v>
      </c>
      <c r="P581" s="5">
        <v>0</v>
      </c>
      <c r="Q581" s="5">
        <v>0</v>
      </c>
      <c r="R581" s="3">
        <f t="shared" si="306"/>
        <v>0</v>
      </c>
      <c r="S581" s="5">
        <v>0</v>
      </c>
      <c r="T581" s="5">
        <v>0</v>
      </c>
      <c r="U581" s="5">
        <v>0</v>
      </c>
      <c r="V581" s="6">
        <f t="shared" si="307"/>
        <v>5500</v>
      </c>
    </row>
    <row r="582" spans="1:22" ht="21.95" customHeight="1" x14ac:dyDescent="0.25">
      <c r="A582" s="40" t="s">
        <v>1307</v>
      </c>
      <c r="B582" s="8" t="s">
        <v>538</v>
      </c>
      <c r="C582" s="2">
        <f t="shared" si="286"/>
        <v>1364000</v>
      </c>
      <c r="D582" s="3">
        <f t="shared" si="308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11">
        <v>0</v>
      </c>
      <c r="L582" s="5">
        <v>0</v>
      </c>
      <c r="M582" s="5">
        <v>248</v>
      </c>
      <c r="N582" s="3">
        <f t="shared" ref="N582:N599" si="315">M582*5500</f>
        <v>1364000</v>
      </c>
      <c r="O582" s="5">
        <v>0</v>
      </c>
      <c r="P582" s="5">
        <v>0</v>
      </c>
      <c r="Q582" s="5">
        <v>0</v>
      </c>
      <c r="R582" s="3">
        <f t="shared" si="306"/>
        <v>0</v>
      </c>
      <c r="S582" s="5">
        <v>0</v>
      </c>
      <c r="T582" s="5">
        <v>0</v>
      </c>
      <c r="U582" s="5">
        <v>0</v>
      </c>
      <c r="V582" s="6">
        <f t="shared" si="307"/>
        <v>5500</v>
      </c>
    </row>
    <row r="583" spans="1:22" ht="21.95" customHeight="1" x14ac:dyDescent="0.25">
      <c r="A583" s="40" t="s">
        <v>1308</v>
      </c>
      <c r="B583" s="8" t="s">
        <v>539</v>
      </c>
      <c r="C583" s="2">
        <f t="shared" si="286"/>
        <v>1364000</v>
      </c>
      <c r="D583" s="3">
        <f t="shared" si="308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11">
        <v>0</v>
      </c>
      <c r="L583" s="5">
        <v>0</v>
      </c>
      <c r="M583" s="5">
        <v>248</v>
      </c>
      <c r="N583" s="3">
        <f t="shared" si="315"/>
        <v>1364000</v>
      </c>
      <c r="O583" s="5">
        <v>0</v>
      </c>
      <c r="P583" s="5">
        <v>0</v>
      </c>
      <c r="Q583" s="5">
        <v>0</v>
      </c>
      <c r="R583" s="3">
        <f t="shared" si="306"/>
        <v>0</v>
      </c>
      <c r="S583" s="5">
        <v>0</v>
      </c>
      <c r="T583" s="5">
        <v>0</v>
      </c>
      <c r="U583" s="5">
        <v>0</v>
      </c>
      <c r="V583" s="6">
        <f t="shared" si="307"/>
        <v>5500</v>
      </c>
    </row>
    <row r="584" spans="1:22" ht="21.95" customHeight="1" x14ac:dyDescent="0.25">
      <c r="A584" s="40" t="s">
        <v>1561</v>
      </c>
      <c r="B584" s="8" t="s">
        <v>536</v>
      </c>
      <c r="C584" s="2">
        <f>D584+L584+N584+P584+R584+S584+T584+U584</f>
        <v>2205500</v>
      </c>
      <c r="D584" s="3">
        <f>SUM(E584:J584)</f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11">
        <v>0</v>
      </c>
      <c r="L584" s="5">
        <v>0</v>
      </c>
      <c r="M584" s="5">
        <v>401</v>
      </c>
      <c r="N584" s="3">
        <f>M584*5500</f>
        <v>2205500</v>
      </c>
      <c r="O584" s="5">
        <v>0</v>
      </c>
      <c r="P584" s="5">
        <v>0</v>
      </c>
      <c r="Q584" s="5">
        <v>0</v>
      </c>
      <c r="R584" s="3">
        <f>Q584*3000</f>
        <v>0</v>
      </c>
      <c r="S584" s="5">
        <v>0</v>
      </c>
      <c r="T584" s="5">
        <v>0</v>
      </c>
      <c r="U584" s="5">
        <v>0</v>
      </c>
      <c r="V584" s="6">
        <f>N584/M584</f>
        <v>5500</v>
      </c>
    </row>
    <row r="585" spans="1:22" ht="21.95" customHeight="1" x14ac:dyDescent="0.25">
      <c r="A585" s="40" t="s">
        <v>1309</v>
      </c>
      <c r="B585" s="8" t="s">
        <v>606</v>
      </c>
      <c r="C585" s="2">
        <f>D585+L585+N585+P585+R585+S585+T585+U585</f>
        <v>4933500</v>
      </c>
      <c r="D585" s="3">
        <f>SUM(E585:J585)</f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11">
        <v>0</v>
      </c>
      <c r="L585" s="5">
        <v>0</v>
      </c>
      <c r="M585" s="5">
        <v>897</v>
      </c>
      <c r="N585" s="3">
        <f>M585*5500</f>
        <v>4933500</v>
      </c>
      <c r="O585" s="5">
        <v>0</v>
      </c>
      <c r="P585" s="5">
        <v>0</v>
      </c>
      <c r="Q585" s="5">
        <v>0</v>
      </c>
      <c r="R585" s="3">
        <f>Q585*3000</f>
        <v>0</v>
      </c>
      <c r="S585" s="5">
        <v>0</v>
      </c>
      <c r="T585" s="5">
        <v>0</v>
      </c>
      <c r="U585" s="5">
        <v>0</v>
      </c>
      <c r="V585" s="6">
        <f>N585/M585</f>
        <v>5500</v>
      </c>
    </row>
    <row r="586" spans="1:22" ht="21.95" customHeight="1" x14ac:dyDescent="0.25">
      <c r="A586" s="40" t="s">
        <v>1310</v>
      </c>
      <c r="B586" s="23" t="s">
        <v>608</v>
      </c>
      <c r="C586" s="2">
        <f t="shared" si="286"/>
        <v>4125000</v>
      </c>
      <c r="D586" s="3">
        <f t="shared" si="308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11">
        <v>0</v>
      </c>
      <c r="L586" s="5">
        <v>0</v>
      </c>
      <c r="M586" s="5">
        <v>750</v>
      </c>
      <c r="N586" s="3">
        <f t="shared" si="315"/>
        <v>4125000</v>
      </c>
      <c r="O586" s="5">
        <v>0</v>
      </c>
      <c r="P586" s="5">
        <v>0</v>
      </c>
      <c r="Q586" s="5">
        <v>0</v>
      </c>
      <c r="R586" s="3">
        <f t="shared" si="306"/>
        <v>0</v>
      </c>
      <c r="S586" s="5">
        <v>0</v>
      </c>
      <c r="T586" s="5">
        <v>0</v>
      </c>
      <c r="U586" s="5">
        <v>0</v>
      </c>
      <c r="V586" s="6">
        <f t="shared" si="307"/>
        <v>5500</v>
      </c>
    </row>
    <row r="587" spans="1:22" ht="21.95" customHeight="1" x14ac:dyDescent="0.25">
      <c r="A587" s="40" t="s">
        <v>1311</v>
      </c>
      <c r="B587" s="23" t="s">
        <v>609</v>
      </c>
      <c r="C587" s="2">
        <f t="shared" si="286"/>
        <v>1221000</v>
      </c>
      <c r="D587" s="3">
        <f t="shared" si="308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11">
        <v>0</v>
      </c>
      <c r="L587" s="5">
        <v>0</v>
      </c>
      <c r="M587" s="5">
        <v>222</v>
      </c>
      <c r="N587" s="3">
        <f t="shared" si="315"/>
        <v>1221000</v>
      </c>
      <c r="O587" s="5">
        <v>0</v>
      </c>
      <c r="P587" s="5">
        <v>0</v>
      </c>
      <c r="Q587" s="5">
        <v>0</v>
      </c>
      <c r="R587" s="3">
        <f t="shared" si="306"/>
        <v>0</v>
      </c>
      <c r="S587" s="5">
        <v>0</v>
      </c>
      <c r="T587" s="5">
        <v>0</v>
      </c>
      <c r="U587" s="5">
        <v>0</v>
      </c>
      <c r="V587" s="6">
        <f t="shared" si="307"/>
        <v>5500</v>
      </c>
    </row>
    <row r="588" spans="1:22" ht="21.95" customHeight="1" x14ac:dyDescent="0.25">
      <c r="A588" s="40" t="s">
        <v>1312</v>
      </c>
      <c r="B588" s="23" t="s">
        <v>610</v>
      </c>
      <c r="C588" s="2">
        <f t="shared" si="286"/>
        <v>1941500</v>
      </c>
      <c r="D588" s="3">
        <f t="shared" si="308"/>
        <v>0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11">
        <v>0</v>
      </c>
      <c r="L588" s="5">
        <v>0</v>
      </c>
      <c r="M588" s="5">
        <v>353</v>
      </c>
      <c r="N588" s="3">
        <f t="shared" si="315"/>
        <v>1941500</v>
      </c>
      <c r="O588" s="5">
        <v>0</v>
      </c>
      <c r="P588" s="5">
        <v>0</v>
      </c>
      <c r="Q588" s="5">
        <v>0</v>
      </c>
      <c r="R588" s="3">
        <f t="shared" si="306"/>
        <v>0</v>
      </c>
      <c r="S588" s="5">
        <v>0</v>
      </c>
      <c r="T588" s="5">
        <v>0</v>
      </c>
      <c r="U588" s="5">
        <v>0</v>
      </c>
      <c r="V588" s="6">
        <f t="shared" si="307"/>
        <v>5500</v>
      </c>
    </row>
    <row r="589" spans="1:22" ht="21.95" customHeight="1" x14ac:dyDescent="0.25">
      <c r="A589" s="40" t="s">
        <v>1313</v>
      </c>
      <c r="B589" s="8" t="s">
        <v>540</v>
      </c>
      <c r="C589" s="2">
        <f t="shared" si="286"/>
        <v>1995400</v>
      </c>
      <c r="D589" s="3">
        <f t="shared" si="308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1">
        <v>0</v>
      </c>
      <c r="L589" s="5">
        <v>0</v>
      </c>
      <c r="M589" s="5">
        <v>362.8</v>
      </c>
      <c r="N589" s="3">
        <f t="shared" si="315"/>
        <v>1995400</v>
      </c>
      <c r="O589" s="5">
        <v>0</v>
      </c>
      <c r="P589" s="5">
        <v>0</v>
      </c>
      <c r="Q589" s="5">
        <v>0</v>
      </c>
      <c r="R589" s="3">
        <f t="shared" si="306"/>
        <v>0</v>
      </c>
      <c r="S589" s="5">
        <v>0</v>
      </c>
      <c r="T589" s="5">
        <v>0</v>
      </c>
      <c r="U589" s="5">
        <v>0</v>
      </c>
      <c r="V589" s="6">
        <f t="shared" si="307"/>
        <v>5500</v>
      </c>
    </row>
    <row r="590" spans="1:22" ht="21.95" customHeight="1" x14ac:dyDescent="0.25">
      <c r="A590" s="40" t="s">
        <v>1314</v>
      </c>
      <c r="B590" s="8" t="s">
        <v>611</v>
      </c>
      <c r="C590" s="2">
        <f t="shared" ref="C590:C671" si="316">D590+L590+N590+P590+R590+S590+T590+U590</f>
        <v>1534500</v>
      </c>
      <c r="D590" s="3">
        <f t="shared" si="308"/>
        <v>0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11">
        <v>0</v>
      </c>
      <c r="L590" s="5">
        <v>0</v>
      </c>
      <c r="M590" s="5">
        <v>279</v>
      </c>
      <c r="N590" s="3">
        <f t="shared" si="315"/>
        <v>1534500</v>
      </c>
      <c r="O590" s="5">
        <v>0</v>
      </c>
      <c r="P590" s="5">
        <v>0</v>
      </c>
      <c r="Q590" s="5">
        <v>0</v>
      </c>
      <c r="R590" s="3">
        <f t="shared" si="306"/>
        <v>0</v>
      </c>
      <c r="S590" s="5">
        <v>0</v>
      </c>
      <c r="T590" s="5">
        <v>0</v>
      </c>
      <c r="U590" s="5">
        <v>0</v>
      </c>
      <c r="V590" s="6">
        <f t="shared" si="307"/>
        <v>5500</v>
      </c>
    </row>
    <row r="591" spans="1:22" ht="21.95" customHeight="1" x14ac:dyDescent="0.25">
      <c r="A591" s="40" t="s">
        <v>1315</v>
      </c>
      <c r="B591" s="8" t="s">
        <v>541</v>
      </c>
      <c r="C591" s="2">
        <f t="shared" si="316"/>
        <v>1529000</v>
      </c>
      <c r="D591" s="3">
        <f t="shared" si="308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11">
        <v>0</v>
      </c>
      <c r="L591" s="5">
        <v>0</v>
      </c>
      <c r="M591" s="5">
        <v>278</v>
      </c>
      <c r="N591" s="3">
        <f t="shared" si="315"/>
        <v>1529000</v>
      </c>
      <c r="O591" s="5">
        <v>0</v>
      </c>
      <c r="P591" s="5">
        <v>0</v>
      </c>
      <c r="Q591" s="5">
        <v>0</v>
      </c>
      <c r="R591" s="3">
        <f t="shared" si="306"/>
        <v>0</v>
      </c>
      <c r="S591" s="5">
        <v>0</v>
      </c>
      <c r="T591" s="5">
        <v>0</v>
      </c>
      <c r="U591" s="5">
        <v>0</v>
      </c>
      <c r="V591" s="6">
        <f t="shared" si="307"/>
        <v>5500</v>
      </c>
    </row>
    <row r="592" spans="1:22" ht="21.95" customHeight="1" x14ac:dyDescent="0.25">
      <c r="A592" s="40" t="s">
        <v>1316</v>
      </c>
      <c r="B592" s="8" t="s">
        <v>612</v>
      </c>
      <c r="C592" s="2">
        <f t="shared" si="316"/>
        <v>4515500</v>
      </c>
      <c r="D592" s="3">
        <f t="shared" si="308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1">
        <v>0</v>
      </c>
      <c r="L592" s="5">
        <v>0</v>
      </c>
      <c r="M592" s="5">
        <v>821</v>
      </c>
      <c r="N592" s="3">
        <f t="shared" si="315"/>
        <v>4515500</v>
      </c>
      <c r="O592" s="5">
        <v>0</v>
      </c>
      <c r="P592" s="5">
        <v>0</v>
      </c>
      <c r="Q592" s="5">
        <v>0</v>
      </c>
      <c r="R592" s="3">
        <f t="shared" si="306"/>
        <v>0</v>
      </c>
      <c r="S592" s="5">
        <v>0</v>
      </c>
      <c r="T592" s="5">
        <v>0</v>
      </c>
      <c r="U592" s="5">
        <v>0</v>
      </c>
      <c r="V592" s="6">
        <f t="shared" si="307"/>
        <v>5500</v>
      </c>
    </row>
    <row r="593" spans="1:22" ht="21.95" customHeight="1" x14ac:dyDescent="0.25">
      <c r="A593" s="40" t="s">
        <v>1317</v>
      </c>
      <c r="B593" s="8" t="s">
        <v>613</v>
      </c>
      <c r="C593" s="2">
        <f t="shared" si="316"/>
        <v>2678500</v>
      </c>
      <c r="D593" s="3">
        <f t="shared" si="308"/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11">
        <v>0</v>
      </c>
      <c r="L593" s="5">
        <v>0</v>
      </c>
      <c r="M593" s="5">
        <v>487</v>
      </c>
      <c r="N593" s="3">
        <f t="shared" si="315"/>
        <v>2678500</v>
      </c>
      <c r="O593" s="5">
        <v>0</v>
      </c>
      <c r="P593" s="5">
        <v>0</v>
      </c>
      <c r="Q593" s="5">
        <v>0</v>
      </c>
      <c r="R593" s="3">
        <f t="shared" si="306"/>
        <v>0</v>
      </c>
      <c r="S593" s="5">
        <v>0</v>
      </c>
      <c r="T593" s="5">
        <v>0</v>
      </c>
      <c r="U593" s="5">
        <v>0</v>
      </c>
      <c r="V593" s="6">
        <f t="shared" si="307"/>
        <v>5500</v>
      </c>
    </row>
    <row r="594" spans="1:22" ht="21.95" customHeight="1" x14ac:dyDescent="0.25">
      <c r="A594" s="40" t="s">
        <v>1318</v>
      </c>
      <c r="B594" s="8" t="s">
        <v>507</v>
      </c>
      <c r="C594" s="2">
        <f t="shared" si="316"/>
        <v>5223600</v>
      </c>
      <c r="D594" s="3">
        <f t="shared" si="308"/>
        <v>5223600</v>
      </c>
      <c r="E594" s="3">
        <v>0</v>
      </c>
      <c r="F594" s="3">
        <f>800*3482.4</f>
        <v>2785920</v>
      </c>
      <c r="G594" s="3">
        <f>300*3482.4</f>
        <v>1044720</v>
      </c>
      <c r="H594" s="3">
        <f>800*0</f>
        <v>0</v>
      </c>
      <c r="I594" s="3">
        <f>400*3482.4</f>
        <v>1392960</v>
      </c>
      <c r="J594" s="3">
        <f>800*0</f>
        <v>0</v>
      </c>
      <c r="K594" s="4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6" t="e">
        <f t="shared" si="307"/>
        <v>#DIV/0!</v>
      </c>
    </row>
    <row r="595" spans="1:22" ht="21.95" customHeight="1" x14ac:dyDescent="0.25">
      <c r="A595" s="40" t="s">
        <v>1319</v>
      </c>
      <c r="B595" s="8" t="s">
        <v>614</v>
      </c>
      <c r="C595" s="2">
        <f t="shared" si="316"/>
        <v>1633500</v>
      </c>
      <c r="D595" s="3">
        <f t="shared" si="308"/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11">
        <v>0</v>
      </c>
      <c r="L595" s="5">
        <v>0</v>
      </c>
      <c r="M595" s="5">
        <v>297</v>
      </c>
      <c r="N595" s="3">
        <f t="shared" si="315"/>
        <v>1633500</v>
      </c>
      <c r="O595" s="5">
        <v>0</v>
      </c>
      <c r="P595" s="5">
        <v>0</v>
      </c>
      <c r="Q595" s="5">
        <v>0</v>
      </c>
      <c r="R595" s="3">
        <f t="shared" si="306"/>
        <v>0</v>
      </c>
      <c r="S595" s="5">
        <v>0</v>
      </c>
      <c r="T595" s="5">
        <v>0</v>
      </c>
      <c r="U595" s="5">
        <v>0</v>
      </c>
      <c r="V595" s="6">
        <f t="shared" si="307"/>
        <v>5500</v>
      </c>
    </row>
    <row r="596" spans="1:22" ht="21.95" customHeight="1" x14ac:dyDescent="0.25">
      <c r="A596" s="40" t="s">
        <v>1320</v>
      </c>
      <c r="B596" s="8" t="s">
        <v>615</v>
      </c>
      <c r="C596" s="2">
        <f t="shared" si="316"/>
        <v>2698300</v>
      </c>
      <c r="D596" s="3">
        <f t="shared" si="308"/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11">
        <v>0</v>
      </c>
      <c r="L596" s="5">
        <v>0</v>
      </c>
      <c r="M596" s="5">
        <v>490.6</v>
      </c>
      <c r="N596" s="3">
        <f t="shared" si="315"/>
        <v>2698300</v>
      </c>
      <c r="O596" s="5">
        <v>0</v>
      </c>
      <c r="P596" s="5">
        <v>0</v>
      </c>
      <c r="Q596" s="5">
        <v>0</v>
      </c>
      <c r="R596" s="3">
        <f t="shared" si="306"/>
        <v>0</v>
      </c>
      <c r="S596" s="5">
        <v>0</v>
      </c>
      <c r="T596" s="5">
        <v>0</v>
      </c>
      <c r="U596" s="5">
        <v>0</v>
      </c>
      <c r="V596" s="6">
        <f t="shared" si="307"/>
        <v>5500</v>
      </c>
    </row>
    <row r="597" spans="1:22" ht="21.95" customHeight="1" x14ac:dyDescent="0.25">
      <c r="A597" s="40" t="s">
        <v>1321</v>
      </c>
      <c r="B597" s="8" t="s">
        <v>469</v>
      </c>
      <c r="C597" s="2">
        <f t="shared" si="316"/>
        <v>3872000</v>
      </c>
      <c r="D597" s="3">
        <f t="shared" si="308"/>
        <v>0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4">
        <v>0</v>
      </c>
      <c r="L597" s="3">
        <v>0</v>
      </c>
      <c r="M597" s="3">
        <v>704</v>
      </c>
      <c r="N597" s="3">
        <f t="shared" si="315"/>
        <v>3872000</v>
      </c>
      <c r="O597" s="3">
        <v>0</v>
      </c>
      <c r="P597" s="3">
        <v>0</v>
      </c>
      <c r="Q597" s="3">
        <v>0</v>
      </c>
      <c r="R597" s="3">
        <f t="shared" si="306"/>
        <v>0</v>
      </c>
      <c r="S597" s="3">
        <v>0</v>
      </c>
      <c r="T597" s="5">
        <v>0</v>
      </c>
      <c r="U597" s="3">
        <v>0</v>
      </c>
      <c r="V597" s="6">
        <f t="shared" si="307"/>
        <v>5500</v>
      </c>
    </row>
    <row r="598" spans="1:22" ht="21.95" customHeight="1" x14ac:dyDescent="0.25">
      <c r="A598" s="40" t="s">
        <v>1322</v>
      </c>
      <c r="B598" s="8" t="s">
        <v>616</v>
      </c>
      <c r="C598" s="2">
        <f t="shared" si="316"/>
        <v>1639000</v>
      </c>
      <c r="D598" s="3">
        <f t="shared" si="308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1">
        <v>0</v>
      </c>
      <c r="L598" s="5">
        <v>0</v>
      </c>
      <c r="M598" s="5">
        <v>298</v>
      </c>
      <c r="N598" s="3">
        <f t="shared" si="315"/>
        <v>1639000</v>
      </c>
      <c r="O598" s="5">
        <v>0</v>
      </c>
      <c r="P598" s="5">
        <v>0</v>
      </c>
      <c r="Q598" s="5">
        <v>0</v>
      </c>
      <c r="R598" s="3">
        <f t="shared" si="306"/>
        <v>0</v>
      </c>
      <c r="S598" s="5">
        <v>0</v>
      </c>
      <c r="T598" s="5">
        <v>0</v>
      </c>
      <c r="U598" s="5">
        <v>0</v>
      </c>
      <c r="V598" s="6">
        <f t="shared" si="307"/>
        <v>5500</v>
      </c>
    </row>
    <row r="599" spans="1:22" ht="21.95" customHeight="1" x14ac:dyDescent="0.25">
      <c r="A599" s="40" t="s">
        <v>1323</v>
      </c>
      <c r="B599" s="8" t="s">
        <v>542</v>
      </c>
      <c r="C599" s="2">
        <f t="shared" si="316"/>
        <v>3897300</v>
      </c>
      <c r="D599" s="3">
        <f t="shared" si="308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1">
        <v>0</v>
      </c>
      <c r="L599" s="5">
        <v>0</v>
      </c>
      <c r="M599" s="5">
        <v>708.6</v>
      </c>
      <c r="N599" s="3">
        <f t="shared" si="315"/>
        <v>3897300</v>
      </c>
      <c r="O599" s="5">
        <v>0</v>
      </c>
      <c r="P599" s="5">
        <v>0</v>
      </c>
      <c r="Q599" s="5">
        <v>0</v>
      </c>
      <c r="R599" s="3">
        <f t="shared" si="306"/>
        <v>0</v>
      </c>
      <c r="S599" s="5">
        <v>0</v>
      </c>
      <c r="T599" s="5">
        <v>0</v>
      </c>
      <c r="U599" s="5">
        <v>0</v>
      </c>
      <c r="V599" s="6">
        <f t="shared" si="307"/>
        <v>5500</v>
      </c>
    </row>
    <row r="600" spans="1:22" ht="21.95" customHeight="1" x14ac:dyDescent="0.25">
      <c r="A600" s="40" t="s">
        <v>1324</v>
      </c>
      <c r="B600" s="8" t="s">
        <v>1413</v>
      </c>
      <c r="C600" s="2">
        <f t="shared" si="316"/>
        <v>12900000</v>
      </c>
      <c r="D600" s="3">
        <f t="shared" ref="D600" si="317">SUM(E600:J600)</f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11">
        <v>6</v>
      </c>
      <c r="L600" s="5">
        <f>K600*2150000</f>
        <v>12900000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6" t="e">
        <f t="shared" si="307"/>
        <v>#DIV/0!</v>
      </c>
    </row>
    <row r="601" spans="1:22" ht="21.95" customHeight="1" x14ac:dyDescent="0.25">
      <c r="A601" s="40" t="s">
        <v>1325</v>
      </c>
      <c r="B601" s="8" t="s">
        <v>617</v>
      </c>
      <c r="C601" s="2">
        <f t="shared" si="316"/>
        <v>2524500</v>
      </c>
      <c r="D601" s="3">
        <f t="shared" si="308"/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11">
        <v>0</v>
      </c>
      <c r="L601" s="5">
        <v>0</v>
      </c>
      <c r="M601" s="5">
        <v>459</v>
      </c>
      <c r="N601" s="3">
        <f t="shared" ref="N601:N617" si="318">M601*5500</f>
        <v>2524500</v>
      </c>
      <c r="O601" s="5">
        <v>0</v>
      </c>
      <c r="P601" s="5">
        <v>0</v>
      </c>
      <c r="Q601" s="5">
        <v>0</v>
      </c>
      <c r="R601" s="3">
        <f t="shared" si="306"/>
        <v>0</v>
      </c>
      <c r="S601" s="5">
        <v>0</v>
      </c>
      <c r="T601" s="5">
        <v>0</v>
      </c>
      <c r="U601" s="5">
        <v>0</v>
      </c>
      <c r="V601" s="6">
        <f t="shared" si="307"/>
        <v>5500</v>
      </c>
    </row>
    <row r="602" spans="1:22" ht="21.95" customHeight="1" x14ac:dyDescent="0.25">
      <c r="A602" s="40" t="s">
        <v>1326</v>
      </c>
      <c r="B602" s="8" t="s">
        <v>618</v>
      </c>
      <c r="C602" s="2">
        <f t="shared" si="316"/>
        <v>4521000</v>
      </c>
      <c r="D602" s="3">
        <f t="shared" si="308"/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11">
        <v>0</v>
      </c>
      <c r="L602" s="5">
        <v>0</v>
      </c>
      <c r="M602" s="5">
        <v>822</v>
      </c>
      <c r="N602" s="3">
        <f t="shared" si="318"/>
        <v>4521000</v>
      </c>
      <c r="O602" s="5">
        <v>0</v>
      </c>
      <c r="P602" s="5">
        <v>0</v>
      </c>
      <c r="Q602" s="5">
        <v>0</v>
      </c>
      <c r="R602" s="3">
        <f t="shared" si="306"/>
        <v>0</v>
      </c>
      <c r="S602" s="5">
        <v>0</v>
      </c>
      <c r="T602" s="5">
        <v>0</v>
      </c>
      <c r="U602" s="5">
        <v>0</v>
      </c>
      <c r="V602" s="6">
        <f t="shared" si="307"/>
        <v>5500</v>
      </c>
    </row>
    <row r="603" spans="1:22" ht="21.95" customHeight="1" x14ac:dyDescent="0.25">
      <c r="A603" s="40" t="s">
        <v>865</v>
      </c>
      <c r="B603" s="8" t="s">
        <v>409</v>
      </c>
      <c r="C603" s="2">
        <f t="shared" ref="C603:C608" si="319">D603+L603+N603+P603+R603+S603+T603+U603</f>
        <v>6710190</v>
      </c>
      <c r="D603" s="3">
        <f t="shared" ref="D603:D608" si="320">SUM(E603:J603)</f>
        <v>6710190</v>
      </c>
      <c r="E603" s="3">
        <f>350*2855.4</f>
        <v>999390</v>
      </c>
      <c r="F603" s="3">
        <f>800*2855.4</f>
        <v>2284320</v>
      </c>
      <c r="G603" s="3">
        <f>300*2855.4</f>
        <v>856620</v>
      </c>
      <c r="H603" s="3">
        <f>500*2855.4</f>
        <v>1427700</v>
      </c>
      <c r="I603" s="3">
        <f>400*2855.4</f>
        <v>1142160</v>
      </c>
      <c r="J603" s="3">
        <f>800*0</f>
        <v>0</v>
      </c>
      <c r="K603" s="4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6" t="e">
        <f t="shared" ref="V603:V608" si="321">N603/M603</f>
        <v>#DIV/0!</v>
      </c>
    </row>
    <row r="604" spans="1:22" ht="21.95" customHeight="1" x14ac:dyDescent="0.25">
      <c r="A604" s="40" t="s">
        <v>866</v>
      </c>
      <c r="B604" s="8" t="s">
        <v>410</v>
      </c>
      <c r="C604" s="2">
        <f>D604+L604+N604+P604+R604+S604+T604+U604</f>
        <v>5433310</v>
      </c>
      <c r="D604" s="3">
        <f>SUM(E604:J604)</f>
        <v>5333310</v>
      </c>
      <c r="E604" s="3">
        <f>350*2125.1</f>
        <v>743785</v>
      </c>
      <c r="F604" s="3">
        <f>1050*2125.1</f>
        <v>2231355</v>
      </c>
      <c r="G604" s="3">
        <f>300*2125.1</f>
        <v>637530</v>
      </c>
      <c r="H604" s="3">
        <f>400*2125.1</f>
        <v>850040</v>
      </c>
      <c r="I604" s="3">
        <f>250*3482.4</f>
        <v>870600</v>
      </c>
      <c r="J604" s="3">
        <f>800*0</f>
        <v>0</v>
      </c>
      <c r="K604" s="4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100000</v>
      </c>
      <c r="V604" s="6" t="e">
        <f>N604/M604</f>
        <v>#DIV/0!</v>
      </c>
    </row>
    <row r="605" spans="1:22" ht="21.95" customHeight="1" x14ac:dyDescent="0.25">
      <c r="A605" s="40" t="s">
        <v>867</v>
      </c>
      <c r="B605" s="8" t="s">
        <v>385</v>
      </c>
      <c r="C605" s="2">
        <f t="shared" si="319"/>
        <v>7740720</v>
      </c>
      <c r="D605" s="3">
        <f t="shared" si="320"/>
        <v>7640720</v>
      </c>
      <c r="E605" s="3">
        <f>350*3482.4</f>
        <v>1218840</v>
      </c>
      <c r="F605" s="3">
        <f>1050*3482.4</f>
        <v>3656520</v>
      </c>
      <c r="G605" s="3">
        <f>300*3482.4</f>
        <v>1044720</v>
      </c>
      <c r="H605" s="3">
        <f>400*2125.1</f>
        <v>850040</v>
      </c>
      <c r="I605" s="3">
        <f>250*3482.4</f>
        <v>870600</v>
      </c>
      <c r="J605" s="3">
        <f>800*0</f>
        <v>0</v>
      </c>
      <c r="K605" s="4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100000</v>
      </c>
      <c r="V605" s="6" t="e">
        <f t="shared" si="321"/>
        <v>#DIV/0!</v>
      </c>
    </row>
    <row r="606" spans="1:22" ht="21.95" customHeight="1" x14ac:dyDescent="0.25">
      <c r="A606" s="40" t="s">
        <v>868</v>
      </c>
      <c r="B606" s="8" t="s">
        <v>431</v>
      </c>
      <c r="C606" s="2">
        <f t="shared" si="319"/>
        <v>2635000</v>
      </c>
      <c r="D606" s="3">
        <f t="shared" si="320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4">
        <v>0</v>
      </c>
      <c r="L606" s="3">
        <v>0</v>
      </c>
      <c r="M606" s="3">
        <v>370</v>
      </c>
      <c r="N606" s="3">
        <f>M606*5500</f>
        <v>2035000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600000</v>
      </c>
      <c r="V606" s="6">
        <f t="shared" si="321"/>
        <v>5500</v>
      </c>
    </row>
    <row r="607" spans="1:22" ht="21.95" customHeight="1" x14ac:dyDescent="0.25">
      <c r="A607" s="40" t="s">
        <v>869</v>
      </c>
      <c r="B607" s="8" t="s">
        <v>418</v>
      </c>
      <c r="C607" s="2">
        <f t="shared" si="319"/>
        <v>4398980</v>
      </c>
      <c r="D607" s="3">
        <f t="shared" si="320"/>
        <v>4198980</v>
      </c>
      <c r="E607" s="3">
        <f>350*1786.8</f>
        <v>625380</v>
      </c>
      <c r="F607" s="3">
        <f>800*1786.8</f>
        <v>1429440</v>
      </c>
      <c r="G607" s="3">
        <f>300*1786.8</f>
        <v>536040</v>
      </c>
      <c r="H607" s="3">
        <f>500*1786.8</f>
        <v>893400</v>
      </c>
      <c r="I607" s="3">
        <f>400*1786.8</f>
        <v>714720</v>
      </c>
      <c r="J607" s="3">
        <f>800*0</f>
        <v>0</v>
      </c>
      <c r="K607" s="4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200000</v>
      </c>
      <c r="V607" s="6" t="e">
        <f t="shared" si="321"/>
        <v>#DIV/0!</v>
      </c>
    </row>
    <row r="608" spans="1:22" ht="21.95" customHeight="1" x14ac:dyDescent="0.25">
      <c r="A608" s="40" t="s">
        <v>870</v>
      </c>
      <c r="B608" s="8" t="s">
        <v>408</v>
      </c>
      <c r="C608" s="2">
        <f t="shared" si="319"/>
        <v>4230000</v>
      </c>
      <c r="D608" s="3">
        <f t="shared" si="320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4">
        <v>0</v>
      </c>
      <c r="L608" s="3">
        <v>0</v>
      </c>
      <c r="M608" s="3">
        <v>660</v>
      </c>
      <c r="N608" s="3">
        <f>M608*5500</f>
        <v>3630000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600000</v>
      </c>
      <c r="V608" s="6">
        <f t="shared" si="321"/>
        <v>5500</v>
      </c>
    </row>
    <row r="609" spans="1:22" ht="21.95" customHeight="1" x14ac:dyDescent="0.25">
      <c r="A609" s="40" t="s">
        <v>871</v>
      </c>
      <c r="B609" s="24" t="s">
        <v>1373</v>
      </c>
      <c r="C609" s="2">
        <f>D609+L609+N609+P609+R609+S609+T609+U609</f>
        <v>6369250</v>
      </c>
      <c r="D609" s="3">
        <f>SUM(E609:J609)</f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4">
        <v>0</v>
      </c>
      <c r="L609" s="3">
        <v>0</v>
      </c>
      <c r="M609" s="3">
        <v>623.5</v>
      </c>
      <c r="N609" s="3">
        <f>M609*5500</f>
        <v>3429250</v>
      </c>
      <c r="O609" s="3">
        <v>0</v>
      </c>
      <c r="P609" s="3">
        <v>0</v>
      </c>
      <c r="Q609" s="3">
        <v>980</v>
      </c>
      <c r="R609" s="5">
        <f>Q609*3000</f>
        <v>2940000</v>
      </c>
      <c r="S609" s="3">
        <v>0</v>
      </c>
      <c r="T609" s="3">
        <v>0</v>
      </c>
      <c r="U609" s="3">
        <v>0</v>
      </c>
      <c r="V609" s="6">
        <f>N609/M609</f>
        <v>5500</v>
      </c>
    </row>
    <row r="610" spans="1:22" ht="21.95" customHeight="1" x14ac:dyDescent="0.25">
      <c r="A610" s="40" t="s">
        <v>872</v>
      </c>
      <c r="B610" s="23" t="s">
        <v>619</v>
      </c>
      <c r="C610" s="2">
        <f t="shared" si="316"/>
        <v>3737250</v>
      </c>
      <c r="D610" s="3">
        <f t="shared" si="308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1">
        <v>0</v>
      </c>
      <c r="L610" s="5">
        <v>0</v>
      </c>
      <c r="M610" s="5">
        <v>679.5</v>
      </c>
      <c r="N610" s="3">
        <f t="shared" si="318"/>
        <v>3737250</v>
      </c>
      <c r="O610" s="5">
        <v>0</v>
      </c>
      <c r="P610" s="5">
        <v>0</v>
      </c>
      <c r="Q610" s="5">
        <v>0</v>
      </c>
      <c r="R610" s="3">
        <f t="shared" si="306"/>
        <v>0</v>
      </c>
      <c r="S610" s="5">
        <v>0</v>
      </c>
      <c r="T610" s="5">
        <v>0</v>
      </c>
      <c r="U610" s="5">
        <v>0</v>
      </c>
      <c r="V610" s="6">
        <f t="shared" si="307"/>
        <v>5500</v>
      </c>
    </row>
    <row r="611" spans="1:22" ht="21.95" customHeight="1" x14ac:dyDescent="0.25">
      <c r="A611" s="40" t="s">
        <v>873</v>
      </c>
      <c r="B611" s="23" t="s">
        <v>543</v>
      </c>
      <c r="C611" s="2">
        <f t="shared" si="316"/>
        <v>10569315</v>
      </c>
      <c r="D611" s="3">
        <f t="shared" si="308"/>
        <v>2652915</v>
      </c>
      <c r="E611" s="3">
        <f>350*1128.9</f>
        <v>395115.00000000006</v>
      </c>
      <c r="F611" s="3">
        <f>1050*1128.9</f>
        <v>1185345</v>
      </c>
      <c r="G611" s="3">
        <f>300*1128.9</f>
        <v>338670</v>
      </c>
      <c r="H611" s="3">
        <f>400*1128.9</f>
        <v>451560.00000000006</v>
      </c>
      <c r="I611" s="3">
        <f>250*1128.9</f>
        <v>282225</v>
      </c>
      <c r="J611" s="3">
        <v>0</v>
      </c>
      <c r="K611" s="11">
        <v>0</v>
      </c>
      <c r="L611" s="5">
        <v>0</v>
      </c>
      <c r="M611" s="5">
        <v>684.8</v>
      </c>
      <c r="N611" s="3">
        <f t="shared" si="318"/>
        <v>3766399.9999999995</v>
      </c>
      <c r="O611" s="5">
        <v>0</v>
      </c>
      <c r="P611" s="5">
        <v>0</v>
      </c>
      <c r="Q611" s="5">
        <v>1350</v>
      </c>
      <c r="R611" s="3">
        <f t="shared" si="306"/>
        <v>4050000</v>
      </c>
      <c r="S611" s="5">
        <v>0</v>
      </c>
      <c r="T611" s="5">
        <v>0</v>
      </c>
      <c r="U611" s="5">
        <v>100000</v>
      </c>
      <c r="V611" s="6">
        <f t="shared" si="307"/>
        <v>5500</v>
      </c>
    </row>
    <row r="612" spans="1:22" ht="21.95" customHeight="1" x14ac:dyDescent="0.25">
      <c r="A612" s="40" t="s">
        <v>874</v>
      </c>
      <c r="B612" s="23" t="s">
        <v>620</v>
      </c>
      <c r="C612" s="2">
        <f t="shared" si="316"/>
        <v>4015000</v>
      </c>
      <c r="D612" s="3">
        <f t="shared" si="308"/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1">
        <v>0</v>
      </c>
      <c r="L612" s="5">
        <v>0</v>
      </c>
      <c r="M612" s="5">
        <v>730</v>
      </c>
      <c r="N612" s="3">
        <f t="shared" si="318"/>
        <v>4015000</v>
      </c>
      <c r="O612" s="5">
        <v>0</v>
      </c>
      <c r="P612" s="5">
        <v>0</v>
      </c>
      <c r="Q612" s="5">
        <v>0</v>
      </c>
      <c r="R612" s="3">
        <f t="shared" si="306"/>
        <v>0</v>
      </c>
      <c r="S612" s="5">
        <v>0</v>
      </c>
      <c r="T612" s="5">
        <v>0</v>
      </c>
      <c r="U612" s="5">
        <v>0</v>
      </c>
      <c r="V612" s="6">
        <f t="shared" si="307"/>
        <v>5500</v>
      </c>
    </row>
    <row r="613" spans="1:22" ht="21.95" customHeight="1" x14ac:dyDescent="0.25">
      <c r="A613" s="40" t="s">
        <v>875</v>
      </c>
      <c r="B613" s="8" t="s">
        <v>544</v>
      </c>
      <c r="C613" s="2">
        <f t="shared" si="316"/>
        <v>2494800</v>
      </c>
      <c r="D613" s="3">
        <f t="shared" si="308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1">
        <v>0</v>
      </c>
      <c r="L613" s="5">
        <v>0</v>
      </c>
      <c r="M613" s="5">
        <v>453.6</v>
      </c>
      <c r="N613" s="3">
        <f t="shared" si="318"/>
        <v>2494800</v>
      </c>
      <c r="O613" s="5">
        <v>0</v>
      </c>
      <c r="P613" s="5">
        <v>0</v>
      </c>
      <c r="Q613" s="5">
        <v>0</v>
      </c>
      <c r="R613" s="3">
        <f t="shared" si="306"/>
        <v>0</v>
      </c>
      <c r="S613" s="5">
        <v>0</v>
      </c>
      <c r="T613" s="5">
        <v>0</v>
      </c>
      <c r="U613" s="5">
        <v>0</v>
      </c>
      <c r="V613" s="6">
        <f t="shared" si="307"/>
        <v>5500</v>
      </c>
    </row>
    <row r="614" spans="1:22" ht="21.95" customHeight="1" x14ac:dyDescent="0.25">
      <c r="A614" s="40" t="s">
        <v>876</v>
      </c>
      <c r="B614" s="8" t="s">
        <v>545</v>
      </c>
      <c r="C614" s="2">
        <f t="shared" si="316"/>
        <v>2494800</v>
      </c>
      <c r="D614" s="3">
        <f t="shared" si="308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1">
        <v>0</v>
      </c>
      <c r="L614" s="5">
        <v>0</v>
      </c>
      <c r="M614" s="5">
        <v>453.6</v>
      </c>
      <c r="N614" s="3">
        <f t="shared" si="318"/>
        <v>2494800</v>
      </c>
      <c r="O614" s="5">
        <v>0</v>
      </c>
      <c r="P614" s="5">
        <v>0</v>
      </c>
      <c r="Q614" s="5">
        <v>0</v>
      </c>
      <c r="R614" s="3">
        <f t="shared" si="306"/>
        <v>0</v>
      </c>
      <c r="S614" s="5">
        <v>0</v>
      </c>
      <c r="T614" s="5">
        <v>0</v>
      </c>
      <c r="U614" s="5">
        <v>0</v>
      </c>
      <c r="V614" s="6">
        <f t="shared" si="307"/>
        <v>5500</v>
      </c>
    </row>
    <row r="615" spans="1:22" ht="21.95" customHeight="1" x14ac:dyDescent="0.25">
      <c r="A615" s="40" t="s">
        <v>877</v>
      </c>
      <c r="B615" s="8" t="s">
        <v>546</v>
      </c>
      <c r="C615" s="2">
        <f t="shared" si="316"/>
        <v>1518330</v>
      </c>
      <c r="D615" s="3">
        <f t="shared" si="308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1">
        <v>0</v>
      </c>
      <c r="L615" s="5">
        <v>0</v>
      </c>
      <c r="M615" s="5">
        <v>276.06</v>
      </c>
      <c r="N615" s="3">
        <f t="shared" si="318"/>
        <v>1518330</v>
      </c>
      <c r="O615" s="5">
        <v>0</v>
      </c>
      <c r="P615" s="5">
        <v>0</v>
      </c>
      <c r="Q615" s="5">
        <v>0</v>
      </c>
      <c r="R615" s="3">
        <f t="shared" si="306"/>
        <v>0</v>
      </c>
      <c r="S615" s="5">
        <v>0</v>
      </c>
      <c r="T615" s="5">
        <v>0</v>
      </c>
      <c r="U615" s="5">
        <v>0</v>
      </c>
      <c r="V615" s="6">
        <f t="shared" si="307"/>
        <v>5500</v>
      </c>
    </row>
    <row r="616" spans="1:22" ht="21.95" customHeight="1" x14ac:dyDescent="0.25">
      <c r="A616" s="40" t="s">
        <v>1417</v>
      </c>
      <c r="B616" s="8" t="s">
        <v>622</v>
      </c>
      <c r="C616" s="2">
        <f t="shared" si="316"/>
        <v>1545170</v>
      </c>
      <c r="D616" s="3">
        <f t="shared" si="308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1">
        <v>0</v>
      </c>
      <c r="L616" s="5">
        <v>0</v>
      </c>
      <c r="M616" s="5">
        <v>280.94</v>
      </c>
      <c r="N616" s="3">
        <f t="shared" si="318"/>
        <v>1545170</v>
      </c>
      <c r="O616" s="5">
        <v>0</v>
      </c>
      <c r="P616" s="5">
        <v>0</v>
      </c>
      <c r="Q616" s="5">
        <v>0</v>
      </c>
      <c r="R616" s="3">
        <f t="shared" si="306"/>
        <v>0</v>
      </c>
      <c r="S616" s="5">
        <v>0</v>
      </c>
      <c r="T616" s="5">
        <v>0</v>
      </c>
      <c r="U616" s="5">
        <v>0</v>
      </c>
      <c r="V616" s="6">
        <f t="shared" si="307"/>
        <v>5500</v>
      </c>
    </row>
    <row r="617" spans="1:22" ht="21.95" customHeight="1" x14ac:dyDescent="0.25">
      <c r="A617" s="40" t="s">
        <v>1418</v>
      </c>
      <c r="B617" s="8" t="s">
        <v>623</v>
      </c>
      <c r="C617" s="2">
        <f t="shared" si="316"/>
        <v>1630199.9999999998</v>
      </c>
      <c r="D617" s="3">
        <f t="shared" si="308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1">
        <v>0</v>
      </c>
      <c r="L617" s="5">
        <v>0</v>
      </c>
      <c r="M617" s="5">
        <v>296.39999999999998</v>
      </c>
      <c r="N617" s="3">
        <f t="shared" si="318"/>
        <v>1630199.9999999998</v>
      </c>
      <c r="O617" s="5">
        <v>0</v>
      </c>
      <c r="P617" s="5">
        <v>0</v>
      </c>
      <c r="Q617" s="5">
        <v>0</v>
      </c>
      <c r="R617" s="3">
        <f t="shared" si="306"/>
        <v>0</v>
      </c>
      <c r="S617" s="5">
        <v>0</v>
      </c>
      <c r="T617" s="5">
        <v>0</v>
      </c>
      <c r="U617" s="5">
        <v>0</v>
      </c>
      <c r="V617" s="6">
        <f t="shared" si="307"/>
        <v>5500</v>
      </c>
    </row>
    <row r="618" spans="1:22" ht="21.95" customHeight="1" x14ac:dyDescent="0.25">
      <c r="A618" s="40" t="s">
        <v>878</v>
      </c>
      <c r="B618" s="8" t="s">
        <v>621</v>
      </c>
      <c r="C618" s="2">
        <f t="shared" si="316"/>
        <v>3809886.4599999995</v>
      </c>
      <c r="D618" s="3">
        <f t="shared" si="308"/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1">
        <v>0</v>
      </c>
      <c r="L618" s="5">
        <v>0</v>
      </c>
      <c r="M618" s="5">
        <v>1033.6099999999999</v>
      </c>
      <c r="N618" s="3">
        <f>M618*3686</f>
        <v>3809886.4599999995</v>
      </c>
      <c r="O618" s="5">
        <v>0</v>
      </c>
      <c r="P618" s="5">
        <v>0</v>
      </c>
      <c r="Q618" s="5">
        <v>0</v>
      </c>
      <c r="R618" s="3">
        <f t="shared" si="306"/>
        <v>0</v>
      </c>
      <c r="S618" s="5">
        <v>0</v>
      </c>
      <c r="T618" s="5">
        <v>0</v>
      </c>
      <c r="U618" s="5">
        <v>0</v>
      </c>
      <c r="V618" s="6">
        <f t="shared" si="307"/>
        <v>3686</v>
      </c>
    </row>
    <row r="619" spans="1:22" ht="21.95" customHeight="1" x14ac:dyDescent="0.25">
      <c r="A619" s="40" t="s">
        <v>879</v>
      </c>
      <c r="B619" s="8" t="s">
        <v>509</v>
      </c>
      <c r="C619" s="2">
        <f>D619+L619+N619+P619+R619+S619+T619+U619</f>
        <v>4476155</v>
      </c>
      <c r="D619" s="3">
        <f>SUM(E619:J619)</f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4">
        <v>0</v>
      </c>
      <c r="L619" s="3">
        <v>0</v>
      </c>
      <c r="M619" s="3">
        <v>472.2</v>
      </c>
      <c r="N619" s="3">
        <f>M619*5500</f>
        <v>2597100</v>
      </c>
      <c r="O619" s="3">
        <v>0</v>
      </c>
      <c r="P619" s="3">
        <v>0</v>
      </c>
      <c r="Q619" s="3">
        <v>491</v>
      </c>
      <c r="R619" s="3">
        <v>1279055</v>
      </c>
      <c r="S619" s="3">
        <v>0</v>
      </c>
      <c r="T619" s="3">
        <v>0</v>
      </c>
      <c r="U619" s="3">
        <v>600000</v>
      </c>
      <c r="V619" s="6">
        <f>N619/M619</f>
        <v>5500</v>
      </c>
    </row>
    <row r="620" spans="1:22" ht="21.95" customHeight="1" x14ac:dyDescent="0.25">
      <c r="A620" s="40" t="s">
        <v>880</v>
      </c>
      <c r="B620" s="8" t="s">
        <v>510</v>
      </c>
      <c r="C620" s="2">
        <f>D620+L620+N620+P620+R620+S620+T620+U620</f>
        <v>2022000</v>
      </c>
      <c r="D620" s="3">
        <f>SUM(E620:J620)</f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4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474</v>
      </c>
      <c r="R620" s="3">
        <f>Q620*3000</f>
        <v>1422000</v>
      </c>
      <c r="S620" s="3">
        <v>0</v>
      </c>
      <c r="T620" s="3">
        <v>0</v>
      </c>
      <c r="U620" s="3">
        <v>600000</v>
      </c>
      <c r="V620" s="6" t="e">
        <f>N620/M620</f>
        <v>#DIV/0!</v>
      </c>
    </row>
    <row r="621" spans="1:22" ht="21.95" customHeight="1" x14ac:dyDescent="0.25">
      <c r="A621" s="40" t="s">
        <v>881</v>
      </c>
      <c r="B621" s="24" t="s">
        <v>1377</v>
      </c>
      <c r="C621" s="2">
        <f>D621+L621+N621+P621+R621+S621+T621+U621</f>
        <v>731420</v>
      </c>
      <c r="D621" s="3">
        <f>SUM(E621:J621)</f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4">
        <v>0</v>
      </c>
      <c r="L621" s="3">
        <v>0</v>
      </c>
      <c r="M621" s="3">
        <v>0</v>
      </c>
      <c r="N621" s="3">
        <v>0</v>
      </c>
      <c r="O621" s="3">
        <v>110.2</v>
      </c>
      <c r="P621" s="3">
        <v>231420</v>
      </c>
      <c r="Q621" s="3">
        <v>0</v>
      </c>
      <c r="R621" s="3">
        <v>0</v>
      </c>
      <c r="S621" s="3">
        <v>0</v>
      </c>
      <c r="T621" s="3">
        <v>0</v>
      </c>
      <c r="U621" s="3">
        <v>500000</v>
      </c>
      <c r="V621" s="6" t="e">
        <f>N621/M621</f>
        <v>#DIV/0!</v>
      </c>
    </row>
    <row r="622" spans="1:22" ht="21.95" customHeight="1" x14ac:dyDescent="0.25">
      <c r="A622" s="40" t="s">
        <v>882</v>
      </c>
      <c r="B622" s="8" t="s">
        <v>399</v>
      </c>
      <c r="C622" s="2">
        <f>D622+L622+N622+P622+R622+S622+T622+U622</f>
        <v>3467080</v>
      </c>
      <c r="D622" s="3">
        <f>SUM(E622:J622)</f>
        <v>3367080</v>
      </c>
      <c r="E622" s="3">
        <f>350*1432.8</f>
        <v>501480</v>
      </c>
      <c r="F622" s="3">
        <f>1050*1432.8</f>
        <v>1504440</v>
      </c>
      <c r="G622" s="3">
        <f>300*1432.8</f>
        <v>429840</v>
      </c>
      <c r="H622" s="3">
        <f>400*1432.8</f>
        <v>573120</v>
      </c>
      <c r="I622" s="3">
        <f>250*1432.8</f>
        <v>358200</v>
      </c>
      <c r="J622" s="3">
        <f>800*0</f>
        <v>0</v>
      </c>
      <c r="K622" s="4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100000</v>
      </c>
      <c r="V622" s="6" t="e">
        <f>N622/M622</f>
        <v>#DIV/0!</v>
      </c>
    </row>
    <row r="623" spans="1:22" ht="21.95" customHeight="1" x14ac:dyDescent="0.25">
      <c r="A623" s="40" t="s">
        <v>883</v>
      </c>
      <c r="B623" s="8" t="s">
        <v>624</v>
      </c>
      <c r="C623" s="2">
        <f t="shared" ref="C623:C638" si="322">D623+L623+N623+P623+R623+S623+T623+U623</f>
        <v>1633500</v>
      </c>
      <c r="D623" s="3">
        <f t="shared" ref="D623:D638" si="323">SUM(E623:J623)</f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1">
        <v>0</v>
      </c>
      <c r="L623" s="5">
        <v>0</v>
      </c>
      <c r="M623" s="5">
        <v>297</v>
      </c>
      <c r="N623" s="3">
        <f t="shared" ref="N623:N625" si="324">M623*5500</f>
        <v>1633500</v>
      </c>
      <c r="O623" s="5">
        <v>0</v>
      </c>
      <c r="P623" s="5">
        <v>0</v>
      </c>
      <c r="Q623" s="5">
        <v>0</v>
      </c>
      <c r="R623" s="3">
        <f>Q623*3000</f>
        <v>0</v>
      </c>
      <c r="S623" s="5">
        <v>0</v>
      </c>
      <c r="T623" s="5">
        <v>0</v>
      </c>
      <c r="U623" s="5">
        <v>0</v>
      </c>
      <c r="V623" s="6">
        <f t="shared" ref="V623:V638" si="325">N623/M623</f>
        <v>5500</v>
      </c>
    </row>
    <row r="624" spans="1:22" ht="21.95" customHeight="1" x14ac:dyDescent="0.25">
      <c r="A624" s="40" t="s">
        <v>884</v>
      </c>
      <c r="B624" s="8" t="s">
        <v>625</v>
      </c>
      <c r="C624" s="2">
        <f t="shared" si="322"/>
        <v>1628000</v>
      </c>
      <c r="D624" s="3">
        <f t="shared" si="323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11">
        <v>0</v>
      </c>
      <c r="L624" s="5">
        <v>0</v>
      </c>
      <c r="M624" s="5">
        <v>296</v>
      </c>
      <c r="N624" s="3">
        <f t="shared" si="324"/>
        <v>1628000</v>
      </c>
      <c r="O624" s="5">
        <v>0</v>
      </c>
      <c r="P624" s="5">
        <v>0</v>
      </c>
      <c r="Q624" s="5">
        <v>0</v>
      </c>
      <c r="R624" s="3">
        <f>Q624*3000</f>
        <v>0</v>
      </c>
      <c r="S624" s="5">
        <v>0</v>
      </c>
      <c r="T624" s="5">
        <v>0</v>
      </c>
      <c r="U624" s="5">
        <v>0</v>
      </c>
      <c r="V624" s="6">
        <f t="shared" si="325"/>
        <v>5500</v>
      </c>
    </row>
    <row r="625" spans="1:22" ht="21.95" customHeight="1" x14ac:dyDescent="0.25">
      <c r="A625" s="40" t="s">
        <v>885</v>
      </c>
      <c r="B625" s="8" t="s">
        <v>626</v>
      </c>
      <c r="C625" s="2">
        <f t="shared" si="322"/>
        <v>1622500</v>
      </c>
      <c r="D625" s="3">
        <f t="shared" si="323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1">
        <v>0</v>
      </c>
      <c r="L625" s="5">
        <v>0</v>
      </c>
      <c r="M625" s="5">
        <v>295</v>
      </c>
      <c r="N625" s="3">
        <f t="shared" si="324"/>
        <v>1622500</v>
      </c>
      <c r="O625" s="5">
        <v>0</v>
      </c>
      <c r="P625" s="5">
        <v>0</v>
      </c>
      <c r="Q625" s="5">
        <v>0</v>
      </c>
      <c r="R625" s="3">
        <f>Q625*3000</f>
        <v>0</v>
      </c>
      <c r="S625" s="5">
        <v>0</v>
      </c>
      <c r="T625" s="5">
        <v>0</v>
      </c>
      <c r="U625" s="5">
        <v>0</v>
      </c>
      <c r="V625" s="6">
        <f t="shared" si="325"/>
        <v>5500</v>
      </c>
    </row>
    <row r="626" spans="1:22" ht="21.95" customHeight="1" x14ac:dyDescent="0.25">
      <c r="A626" s="40" t="s">
        <v>886</v>
      </c>
      <c r="B626" s="24" t="s">
        <v>1414</v>
      </c>
      <c r="C626" s="2">
        <f t="shared" si="322"/>
        <v>4300000</v>
      </c>
      <c r="D626" s="3">
        <f t="shared" si="323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4">
        <v>2</v>
      </c>
      <c r="L626" s="3">
        <f>K626*2150000</f>
        <v>4300000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6" t="e">
        <f t="shared" si="325"/>
        <v>#DIV/0!</v>
      </c>
    </row>
    <row r="627" spans="1:22" ht="21.95" customHeight="1" x14ac:dyDescent="0.25">
      <c r="A627" s="40" t="s">
        <v>887</v>
      </c>
      <c r="B627" s="24" t="s">
        <v>1386</v>
      </c>
      <c r="C627" s="2">
        <f>D627+L627+N627+P627+R627+S627+T627+U627</f>
        <v>5326697.04</v>
      </c>
      <c r="D627" s="3">
        <f>SUM(E627:J627)</f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4">
        <v>0</v>
      </c>
      <c r="L627" s="3">
        <v>0</v>
      </c>
      <c r="M627" s="3">
        <v>456.13</v>
      </c>
      <c r="N627" s="3">
        <v>2750175.12</v>
      </c>
      <c r="O627" s="3">
        <v>0</v>
      </c>
      <c r="P627" s="3">
        <v>0</v>
      </c>
      <c r="Q627" s="3">
        <v>1359</v>
      </c>
      <c r="R627" s="3">
        <v>2516238.71</v>
      </c>
      <c r="S627" s="3">
        <v>60283.21</v>
      </c>
      <c r="T627" s="3">
        <v>0</v>
      </c>
      <c r="U627" s="3">
        <v>0</v>
      </c>
      <c r="V627" s="6">
        <f>N627/M627</f>
        <v>6029.3668910179122</v>
      </c>
    </row>
    <row r="628" spans="1:22" ht="21.95" customHeight="1" x14ac:dyDescent="0.25">
      <c r="A628" s="40" t="s">
        <v>888</v>
      </c>
      <c r="B628" s="8" t="s">
        <v>1359</v>
      </c>
      <c r="C628" s="2">
        <f t="shared" si="322"/>
        <v>23298989</v>
      </c>
      <c r="D628" s="3">
        <f t="shared" si="323"/>
        <v>2311789</v>
      </c>
      <c r="E628" s="3">
        <f>350*983.74</f>
        <v>344309</v>
      </c>
      <c r="F628" s="3">
        <f>1050*983.74</f>
        <v>1032927</v>
      </c>
      <c r="G628" s="3">
        <f>300*983.74</f>
        <v>295122</v>
      </c>
      <c r="H628" s="3">
        <f>400*983.74</f>
        <v>393496</v>
      </c>
      <c r="I628" s="3">
        <f>250*983.74</f>
        <v>245935</v>
      </c>
      <c r="J628" s="3">
        <v>0</v>
      </c>
      <c r="K628" s="11">
        <v>0</v>
      </c>
      <c r="L628" s="5">
        <v>0</v>
      </c>
      <c r="M628" s="5">
        <v>1200</v>
      </c>
      <c r="N628" s="3">
        <f>M628*3686</f>
        <v>4423200</v>
      </c>
      <c r="O628" s="5">
        <v>0</v>
      </c>
      <c r="P628" s="5">
        <v>0</v>
      </c>
      <c r="Q628" s="5">
        <v>5488</v>
      </c>
      <c r="R628" s="3">
        <f t="shared" ref="R628:R634" si="326">Q628*3000</f>
        <v>16464000</v>
      </c>
      <c r="S628" s="5">
        <v>0</v>
      </c>
      <c r="T628" s="5">
        <v>0</v>
      </c>
      <c r="U628" s="5">
        <v>100000</v>
      </c>
      <c r="V628" s="6">
        <f t="shared" si="325"/>
        <v>3686</v>
      </c>
    </row>
    <row r="629" spans="1:22" ht="21.95" customHeight="1" x14ac:dyDescent="0.25">
      <c r="A629" s="40" t="s">
        <v>889</v>
      </c>
      <c r="B629" s="24" t="s">
        <v>1371</v>
      </c>
      <c r="C629" s="2">
        <f>D629+L629+N629+P629+R629+S629+T629+U629</f>
        <v>4541301.41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741</v>
      </c>
      <c r="N629" s="3">
        <f>M629*5500</f>
        <v>4075500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465801.41</v>
      </c>
      <c r="V629" s="6">
        <f>N629/M629</f>
        <v>5500</v>
      </c>
    </row>
    <row r="630" spans="1:22" ht="21.95" customHeight="1" x14ac:dyDescent="0.25">
      <c r="A630" s="40" t="s">
        <v>890</v>
      </c>
      <c r="B630" s="8" t="s">
        <v>419</v>
      </c>
      <c r="C630" s="2">
        <f>D630+L630+N630+P630+R630+S630+T630+U630</f>
        <v>1815000</v>
      </c>
      <c r="D630" s="3">
        <f>SUM(E630:J630)</f>
        <v>0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4">
        <v>0</v>
      </c>
      <c r="L630" s="3">
        <v>0</v>
      </c>
      <c r="M630" s="3">
        <v>330</v>
      </c>
      <c r="N630" s="3">
        <f>M630*5500</f>
        <v>1815000</v>
      </c>
      <c r="O630" s="3">
        <v>0</v>
      </c>
      <c r="P630" s="3">
        <v>0</v>
      </c>
      <c r="Q630" s="3">
        <v>0</v>
      </c>
      <c r="R630" s="3">
        <f>Q630*3000</f>
        <v>0</v>
      </c>
      <c r="S630" s="3">
        <v>0</v>
      </c>
      <c r="T630" s="5">
        <v>0</v>
      </c>
      <c r="U630" s="3">
        <v>0</v>
      </c>
      <c r="V630" s="6">
        <f>N630/M630</f>
        <v>5500</v>
      </c>
    </row>
    <row r="631" spans="1:22" ht="21.95" customHeight="1" x14ac:dyDescent="0.25">
      <c r="A631" s="40" t="s">
        <v>891</v>
      </c>
      <c r="B631" s="8" t="s">
        <v>627</v>
      </c>
      <c r="C631" s="2">
        <f t="shared" si="322"/>
        <v>3660600.0000000005</v>
      </c>
      <c r="D631" s="3">
        <f t="shared" si="323"/>
        <v>0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11">
        <v>0</v>
      </c>
      <c r="L631" s="5">
        <v>0</v>
      </c>
      <c r="M631" s="5">
        <v>629.20000000000005</v>
      </c>
      <c r="N631" s="3">
        <f t="shared" ref="N631:N638" si="327">M631*5500</f>
        <v>3460600.0000000005</v>
      </c>
      <c r="O631" s="5">
        <v>0</v>
      </c>
      <c r="P631" s="5">
        <v>0</v>
      </c>
      <c r="Q631" s="5">
        <v>0</v>
      </c>
      <c r="R631" s="3">
        <f t="shared" si="326"/>
        <v>0</v>
      </c>
      <c r="S631" s="5">
        <v>0</v>
      </c>
      <c r="T631" s="5">
        <v>0</v>
      </c>
      <c r="U631" s="5">
        <v>200000</v>
      </c>
      <c r="V631" s="6">
        <f t="shared" si="325"/>
        <v>5500</v>
      </c>
    </row>
    <row r="632" spans="1:22" ht="21.95" customHeight="1" x14ac:dyDescent="0.25">
      <c r="A632" s="40" t="s">
        <v>892</v>
      </c>
      <c r="B632" s="8" t="s">
        <v>630</v>
      </c>
      <c r="C632" s="2">
        <f>D632+L632+N632+P632+R632+S632+T632+U632</f>
        <v>13326500</v>
      </c>
      <c r="D632" s="3">
        <f>SUM(E632:J632)</f>
        <v>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11">
        <v>0</v>
      </c>
      <c r="L632" s="5">
        <v>0</v>
      </c>
      <c r="M632" s="5">
        <v>2423</v>
      </c>
      <c r="N632" s="3">
        <f>M632*5500</f>
        <v>13326500</v>
      </c>
      <c r="O632" s="5">
        <v>0</v>
      </c>
      <c r="P632" s="5">
        <v>0</v>
      </c>
      <c r="Q632" s="5">
        <v>0</v>
      </c>
      <c r="R632" s="3">
        <f>Q632*3000</f>
        <v>0</v>
      </c>
      <c r="S632" s="5">
        <v>0</v>
      </c>
      <c r="T632" s="5">
        <v>0</v>
      </c>
      <c r="U632" s="5">
        <v>0</v>
      </c>
      <c r="V632" s="6">
        <f>N632/M632</f>
        <v>5500</v>
      </c>
    </row>
    <row r="633" spans="1:22" ht="21.95" customHeight="1" x14ac:dyDescent="0.25">
      <c r="A633" s="40" t="s">
        <v>893</v>
      </c>
      <c r="B633" s="8" t="s">
        <v>628</v>
      </c>
      <c r="C633" s="2">
        <f t="shared" si="322"/>
        <v>3140500</v>
      </c>
      <c r="D633" s="3">
        <f t="shared" si="323"/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11">
        <v>0</v>
      </c>
      <c r="L633" s="5">
        <v>0</v>
      </c>
      <c r="M633" s="5">
        <v>571</v>
      </c>
      <c r="N633" s="3">
        <f t="shared" si="327"/>
        <v>3140500</v>
      </c>
      <c r="O633" s="5">
        <v>0</v>
      </c>
      <c r="P633" s="5">
        <v>0</v>
      </c>
      <c r="Q633" s="5">
        <v>0</v>
      </c>
      <c r="R633" s="3">
        <f t="shared" si="326"/>
        <v>0</v>
      </c>
      <c r="S633" s="5">
        <v>0</v>
      </c>
      <c r="T633" s="5">
        <v>0</v>
      </c>
      <c r="U633" s="5">
        <v>0</v>
      </c>
      <c r="V633" s="6">
        <f t="shared" si="325"/>
        <v>5500</v>
      </c>
    </row>
    <row r="634" spans="1:22" ht="21.95" customHeight="1" x14ac:dyDescent="0.25">
      <c r="A634" s="40" t="s">
        <v>894</v>
      </c>
      <c r="B634" s="8" t="s">
        <v>629</v>
      </c>
      <c r="C634" s="2">
        <f t="shared" si="322"/>
        <v>2645500</v>
      </c>
      <c r="D634" s="3">
        <f t="shared" si="323"/>
        <v>0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11">
        <v>0</v>
      </c>
      <c r="L634" s="5">
        <v>0</v>
      </c>
      <c r="M634" s="5">
        <v>481</v>
      </c>
      <c r="N634" s="3">
        <f t="shared" si="327"/>
        <v>2645500</v>
      </c>
      <c r="O634" s="5">
        <v>0</v>
      </c>
      <c r="P634" s="5">
        <v>0</v>
      </c>
      <c r="Q634" s="5">
        <v>0</v>
      </c>
      <c r="R634" s="3">
        <f t="shared" si="326"/>
        <v>0</v>
      </c>
      <c r="S634" s="5">
        <v>0</v>
      </c>
      <c r="T634" s="5">
        <v>0</v>
      </c>
      <c r="U634" s="5">
        <v>0</v>
      </c>
      <c r="V634" s="6">
        <f t="shared" si="325"/>
        <v>5500</v>
      </c>
    </row>
    <row r="635" spans="1:22" ht="21.95" customHeight="1" x14ac:dyDescent="0.25">
      <c r="A635" s="40" t="s">
        <v>895</v>
      </c>
      <c r="B635" s="8" t="s">
        <v>831</v>
      </c>
      <c r="C635" s="2">
        <f t="shared" si="322"/>
        <v>25785119.82</v>
      </c>
      <c r="D635" s="3">
        <f t="shared" si="323"/>
        <v>12969180</v>
      </c>
      <c r="E635" s="3">
        <f>350*5518.8</f>
        <v>1931580</v>
      </c>
      <c r="F635" s="3">
        <f>800*5518.8</f>
        <v>4415040</v>
      </c>
      <c r="G635" s="3">
        <f>300*5518.8</f>
        <v>1655640</v>
      </c>
      <c r="H635" s="3">
        <f>500*5518.8</f>
        <v>2759400</v>
      </c>
      <c r="I635" s="3">
        <f>400*5518.8</f>
        <v>2207520</v>
      </c>
      <c r="J635" s="3">
        <f>350*0</f>
        <v>0</v>
      </c>
      <c r="K635" s="4">
        <v>0</v>
      </c>
      <c r="L635" s="3">
        <v>0</v>
      </c>
      <c r="M635" s="5">
        <v>613.20000000000005</v>
      </c>
      <c r="N635" s="5">
        <v>2315458.5299999998</v>
      </c>
      <c r="O635" s="3">
        <v>819.8</v>
      </c>
      <c r="P635" s="3">
        <v>1125667.3799999999</v>
      </c>
      <c r="Q635" s="3">
        <v>3078</v>
      </c>
      <c r="R635" s="3">
        <v>9174813.9100000001</v>
      </c>
      <c r="S635" s="3">
        <v>0</v>
      </c>
      <c r="T635" s="3">
        <v>0</v>
      </c>
      <c r="U635" s="3">
        <v>200000</v>
      </c>
      <c r="V635" s="6">
        <f t="shared" si="325"/>
        <v>3776.0249999999992</v>
      </c>
    </row>
    <row r="636" spans="1:22" ht="21.95" customHeight="1" x14ac:dyDescent="0.25">
      <c r="A636" s="40" t="s">
        <v>896</v>
      </c>
      <c r="B636" s="8" t="s">
        <v>379</v>
      </c>
      <c r="C636" s="2">
        <f t="shared" si="322"/>
        <v>6596100</v>
      </c>
      <c r="D636" s="3">
        <f t="shared" si="323"/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4">
        <v>0</v>
      </c>
      <c r="L636" s="3">
        <v>0</v>
      </c>
      <c r="M636" s="3">
        <v>1090.2</v>
      </c>
      <c r="N636" s="3">
        <f t="shared" si="327"/>
        <v>5996100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600000</v>
      </c>
      <c r="V636" s="6">
        <f t="shared" si="325"/>
        <v>5500</v>
      </c>
    </row>
    <row r="637" spans="1:22" ht="21.95" customHeight="1" x14ac:dyDescent="0.25">
      <c r="A637" s="40" t="s">
        <v>897</v>
      </c>
      <c r="B637" s="8" t="s">
        <v>631</v>
      </c>
      <c r="C637" s="2">
        <f t="shared" si="322"/>
        <v>3029000</v>
      </c>
      <c r="D637" s="3">
        <f t="shared" si="323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11">
        <v>0</v>
      </c>
      <c r="L637" s="5">
        <v>0</v>
      </c>
      <c r="M637" s="5">
        <v>278</v>
      </c>
      <c r="N637" s="3">
        <f t="shared" si="327"/>
        <v>1529000</v>
      </c>
      <c r="O637" s="5">
        <v>0</v>
      </c>
      <c r="P637" s="5">
        <v>0</v>
      </c>
      <c r="Q637" s="5">
        <v>500</v>
      </c>
      <c r="R637" s="3">
        <f>Q637*3000</f>
        <v>1500000</v>
      </c>
      <c r="S637" s="5">
        <v>0</v>
      </c>
      <c r="T637" s="5">
        <v>0</v>
      </c>
      <c r="U637" s="5">
        <v>0</v>
      </c>
      <c r="V637" s="6">
        <f t="shared" si="325"/>
        <v>5500</v>
      </c>
    </row>
    <row r="638" spans="1:22" ht="21.95" customHeight="1" x14ac:dyDescent="0.25">
      <c r="A638" s="40" t="s">
        <v>898</v>
      </c>
      <c r="B638" s="23" t="s">
        <v>632</v>
      </c>
      <c r="C638" s="2">
        <f t="shared" si="322"/>
        <v>1534500</v>
      </c>
      <c r="D638" s="3">
        <f t="shared" si="323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11">
        <v>0</v>
      </c>
      <c r="L638" s="5">
        <v>0</v>
      </c>
      <c r="M638" s="5">
        <v>279</v>
      </c>
      <c r="N638" s="3">
        <f t="shared" si="327"/>
        <v>1534500</v>
      </c>
      <c r="O638" s="5">
        <v>0</v>
      </c>
      <c r="P638" s="5">
        <v>0</v>
      </c>
      <c r="Q638" s="5">
        <v>0</v>
      </c>
      <c r="R638" s="3">
        <f>Q638*3000</f>
        <v>0</v>
      </c>
      <c r="S638" s="5">
        <v>0</v>
      </c>
      <c r="T638" s="5">
        <v>0</v>
      </c>
      <c r="U638" s="5">
        <v>0</v>
      </c>
      <c r="V638" s="6">
        <f t="shared" si="325"/>
        <v>5500</v>
      </c>
    </row>
    <row r="639" spans="1:22" ht="21.95" customHeight="1" x14ac:dyDescent="0.25">
      <c r="A639" s="40" t="s">
        <v>899</v>
      </c>
      <c r="B639" s="8" t="s">
        <v>1538</v>
      </c>
      <c r="C639" s="2">
        <f>D639+L639+N639+P639+R639+S639+T639+U639</f>
        <v>13400000</v>
      </c>
      <c r="D639" s="3">
        <f>SUM(E639:J639)</f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11">
        <v>6</v>
      </c>
      <c r="L639" s="5">
        <f>K639*2150000</f>
        <v>12900000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3">
        <f>Q639*3000</f>
        <v>0</v>
      </c>
      <c r="S639" s="5">
        <v>0</v>
      </c>
      <c r="T639" s="5">
        <v>0</v>
      </c>
      <c r="U639" s="5">
        <v>500000</v>
      </c>
      <c r="V639" s="6" t="e">
        <f>N639/M639</f>
        <v>#DIV/0!</v>
      </c>
    </row>
    <row r="640" spans="1:22" ht="21.95" customHeight="1" x14ac:dyDescent="0.25">
      <c r="A640" s="40" t="s">
        <v>900</v>
      </c>
      <c r="B640" s="8" t="s">
        <v>547</v>
      </c>
      <c r="C640" s="2">
        <f t="shared" si="316"/>
        <v>300000</v>
      </c>
      <c r="D640" s="3">
        <f t="shared" ref="D640:D714" si="328">SUM(E640:J640)</f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11">
        <v>0</v>
      </c>
      <c r="L640" s="5">
        <v>0</v>
      </c>
      <c r="M640" s="5">
        <v>0</v>
      </c>
      <c r="N640" s="3">
        <v>0</v>
      </c>
      <c r="O640" s="5">
        <v>0</v>
      </c>
      <c r="P640" s="5">
        <v>0</v>
      </c>
      <c r="Q640" s="5">
        <v>0</v>
      </c>
      <c r="R640" s="3">
        <f t="shared" ref="R640:R715" si="329">Q640*3000</f>
        <v>0</v>
      </c>
      <c r="S640" s="5">
        <v>0</v>
      </c>
      <c r="T640" s="5">
        <v>0</v>
      </c>
      <c r="U640" s="5">
        <v>300000</v>
      </c>
      <c r="V640" s="6" t="e">
        <f t="shared" ref="V640:V715" si="330">N640/M640</f>
        <v>#DIV/0!</v>
      </c>
    </row>
    <row r="641" spans="1:22" ht="21.95" customHeight="1" x14ac:dyDescent="0.25">
      <c r="A641" s="40" t="s">
        <v>901</v>
      </c>
      <c r="B641" s="8" t="s">
        <v>633</v>
      </c>
      <c r="C641" s="2">
        <f t="shared" si="316"/>
        <v>1732500</v>
      </c>
      <c r="D641" s="3">
        <f t="shared" si="328"/>
        <v>0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11">
        <v>0</v>
      </c>
      <c r="L641" s="5">
        <v>0</v>
      </c>
      <c r="M641" s="5">
        <v>315</v>
      </c>
      <c r="N641" s="3">
        <f t="shared" ref="N641:N642" si="331">M641*5500</f>
        <v>1732500</v>
      </c>
      <c r="O641" s="5">
        <v>0</v>
      </c>
      <c r="P641" s="5">
        <v>0</v>
      </c>
      <c r="Q641" s="5">
        <v>0</v>
      </c>
      <c r="R641" s="3">
        <f t="shared" si="329"/>
        <v>0</v>
      </c>
      <c r="S641" s="5">
        <v>0</v>
      </c>
      <c r="T641" s="5">
        <v>0</v>
      </c>
      <c r="U641" s="5">
        <v>0</v>
      </c>
      <c r="V641" s="6">
        <f t="shared" si="330"/>
        <v>5500</v>
      </c>
    </row>
    <row r="642" spans="1:22" ht="21.95" customHeight="1" x14ac:dyDescent="0.25">
      <c r="A642" s="40" t="s">
        <v>902</v>
      </c>
      <c r="B642" s="23" t="s">
        <v>548</v>
      </c>
      <c r="C642" s="2">
        <f t="shared" si="316"/>
        <v>1732500</v>
      </c>
      <c r="D642" s="3">
        <f t="shared" si="328"/>
        <v>0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11">
        <v>0</v>
      </c>
      <c r="L642" s="5">
        <v>0</v>
      </c>
      <c r="M642" s="5">
        <v>315</v>
      </c>
      <c r="N642" s="3">
        <f t="shared" si="331"/>
        <v>1732500</v>
      </c>
      <c r="O642" s="5">
        <v>0</v>
      </c>
      <c r="P642" s="5">
        <v>0</v>
      </c>
      <c r="Q642" s="5">
        <v>0</v>
      </c>
      <c r="R642" s="3">
        <f t="shared" si="329"/>
        <v>0</v>
      </c>
      <c r="S642" s="5">
        <v>0</v>
      </c>
      <c r="T642" s="5">
        <v>0</v>
      </c>
      <c r="U642" s="5">
        <v>0</v>
      </c>
      <c r="V642" s="6">
        <f t="shared" si="330"/>
        <v>5500</v>
      </c>
    </row>
    <row r="643" spans="1:22" ht="21.95" customHeight="1" x14ac:dyDescent="0.25">
      <c r="A643" s="40" t="s">
        <v>903</v>
      </c>
      <c r="B643" s="8" t="s">
        <v>635</v>
      </c>
      <c r="C643" s="2">
        <f t="shared" si="316"/>
        <v>3311000</v>
      </c>
      <c r="D643" s="3">
        <f t="shared" si="328"/>
        <v>0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11">
        <v>0</v>
      </c>
      <c r="L643" s="5">
        <v>0</v>
      </c>
      <c r="M643" s="5">
        <v>602</v>
      </c>
      <c r="N643" s="3">
        <f t="shared" ref="N643:N650" si="332">M643*5500</f>
        <v>3311000</v>
      </c>
      <c r="O643" s="5">
        <v>0</v>
      </c>
      <c r="P643" s="5">
        <v>0</v>
      </c>
      <c r="Q643" s="5">
        <v>0</v>
      </c>
      <c r="R643" s="3">
        <f t="shared" si="329"/>
        <v>0</v>
      </c>
      <c r="S643" s="5">
        <v>0</v>
      </c>
      <c r="T643" s="5">
        <v>0</v>
      </c>
      <c r="U643" s="5">
        <v>0</v>
      </c>
      <c r="V643" s="6">
        <f t="shared" si="330"/>
        <v>5500</v>
      </c>
    </row>
    <row r="644" spans="1:22" ht="21.95" customHeight="1" x14ac:dyDescent="0.25">
      <c r="A644" s="40" t="s">
        <v>1327</v>
      </c>
      <c r="B644" s="8" t="s">
        <v>549</v>
      </c>
      <c r="C644" s="2">
        <f t="shared" si="316"/>
        <v>700000</v>
      </c>
      <c r="D644" s="3">
        <f t="shared" si="328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11">
        <v>0</v>
      </c>
      <c r="L644" s="5">
        <v>0</v>
      </c>
      <c r="M644" s="5">
        <v>0</v>
      </c>
      <c r="N644" s="3">
        <v>0</v>
      </c>
      <c r="O644" s="5">
        <v>0</v>
      </c>
      <c r="P644" s="5">
        <v>0</v>
      </c>
      <c r="Q644" s="5">
        <v>0</v>
      </c>
      <c r="R644" s="3">
        <f t="shared" si="329"/>
        <v>0</v>
      </c>
      <c r="S644" s="5">
        <v>500000</v>
      </c>
      <c r="T644" s="5">
        <v>0</v>
      </c>
      <c r="U644" s="5">
        <v>200000</v>
      </c>
      <c r="V644" s="6" t="e">
        <f t="shared" si="330"/>
        <v>#DIV/0!</v>
      </c>
    </row>
    <row r="645" spans="1:22" ht="21.95" customHeight="1" x14ac:dyDescent="0.25">
      <c r="A645" s="40" t="s">
        <v>1571</v>
      </c>
      <c r="B645" s="8" t="s">
        <v>634</v>
      </c>
      <c r="C645" s="2">
        <f t="shared" si="316"/>
        <v>3547500</v>
      </c>
      <c r="D645" s="3">
        <f t="shared" si="328"/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11">
        <v>0</v>
      </c>
      <c r="L645" s="5">
        <v>0</v>
      </c>
      <c r="M645" s="5">
        <v>645</v>
      </c>
      <c r="N645" s="3">
        <f t="shared" si="332"/>
        <v>3547500</v>
      </c>
      <c r="O645" s="5">
        <v>0</v>
      </c>
      <c r="P645" s="5">
        <v>0</v>
      </c>
      <c r="Q645" s="5">
        <v>0</v>
      </c>
      <c r="R645" s="3">
        <f t="shared" si="329"/>
        <v>0</v>
      </c>
      <c r="S645" s="5">
        <v>0</v>
      </c>
      <c r="T645" s="5">
        <v>0</v>
      </c>
      <c r="U645" s="5">
        <v>0</v>
      </c>
      <c r="V645" s="6">
        <f t="shared" si="330"/>
        <v>5500</v>
      </c>
    </row>
    <row r="646" spans="1:22" ht="21.95" customHeight="1" x14ac:dyDescent="0.25">
      <c r="A646" s="40" t="s">
        <v>904</v>
      </c>
      <c r="B646" s="8" t="s">
        <v>636</v>
      </c>
      <c r="C646" s="2">
        <f t="shared" si="316"/>
        <v>11077318</v>
      </c>
      <c r="D646" s="3">
        <f t="shared" si="328"/>
        <v>2857318</v>
      </c>
      <c r="E646" s="3">
        <f>350*1215.88</f>
        <v>425558.00000000006</v>
      </c>
      <c r="F646" s="3">
        <f>1050*1215.88</f>
        <v>1276674</v>
      </c>
      <c r="G646" s="3">
        <f>300*1215.88</f>
        <v>364764.00000000006</v>
      </c>
      <c r="H646" s="3">
        <f>400*1215.88</f>
        <v>486352.00000000006</v>
      </c>
      <c r="I646" s="3">
        <f>250*1215.88</f>
        <v>303970</v>
      </c>
      <c r="J646" s="3">
        <v>0</v>
      </c>
      <c r="K646" s="11">
        <v>0</v>
      </c>
      <c r="L646" s="5">
        <v>0</v>
      </c>
      <c r="M646" s="5">
        <v>908</v>
      </c>
      <c r="N646" s="3">
        <f t="shared" si="332"/>
        <v>4994000</v>
      </c>
      <c r="O646" s="5">
        <v>0</v>
      </c>
      <c r="P646" s="5">
        <v>0</v>
      </c>
      <c r="Q646" s="5">
        <v>1042</v>
      </c>
      <c r="R646" s="3">
        <f t="shared" si="329"/>
        <v>3126000</v>
      </c>
      <c r="S646" s="5">
        <v>0</v>
      </c>
      <c r="T646" s="5">
        <v>0</v>
      </c>
      <c r="U646" s="5">
        <v>100000</v>
      </c>
      <c r="V646" s="6">
        <f t="shared" si="330"/>
        <v>5500</v>
      </c>
    </row>
    <row r="647" spans="1:22" ht="21.95" customHeight="1" x14ac:dyDescent="0.25">
      <c r="A647" s="40" t="s">
        <v>905</v>
      </c>
      <c r="B647" s="8" t="s">
        <v>550</v>
      </c>
      <c r="C647" s="2">
        <f t="shared" si="316"/>
        <v>2101000</v>
      </c>
      <c r="D647" s="3">
        <f t="shared" si="328"/>
        <v>0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11">
        <v>0</v>
      </c>
      <c r="L647" s="5">
        <v>0</v>
      </c>
      <c r="M647" s="5">
        <v>382</v>
      </c>
      <c r="N647" s="3">
        <f t="shared" si="332"/>
        <v>2101000</v>
      </c>
      <c r="O647" s="5">
        <v>0</v>
      </c>
      <c r="P647" s="5">
        <v>0</v>
      </c>
      <c r="Q647" s="5">
        <v>0</v>
      </c>
      <c r="R647" s="3">
        <f t="shared" si="329"/>
        <v>0</v>
      </c>
      <c r="S647" s="5">
        <v>0</v>
      </c>
      <c r="T647" s="5">
        <v>0</v>
      </c>
      <c r="U647" s="5">
        <v>0</v>
      </c>
      <c r="V647" s="6">
        <f t="shared" si="330"/>
        <v>5500</v>
      </c>
    </row>
    <row r="648" spans="1:22" ht="21.95" customHeight="1" x14ac:dyDescent="0.25">
      <c r="A648" s="40" t="s">
        <v>906</v>
      </c>
      <c r="B648" s="8" t="s">
        <v>551</v>
      </c>
      <c r="C648" s="2">
        <f t="shared" si="316"/>
        <v>2090000</v>
      </c>
      <c r="D648" s="3">
        <f t="shared" si="328"/>
        <v>0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11">
        <v>0</v>
      </c>
      <c r="L648" s="5">
        <v>0</v>
      </c>
      <c r="M648" s="5">
        <v>380</v>
      </c>
      <c r="N648" s="3">
        <f t="shared" si="332"/>
        <v>2090000</v>
      </c>
      <c r="O648" s="5">
        <v>0</v>
      </c>
      <c r="P648" s="5">
        <v>0</v>
      </c>
      <c r="Q648" s="5">
        <v>0</v>
      </c>
      <c r="R648" s="3">
        <f t="shared" si="329"/>
        <v>0</v>
      </c>
      <c r="S648" s="5">
        <v>0</v>
      </c>
      <c r="T648" s="5">
        <v>0</v>
      </c>
      <c r="U648" s="5">
        <v>0</v>
      </c>
      <c r="V648" s="6">
        <f t="shared" si="330"/>
        <v>5500</v>
      </c>
    </row>
    <row r="649" spans="1:22" ht="21.95" customHeight="1" x14ac:dyDescent="0.25">
      <c r="A649" s="40" t="s">
        <v>907</v>
      </c>
      <c r="B649" s="8" t="s">
        <v>637</v>
      </c>
      <c r="C649" s="2">
        <f t="shared" si="316"/>
        <v>1485000</v>
      </c>
      <c r="D649" s="3">
        <f t="shared" si="328"/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11">
        <v>0</v>
      </c>
      <c r="L649" s="5">
        <v>0</v>
      </c>
      <c r="M649" s="5">
        <v>270</v>
      </c>
      <c r="N649" s="3">
        <f t="shared" si="332"/>
        <v>1485000</v>
      </c>
      <c r="O649" s="5">
        <v>0</v>
      </c>
      <c r="P649" s="5">
        <v>0</v>
      </c>
      <c r="Q649" s="5">
        <v>0</v>
      </c>
      <c r="R649" s="3">
        <f t="shared" si="329"/>
        <v>0</v>
      </c>
      <c r="S649" s="5">
        <v>0</v>
      </c>
      <c r="T649" s="5">
        <v>0</v>
      </c>
      <c r="U649" s="5">
        <v>0</v>
      </c>
      <c r="V649" s="6">
        <f t="shared" si="330"/>
        <v>5500</v>
      </c>
    </row>
    <row r="650" spans="1:22" ht="21.95" customHeight="1" x14ac:dyDescent="0.25">
      <c r="A650" s="40" t="s">
        <v>908</v>
      </c>
      <c r="B650" s="8" t="s">
        <v>638</v>
      </c>
      <c r="C650" s="2">
        <f t="shared" si="316"/>
        <v>1479500</v>
      </c>
      <c r="D650" s="3">
        <f t="shared" si="328"/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11">
        <v>0</v>
      </c>
      <c r="L650" s="5">
        <v>0</v>
      </c>
      <c r="M650" s="5">
        <v>269</v>
      </c>
      <c r="N650" s="3">
        <f t="shared" si="332"/>
        <v>1479500</v>
      </c>
      <c r="O650" s="5">
        <v>0</v>
      </c>
      <c r="P650" s="5">
        <v>0</v>
      </c>
      <c r="Q650" s="5">
        <v>0</v>
      </c>
      <c r="R650" s="3">
        <f t="shared" si="329"/>
        <v>0</v>
      </c>
      <c r="S650" s="5">
        <v>0</v>
      </c>
      <c r="T650" s="5">
        <v>0</v>
      </c>
      <c r="U650" s="5">
        <v>0</v>
      </c>
      <c r="V650" s="6">
        <f t="shared" si="330"/>
        <v>5500</v>
      </c>
    </row>
    <row r="651" spans="1:22" ht="21.95" customHeight="1" x14ac:dyDescent="0.25">
      <c r="A651" s="40" t="s">
        <v>909</v>
      </c>
      <c r="B651" s="8" t="s">
        <v>639</v>
      </c>
      <c r="C651" s="2">
        <f t="shared" si="316"/>
        <v>892702</v>
      </c>
      <c r="D651" s="3">
        <f t="shared" si="328"/>
        <v>792702</v>
      </c>
      <c r="E651" s="5">
        <f>350*337.32</f>
        <v>118062</v>
      </c>
      <c r="F651" s="5">
        <f>1050*337.32</f>
        <v>354186</v>
      </c>
      <c r="G651" s="5">
        <f>300*337.32</f>
        <v>101196</v>
      </c>
      <c r="H651" s="5">
        <f>400*337.32</f>
        <v>134928</v>
      </c>
      <c r="I651" s="5">
        <f>250*337.32</f>
        <v>84330</v>
      </c>
      <c r="J651" s="5">
        <f>350*0</f>
        <v>0</v>
      </c>
      <c r="K651" s="11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3">
        <f t="shared" si="329"/>
        <v>0</v>
      </c>
      <c r="S651" s="5">
        <v>0</v>
      </c>
      <c r="T651" s="5">
        <v>0</v>
      </c>
      <c r="U651" s="5">
        <v>100000</v>
      </c>
      <c r="V651" s="6" t="e">
        <f t="shared" si="330"/>
        <v>#DIV/0!</v>
      </c>
    </row>
    <row r="652" spans="1:22" ht="21.95" customHeight="1" x14ac:dyDescent="0.25">
      <c r="A652" s="40" t="s">
        <v>910</v>
      </c>
      <c r="B652" s="8" t="s">
        <v>640</v>
      </c>
      <c r="C652" s="2">
        <f t="shared" si="316"/>
        <v>1584000</v>
      </c>
      <c r="D652" s="3">
        <f t="shared" si="328"/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11">
        <v>0</v>
      </c>
      <c r="L652" s="5">
        <v>0</v>
      </c>
      <c r="M652" s="5">
        <v>288</v>
      </c>
      <c r="N652" s="3">
        <f t="shared" ref="N652" si="333">M652*5500</f>
        <v>1584000</v>
      </c>
      <c r="O652" s="5">
        <v>0</v>
      </c>
      <c r="P652" s="5">
        <v>0</v>
      </c>
      <c r="Q652" s="5">
        <v>0</v>
      </c>
      <c r="R652" s="3">
        <f t="shared" si="329"/>
        <v>0</v>
      </c>
      <c r="S652" s="5">
        <v>0</v>
      </c>
      <c r="T652" s="5">
        <v>0</v>
      </c>
      <c r="U652" s="5">
        <v>0</v>
      </c>
      <c r="V652" s="6">
        <f t="shared" si="330"/>
        <v>5500</v>
      </c>
    </row>
    <row r="653" spans="1:22" ht="21.95" customHeight="1" x14ac:dyDescent="0.25">
      <c r="A653" s="40" t="s">
        <v>911</v>
      </c>
      <c r="B653" s="8" t="s">
        <v>641</v>
      </c>
      <c r="C653" s="2">
        <f t="shared" si="316"/>
        <v>2183510</v>
      </c>
      <c r="D653" s="3">
        <f t="shared" si="328"/>
        <v>814510</v>
      </c>
      <c r="E653" s="5">
        <f>350*346.6</f>
        <v>121310.00000000001</v>
      </c>
      <c r="F653" s="5">
        <f>1050*346.6</f>
        <v>363930</v>
      </c>
      <c r="G653" s="5">
        <f>300*346.6</f>
        <v>103980</v>
      </c>
      <c r="H653" s="5">
        <f>400*346.6</f>
        <v>138640</v>
      </c>
      <c r="I653" s="5">
        <f>250*346.6</f>
        <v>86650</v>
      </c>
      <c r="J653" s="5">
        <f>350*0</f>
        <v>0</v>
      </c>
      <c r="K653" s="11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423</v>
      </c>
      <c r="R653" s="3">
        <f t="shared" si="329"/>
        <v>1269000</v>
      </c>
      <c r="S653" s="5">
        <v>0</v>
      </c>
      <c r="T653" s="5">
        <v>0</v>
      </c>
      <c r="U653" s="5">
        <v>100000</v>
      </c>
      <c r="V653" s="6" t="e">
        <f t="shared" si="330"/>
        <v>#DIV/0!</v>
      </c>
    </row>
    <row r="654" spans="1:22" ht="21.95" customHeight="1" x14ac:dyDescent="0.25">
      <c r="A654" s="40" t="s">
        <v>912</v>
      </c>
      <c r="B654" s="8" t="s">
        <v>642</v>
      </c>
      <c r="C654" s="2">
        <f t="shared" si="316"/>
        <v>1507000</v>
      </c>
      <c r="D654" s="3">
        <f t="shared" si="328"/>
        <v>0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11">
        <v>0</v>
      </c>
      <c r="L654" s="5">
        <v>0</v>
      </c>
      <c r="M654" s="5">
        <v>274</v>
      </c>
      <c r="N654" s="3">
        <f t="shared" ref="N654:N673" si="334">M654*5500</f>
        <v>1507000</v>
      </c>
      <c r="O654" s="5">
        <v>0</v>
      </c>
      <c r="P654" s="5">
        <v>0</v>
      </c>
      <c r="Q654" s="5">
        <v>0</v>
      </c>
      <c r="R654" s="3">
        <f t="shared" si="329"/>
        <v>0</v>
      </c>
      <c r="S654" s="5">
        <v>0</v>
      </c>
      <c r="T654" s="5">
        <v>0</v>
      </c>
      <c r="U654" s="5">
        <v>0</v>
      </c>
      <c r="V654" s="6">
        <f t="shared" si="330"/>
        <v>5500</v>
      </c>
    </row>
    <row r="655" spans="1:22" ht="21.95" customHeight="1" x14ac:dyDescent="0.25">
      <c r="A655" s="40" t="s">
        <v>913</v>
      </c>
      <c r="B655" s="8" t="s">
        <v>643</v>
      </c>
      <c r="C655" s="2">
        <f t="shared" si="316"/>
        <v>1562000</v>
      </c>
      <c r="D655" s="3">
        <f t="shared" si="328"/>
        <v>0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11">
        <v>0</v>
      </c>
      <c r="L655" s="5">
        <v>0</v>
      </c>
      <c r="M655" s="5">
        <v>284</v>
      </c>
      <c r="N655" s="3">
        <f t="shared" si="334"/>
        <v>1562000</v>
      </c>
      <c r="O655" s="5">
        <v>0</v>
      </c>
      <c r="P655" s="5">
        <v>0</v>
      </c>
      <c r="Q655" s="5">
        <v>0</v>
      </c>
      <c r="R655" s="3">
        <f t="shared" si="329"/>
        <v>0</v>
      </c>
      <c r="S655" s="5">
        <v>0</v>
      </c>
      <c r="T655" s="5">
        <v>0</v>
      </c>
      <c r="U655" s="5">
        <v>0</v>
      </c>
      <c r="V655" s="6">
        <f t="shared" si="330"/>
        <v>5500</v>
      </c>
    </row>
    <row r="656" spans="1:22" ht="21.95" customHeight="1" x14ac:dyDescent="0.25">
      <c r="A656" s="40" t="s">
        <v>914</v>
      </c>
      <c r="B656" s="8" t="s">
        <v>644</v>
      </c>
      <c r="C656" s="2">
        <f t="shared" si="316"/>
        <v>3351149.9999999995</v>
      </c>
      <c r="D656" s="3">
        <f t="shared" si="328"/>
        <v>0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11">
        <v>0</v>
      </c>
      <c r="L656" s="5">
        <v>0</v>
      </c>
      <c r="M656" s="5">
        <v>609.29999999999995</v>
      </c>
      <c r="N656" s="3">
        <f t="shared" si="334"/>
        <v>3351149.9999999995</v>
      </c>
      <c r="O656" s="5">
        <v>0</v>
      </c>
      <c r="P656" s="5">
        <v>0</v>
      </c>
      <c r="Q656" s="5">
        <v>0</v>
      </c>
      <c r="R656" s="3">
        <f t="shared" si="329"/>
        <v>0</v>
      </c>
      <c r="S656" s="5">
        <v>0</v>
      </c>
      <c r="T656" s="5">
        <v>0</v>
      </c>
      <c r="U656" s="5">
        <v>0</v>
      </c>
      <c r="V656" s="6">
        <f t="shared" si="330"/>
        <v>5500</v>
      </c>
    </row>
    <row r="657" spans="1:22" ht="21.95" customHeight="1" x14ac:dyDescent="0.25">
      <c r="A657" s="40" t="s">
        <v>915</v>
      </c>
      <c r="B657" s="24" t="s">
        <v>1370</v>
      </c>
      <c r="C657" s="2">
        <f>D657+L657+N657+P657+R657+S657+T657+U657</f>
        <v>2150913.14</v>
      </c>
      <c r="D657" s="3">
        <f>SUM(E657:J657)</f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312.19</v>
      </c>
      <c r="N657" s="3">
        <f>M657*5500</f>
        <v>1717045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433868.14</v>
      </c>
      <c r="V657" s="6">
        <f>N657/M657</f>
        <v>5500</v>
      </c>
    </row>
    <row r="658" spans="1:22" ht="21.95" customHeight="1" x14ac:dyDescent="0.25">
      <c r="A658" s="40" t="s">
        <v>916</v>
      </c>
      <c r="B658" s="8" t="s">
        <v>645</v>
      </c>
      <c r="C658" s="2">
        <f t="shared" si="316"/>
        <v>1705000</v>
      </c>
      <c r="D658" s="3">
        <f t="shared" si="328"/>
        <v>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11">
        <v>0</v>
      </c>
      <c r="L658" s="5">
        <v>0</v>
      </c>
      <c r="M658" s="5">
        <v>310</v>
      </c>
      <c r="N658" s="3">
        <f t="shared" si="334"/>
        <v>1705000</v>
      </c>
      <c r="O658" s="5">
        <v>0</v>
      </c>
      <c r="P658" s="5">
        <v>0</v>
      </c>
      <c r="Q658" s="5">
        <v>0</v>
      </c>
      <c r="R658" s="3">
        <f t="shared" si="329"/>
        <v>0</v>
      </c>
      <c r="S658" s="5">
        <v>0</v>
      </c>
      <c r="T658" s="5">
        <v>0</v>
      </c>
      <c r="U658" s="5">
        <v>0</v>
      </c>
      <c r="V658" s="6">
        <f t="shared" si="330"/>
        <v>5500</v>
      </c>
    </row>
    <row r="659" spans="1:22" ht="21.95" customHeight="1" x14ac:dyDescent="0.25">
      <c r="A659" s="40" t="s">
        <v>917</v>
      </c>
      <c r="B659" s="8" t="s">
        <v>552</v>
      </c>
      <c r="C659" s="2">
        <f t="shared" si="316"/>
        <v>1699500</v>
      </c>
      <c r="D659" s="3">
        <f t="shared" si="328"/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11">
        <v>0</v>
      </c>
      <c r="L659" s="5">
        <v>0</v>
      </c>
      <c r="M659" s="5">
        <v>309</v>
      </c>
      <c r="N659" s="3">
        <f t="shared" si="334"/>
        <v>1699500</v>
      </c>
      <c r="O659" s="5">
        <v>0</v>
      </c>
      <c r="P659" s="5">
        <v>0</v>
      </c>
      <c r="Q659" s="5">
        <v>0</v>
      </c>
      <c r="R659" s="3">
        <f t="shared" si="329"/>
        <v>0</v>
      </c>
      <c r="S659" s="5">
        <v>0</v>
      </c>
      <c r="T659" s="5">
        <v>0</v>
      </c>
      <c r="U659" s="5">
        <v>0</v>
      </c>
      <c r="V659" s="6">
        <f t="shared" si="330"/>
        <v>5500</v>
      </c>
    </row>
    <row r="660" spans="1:22" ht="21.95" customHeight="1" x14ac:dyDescent="0.25">
      <c r="A660" s="40" t="s">
        <v>918</v>
      </c>
      <c r="B660" s="8" t="s">
        <v>646</v>
      </c>
      <c r="C660" s="2">
        <f t="shared" si="316"/>
        <v>1628000</v>
      </c>
      <c r="D660" s="3">
        <f t="shared" si="328"/>
        <v>0</v>
      </c>
      <c r="E660" s="3">
        <v>0</v>
      </c>
      <c r="F660" s="3">
        <v>0</v>
      </c>
      <c r="G660" s="3">
        <v>0</v>
      </c>
      <c r="H660" s="3">
        <v>0</v>
      </c>
      <c r="I660" s="3">
        <v>0</v>
      </c>
      <c r="J660" s="3">
        <v>0</v>
      </c>
      <c r="K660" s="11">
        <v>0</v>
      </c>
      <c r="L660" s="5">
        <v>0</v>
      </c>
      <c r="M660" s="5">
        <v>296</v>
      </c>
      <c r="N660" s="3">
        <f t="shared" si="334"/>
        <v>1628000</v>
      </c>
      <c r="O660" s="5">
        <v>0</v>
      </c>
      <c r="P660" s="5">
        <v>0</v>
      </c>
      <c r="Q660" s="5">
        <v>0</v>
      </c>
      <c r="R660" s="3">
        <f t="shared" si="329"/>
        <v>0</v>
      </c>
      <c r="S660" s="5">
        <v>0</v>
      </c>
      <c r="T660" s="5">
        <v>0</v>
      </c>
      <c r="U660" s="5">
        <v>0</v>
      </c>
      <c r="V660" s="6">
        <f t="shared" si="330"/>
        <v>5500</v>
      </c>
    </row>
    <row r="661" spans="1:22" ht="21.95" customHeight="1" x14ac:dyDescent="0.25">
      <c r="A661" s="40" t="s">
        <v>919</v>
      </c>
      <c r="B661" s="8" t="s">
        <v>647</v>
      </c>
      <c r="C661" s="2">
        <f t="shared" si="316"/>
        <v>979000</v>
      </c>
      <c r="D661" s="3">
        <f t="shared" si="328"/>
        <v>0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11">
        <v>0</v>
      </c>
      <c r="L661" s="5">
        <v>0</v>
      </c>
      <c r="M661" s="5">
        <v>178</v>
      </c>
      <c r="N661" s="3">
        <f t="shared" si="334"/>
        <v>979000</v>
      </c>
      <c r="O661" s="5">
        <v>0</v>
      </c>
      <c r="P661" s="5">
        <v>0</v>
      </c>
      <c r="Q661" s="5">
        <v>0</v>
      </c>
      <c r="R661" s="3">
        <f t="shared" si="329"/>
        <v>0</v>
      </c>
      <c r="S661" s="5">
        <v>0</v>
      </c>
      <c r="T661" s="5">
        <v>0</v>
      </c>
      <c r="U661" s="5">
        <v>0</v>
      </c>
      <c r="V661" s="6">
        <f t="shared" si="330"/>
        <v>5500</v>
      </c>
    </row>
    <row r="662" spans="1:22" ht="21.95" customHeight="1" x14ac:dyDescent="0.25">
      <c r="A662" s="40" t="s">
        <v>920</v>
      </c>
      <c r="B662" s="8" t="s">
        <v>457</v>
      </c>
      <c r="C662" s="2">
        <f t="shared" si="316"/>
        <v>4348264.43</v>
      </c>
      <c r="D662" s="3">
        <f t="shared" ref="D662" si="335">SUM(E662:J662)</f>
        <v>0</v>
      </c>
      <c r="E662" s="3">
        <v>0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4">
        <v>0</v>
      </c>
      <c r="L662" s="3">
        <v>0</v>
      </c>
      <c r="M662" s="3">
        <v>717</v>
      </c>
      <c r="N662" s="3">
        <v>4348264.43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6">
        <f t="shared" si="330"/>
        <v>6064.5250069735002</v>
      </c>
    </row>
    <row r="663" spans="1:22" ht="21.95" customHeight="1" x14ac:dyDescent="0.25">
      <c r="A663" s="40" t="s">
        <v>921</v>
      </c>
      <c r="B663" s="24" t="s">
        <v>1380</v>
      </c>
      <c r="C663" s="2">
        <f>D663+L663+N663+P663+R663+S663+T663+U663</f>
        <v>4295000</v>
      </c>
      <c r="D663" s="3">
        <f>SUM(E663:J663)</f>
        <v>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4">
        <v>0</v>
      </c>
      <c r="L663" s="3">
        <v>0</v>
      </c>
      <c r="M663" s="3">
        <v>690</v>
      </c>
      <c r="N663" s="3">
        <f>M663*5500</f>
        <v>3795000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500000</v>
      </c>
      <c r="V663" s="6">
        <f>N663/M663</f>
        <v>5500</v>
      </c>
    </row>
    <row r="664" spans="1:22" ht="21.95" customHeight="1" x14ac:dyDescent="0.25">
      <c r="A664" s="40" t="s">
        <v>922</v>
      </c>
      <c r="B664" s="8" t="s">
        <v>650</v>
      </c>
      <c r="C664" s="2">
        <f>D664+L664+N664+P664+R664+S664+T664+U664</f>
        <v>2997500</v>
      </c>
      <c r="D664" s="3">
        <f>SUM(E664:J664)</f>
        <v>0</v>
      </c>
      <c r="E664" s="3">
        <v>0</v>
      </c>
      <c r="F664" s="3">
        <v>0</v>
      </c>
      <c r="G664" s="3">
        <v>0</v>
      </c>
      <c r="H664" s="3">
        <v>0</v>
      </c>
      <c r="I664" s="3">
        <v>0</v>
      </c>
      <c r="J664" s="3">
        <v>0</v>
      </c>
      <c r="K664" s="11">
        <v>0</v>
      </c>
      <c r="L664" s="5">
        <v>0</v>
      </c>
      <c r="M664" s="5">
        <v>545</v>
      </c>
      <c r="N664" s="3">
        <f>M664*5500</f>
        <v>2997500</v>
      </c>
      <c r="O664" s="5">
        <v>0</v>
      </c>
      <c r="P664" s="5">
        <v>0</v>
      </c>
      <c r="Q664" s="5">
        <v>0</v>
      </c>
      <c r="R664" s="3">
        <f>Q664*3000</f>
        <v>0</v>
      </c>
      <c r="S664" s="5">
        <v>0</v>
      </c>
      <c r="T664" s="5">
        <v>0</v>
      </c>
      <c r="U664" s="5">
        <v>0</v>
      </c>
      <c r="V664" s="6">
        <f>N664/M664</f>
        <v>5500</v>
      </c>
    </row>
    <row r="665" spans="1:22" ht="21.95" customHeight="1" x14ac:dyDescent="0.25">
      <c r="A665" s="40" t="s">
        <v>923</v>
      </c>
      <c r="B665" s="8" t="s">
        <v>648</v>
      </c>
      <c r="C665" s="2">
        <f t="shared" si="316"/>
        <v>1428900</v>
      </c>
      <c r="D665" s="3">
        <f t="shared" si="328"/>
        <v>0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11">
        <v>0</v>
      </c>
      <c r="L665" s="5">
        <v>0</v>
      </c>
      <c r="M665" s="5">
        <v>259.8</v>
      </c>
      <c r="N665" s="3">
        <f t="shared" si="334"/>
        <v>1428900</v>
      </c>
      <c r="O665" s="5">
        <v>0</v>
      </c>
      <c r="P665" s="5">
        <v>0</v>
      </c>
      <c r="Q665" s="5">
        <v>0</v>
      </c>
      <c r="R665" s="3">
        <f t="shared" si="329"/>
        <v>0</v>
      </c>
      <c r="S665" s="5">
        <v>0</v>
      </c>
      <c r="T665" s="5">
        <v>0</v>
      </c>
      <c r="U665" s="5">
        <v>0</v>
      </c>
      <c r="V665" s="6">
        <f t="shared" si="330"/>
        <v>5500</v>
      </c>
    </row>
    <row r="666" spans="1:22" ht="21.95" customHeight="1" x14ac:dyDescent="0.25">
      <c r="A666" s="40" t="s">
        <v>924</v>
      </c>
      <c r="B666" s="8" t="s">
        <v>649</v>
      </c>
      <c r="C666" s="2">
        <f t="shared" si="316"/>
        <v>2744500</v>
      </c>
      <c r="D666" s="3">
        <f t="shared" si="328"/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11">
        <v>0</v>
      </c>
      <c r="L666" s="5">
        <v>0</v>
      </c>
      <c r="M666" s="5">
        <v>499</v>
      </c>
      <c r="N666" s="3">
        <f t="shared" si="334"/>
        <v>2744500</v>
      </c>
      <c r="O666" s="5">
        <v>0</v>
      </c>
      <c r="P666" s="5">
        <v>0</v>
      </c>
      <c r="Q666" s="5">
        <v>0</v>
      </c>
      <c r="R666" s="3">
        <f t="shared" si="329"/>
        <v>0</v>
      </c>
      <c r="S666" s="5">
        <v>0</v>
      </c>
      <c r="T666" s="5">
        <v>0</v>
      </c>
      <c r="U666" s="5">
        <v>0</v>
      </c>
      <c r="V666" s="6">
        <f t="shared" si="330"/>
        <v>5500</v>
      </c>
    </row>
    <row r="667" spans="1:22" ht="21.95" customHeight="1" x14ac:dyDescent="0.25">
      <c r="A667" s="40" t="s">
        <v>925</v>
      </c>
      <c r="B667" s="8" t="s">
        <v>553</v>
      </c>
      <c r="C667" s="2">
        <f t="shared" si="316"/>
        <v>1844150</v>
      </c>
      <c r="D667" s="3">
        <f t="shared" si="328"/>
        <v>0</v>
      </c>
      <c r="E667" s="3">
        <v>0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11">
        <v>0</v>
      </c>
      <c r="L667" s="5">
        <v>0</v>
      </c>
      <c r="M667" s="5">
        <v>335.3</v>
      </c>
      <c r="N667" s="3">
        <f t="shared" si="334"/>
        <v>1844150</v>
      </c>
      <c r="O667" s="5">
        <v>0</v>
      </c>
      <c r="P667" s="5">
        <v>0</v>
      </c>
      <c r="Q667" s="5">
        <v>0</v>
      </c>
      <c r="R667" s="3">
        <f t="shared" si="329"/>
        <v>0</v>
      </c>
      <c r="S667" s="5">
        <v>0</v>
      </c>
      <c r="T667" s="5">
        <v>0</v>
      </c>
      <c r="U667" s="5">
        <v>0</v>
      </c>
      <c r="V667" s="6">
        <f t="shared" si="330"/>
        <v>5500</v>
      </c>
    </row>
    <row r="668" spans="1:22" ht="21.95" customHeight="1" x14ac:dyDescent="0.25">
      <c r="A668" s="40" t="s">
        <v>1419</v>
      </c>
      <c r="B668" s="8" t="s">
        <v>651</v>
      </c>
      <c r="C668" s="2">
        <f t="shared" si="316"/>
        <v>2816000</v>
      </c>
      <c r="D668" s="3">
        <f t="shared" si="328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11">
        <v>0</v>
      </c>
      <c r="L668" s="5">
        <v>0</v>
      </c>
      <c r="M668" s="5">
        <v>512</v>
      </c>
      <c r="N668" s="3">
        <f t="shared" si="334"/>
        <v>2816000</v>
      </c>
      <c r="O668" s="5">
        <v>0</v>
      </c>
      <c r="P668" s="5">
        <v>0</v>
      </c>
      <c r="Q668" s="5">
        <v>0</v>
      </c>
      <c r="R668" s="3">
        <f t="shared" si="329"/>
        <v>0</v>
      </c>
      <c r="S668" s="5">
        <v>0</v>
      </c>
      <c r="T668" s="5">
        <v>0</v>
      </c>
      <c r="U668" s="5">
        <v>0</v>
      </c>
      <c r="V668" s="6">
        <f t="shared" si="330"/>
        <v>5500</v>
      </c>
    </row>
    <row r="669" spans="1:22" ht="21.95" customHeight="1" x14ac:dyDescent="0.25">
      <c r="A669" s="40" t="s">
        <v>926</v>
      </c>
      <c r="B669" s="8" t="s">
        <v>652</v>
      </c>
      <c r="C669" s="2">
        <f t="shared" si="316"/>
        <v>2321000</v>
      </c>
      <c r="D669" s="3">
        <f t="shared" si="328"/>
        <v>0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11">
        <v>0</v>
      </c>
      <c r="L669" s="5">
        <v>0</v>
      </c>
      <c r="M669" s="5">
        <v>422</v>
      </c>
      <c r="N669" s="3">
        <f t="shared" si="334"/>
        <v>2321000</v>
      </c>
      <c r="O669" s="5">
        <v>0</v>
      </c>
      <c r="P669" s="5">
        <v>0</v>
      </c>
      <c r="Q669" s="5">
        <v>0</v>
      </c>
      <c r="R669" s="3">
        <f t="shared" si="329"/>
        <v>0</v>
      </c>
      <c r="S669" s="5">
        <v>0</v>
      </c>
      <c r="T669" s="5">
        <v>0</v>
      </c>
      <c r="U669" s="5">
        <v>0</v>
      </c>
      <c r="V669" s="6">
        <f t="shared" si="330"/>
        <v>5500</v>
      </c>
    </row>
    <row r="670" spans="1:22" ht="21.95" customHeight="1" x14ac:dyDescent="0.25">
      <c r="A670" s="40" t="s">
        <v>927</v>
      </c>
      <c r="B670" s="8" t="s">
        <v>438</v>
      </c>
      <c r="C670" s="2">
        <f t="shared" si="316"/>
        <v>6850425</v>
      </c>
      <c r="D670" s="3">
        <f t="shared" si="328"/>
        <v>2010425</v>
      </c>
      <c r="E670" s="3">
        <f>350*855.5</f>
        <v>299425</v>
      </c>
      <c r="F670" s="3">
        <f>1050*855.5</f>
        <v>898275</v>
      </c>
      <c r="G670" s="3">
        <f>300*855.5</f>
        <v>256650</v>
      </c>
      <c r="H670" s="3">
        <f>400*855.5</f>
        <v>342200</v>
      </c>
      <c r="I670" s="3">
        <f>250*855.5</f>
        <v>213875</v>
      </c>
      <c r="J670" s="3">
        <v>0</v>
      </c>
      <c r="K670" s="4">
        <v>0</v>
      </c>
      <c r="L670" s="3">
        <v>0</v>
      </c>
      <c r="M670" s="3">
        <v>480</v>
      </c>
      <c r="N670" s="3">
        <f t="shared" si="334"/>
        <v>2640000</v>
      </c>
      <c r="O670" s="3">
        <v>0</v>
      </c>
      <c r="P670" s="3">
        <v>0</v>
      </c>
      <c r="Q670" s="3">
        <v>700</v>
      </c>
      <c r="R670" s="3">
        <f t="shared" si="329"/>
        <v>2100000</v>
      </c>
      <c r="S670" s="3">
        <v>0</v>
      </c>
      <c r="T670" s="5">
        <v>0</v>
      </c>
      <c r="U670" s="3">
        <v>100000</v>
      </c>
      <c r="V670" s="6">
        <f t="shared" si="330"/>
        <v>5500</v>
      </c>
    </row>
    <row r="671" spans="1:22" ht="21.95" customHeight="1" x14ac:dyDescent="0.25">
      <c r="A671" s="40" t="s">
        <v>928</v>
      </c>
      <c r="B671" s="8" t="s">
        <v>554</v>
      </c>
      <c r="C671" s="2">
        <f t="shared" si="316"/>
        <v>2459600</v>
      </c>
      <c r="D671" s="3">
        <f t="shared" si="328"/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11">
        <v>0</v>
      </c>
      <c r="L671" s="5">
        <v>0</v>
      </c>
      <c r="M671" s="5">
        <v>447.2</v>
      </c>
      <c r="N671" s="3">
        <f t="shared" si="334"/>
        <v>2459600</v>
      </c>
      <c r="O671" s="5">
        <v>0</v>
      </c>
      <c r="P671" s="5">
        <v>0</v>
      </c>
      <c r="Q671" s="5">
        <v>0</v>
      </c>
      <c r="R671" s="3">
        <f t="shared" si="329"/>
        <v>0</v>
      </c>
      <c r="S671" s="5">
        <v>0</v>
      </c>
      <c r="T671" s="5">
        <v>0</v>
      </c>
      <c r="U671" s="5">
        <v>0</v>
      </c>
      <c r="V671" s="6">
        <f t="shared" si="330"/>
        <v>5500</v>
      </c>
    </row>
    <row r="672" spans="1:22" ht="21.95" customHeight="1" x14ac:dyDescent="0.25">
      <c r="A672" s="40" t="s">
        <v>929</v>
      </c>
      <c r="B672" s="23" t="s">
        <v>555</v>
      </c>
      <c r="C672" s="2">
        <f t="shared" ref="C672:C745" si="336">D672+L672+N672+P672+R672+S672+T672+U672</f>
        <v>3795000</v>
      </c>
      <c r="D672" s="3">
        <f t="shared" si="328"/>
        <v>0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11">
        <v>0</v>
      </c>
      <c r="L672" s="5">
        <v>0</v>
      </c>
      <c r="M672" s="5">
        <v>690</v>
      </c>
      <c r="N672" s="3">
        <f t="shared" si="334"/>
        <v>3795000</v>
      </c>
      <c r="O672" s="5">
        <v>0</v>
      </c>
      <c r="P672" s="5">
        <v>0</v>
      </c>
      <c r="Q672" s="5">
        <v>0</v>
      </c>
      <c r="R672" s="3">
        <f t="shared" si="329"/>
        <v>0</v>
      </c>
      <c r="S672" s="5">
        <v>0</v>
      </c>
      <c r="T672" s="5">
        <v>0</v>
      </c>
      <c r="U672" s="5">
        <v>0</v>
      </c>
      <c r="V672" s="6">
        <f t="shared" si="330"/>
        <v>5500</v>
      </c>
    </row>
    <row r="673" spans="1:22" ht="21.95" customHeight="1" x14ac:dyDescent="0.25">
      <c r="A673" s="40" t="s">
        <v>930</v>
      </c>
      <c r="B673" s="23" t="s">
        <v>556</v>
      </c>
      <c r="C673" s="2">
        <f t="shared" si="336"/>
        <v>3877500</v>
      </c>
      <c r="D673" s="3">
        <f t="shared" si="328"/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11">
        <v>0</v>
      </c>
      <c r="L673" s="5">
        <v>0</v>
      </c>
      <c r="M673" s="5">
        <v>705</v>
      </c>
      <c r="N673" s="3">
        <f t="shared" si="334"/>
        <v>3877500</v>
      </c>
      <c r="O673" s="5">
        <v>0</v>
      </c>
      <c r="P673" s="5">
        <v>0</v>
      </c>
      <c r="Q673" s="5">
        <v>0</v>
      </c>
      <c r="R673" s="3">
        <f t="shared" si="329"/>
        <v>0</v>
      </c>
      <c r="S673" s="5">
        <v>0</v>
      </c>
      <c r="T673" s="5">
        <v>0</v>
      </c>
      <c r="U673" s="5">
        <v>0</v>
      </c>
      <c r="V673" s="6">
        <f t="shared" si="330"/>
        <v>5500</v>
      </c>
    </row>
    <row r="674" spans="1:22" ht="21.95" customHeight="1" x14ac:dyDescent="0.25">
      <c r="A674" s="40" t="s">
        <v>931</v>
      </c>
      <c r="B674" s="24" t="s">
        <v>1381</v>
      </c>
      <c r="C674" s="2">
        <f t="shared" ref="C674:C680" si="337">D674+L674+N674+P674+R674+S674+T674+U674</f>
        <v>15514058.279999999</v>
      </c>
      <c r="D674" s="3">
        <f t="shared" ref="D674:D680" si="338">SUM(E674:J674)</f>
        <v>0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4">
        <v>0</v>
      </c>
      <c r="L674" s="3">
        <v>0</v>
      </c>
      <c r="M674" s="3">
        <v>1081</v>
      </c>
      <c r="N674" s="3">
        <f>M674*5500</f>
        <v>5945500</v>
      </c>
      <c r="O674" s="3">
        <v>0</v>
      </c>
      <c r="P674" s="3">
        <v>0</v>
      </c>
      <c r="Q674" s="3">
        <v>2900</v>
      </c>
      <c r="R674" s="3">
        <f>Q674*3000</f>
        <v>8700000</v>
      </c>
      <c r="S674" s="3">
        <v>0</v>
      </c>
      <c r="T674" s="3">
        <v>0</v>
      </c>
      <c r="U674" s="3">
        <v>868558.28</v>
      </c>
      <c r="V674" s="6">
        <f t="shared" ref="V674:V680" si="339">N674/M674</f>
        <v>5500</v>
      </c>
    </row>
    <row r="675" spans="1:22" ht="21.95" customHeight="1" x14ac:dyDescent="0.25">
      <c r="A675" s="40" t="s">
        <v>932</v>
      </c>
      <c r="B675" s="8" t="s">
        <v>386</v>
      </c>
      <c r="C675" s="2">
        <f t="shared" si="337"/>
        <v>26010061.449999999</v>
      </c>
      <c r="D675" s="3">
        <f t="shared" si="338"/>
        <v>8565750</v>
      </c>
      <c r="E675" s="3">
        <f>350*3645</f>
        <v>1275750</v>
      </c>
      <c r="F675" s="3">
        <f>1050*3645</f>
        <v>3827250</v>
      </c>
      <c r="G675" s="3">
        <f>300*3645</f>
        <v>1093500</v>
      </c>
      <c r="H675" s="3">
        <f>400*3645</f>
        <v>1458000</v>
      </c>
      <c r="I675" s="3">
        <f>250*3645</f>
        <v>911250</v>
      </c>
      <c r="J675" s="3">
        <f>350*0</f>
        <v>0</v>
      </c>
      <c r="K675" s="4">
        <v>0</v>
      </c>
      <c r="L675" s="3">
        <v>0</v>
      </c>
      <c r="M675" s="3">
        <v>1296</v>
      </c>
      <c r="N675" s="3">
        <f>M675*5500</f>
        <v>7128000</v>
      </c>
      <c r="O675" s="3">
        <v>0</v>
      </c>
      <c r="P675" s="3">
        <v>0</v>
      </c>
      <c r="Q675" s="3">
        <v>3020</v>
      </c>
      <c r="R675" s="3">
        <f>Q675*3000</f>
        <v>9060000</v>
      </c>
      <c r="S675" s="3">
        <v>0</v>
      </c>
      <c r="T675" s="3">
        <v>0</v>
      </c>
      <c r="U675" s="3">
        <v>1256311.45</v>
      </c>
      <c r="V675" s="6">
        <f t="shared" si="339"/>
        <v>5500</v>
      </c>
    </row>
    <row r="676" spans="1:22" ht="21.95" customHeight="1" x14ac:dyDescent="0.25">
      <c r="A676" s="40" t="s">
        <v>1328</v>
      </c>
      <c r="B676" s="24" t="s">
        <v>1382</v>
      </c>
      <c r="C676" s="2">
        <f t="shared" si="337"/>
        <v>10908068.98</v>
      </c>
      <c r="D676" s="3">
        <f t="shared" si="338"/>
        <v>0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4">
        <v>0</v>
      </c>
      <c r="L676" s="3">
        <v>0</v>
      </c>
      <c r="M676" s="3">
        <v>637</v>
      </c>
      <c r="N676" s="3">
        <f>M676*5500</f>
        <v>3503500</v>
      </c>
      <c r="O676" s="3">
        <v>0</v>
      </c>
      <c r="P676" s="3">
        <v>0</v>
      </c>
      <c r="Q676" s="3">
        <v>2200</v>
      </c>
      <c r="R676" s="3">
        <f>Q676*3000</f>
        <v>6600000</v>
      </c>
      <c r="S676" s="3">
        <v>0</v>
      </c>
      <c r="T676" s="3">
        <v>0</v>
      </c>
      <c r="U676" s="3">
        <v>804568.98</v>
      </c>
      <c r="V676" s="6">
        <f t="shared" si="339"/>
        <v>5500</v>
      </c>
    </row>
    <row r="677" spans="1:22" ht="21.95" customHeight="1" x14ac:dyDescent="0.25">
      <c r="A677" s="40" t="s">
        <v>933</v>
      </c>
      <c r="B677" s="23" t="s">
        <v>393</v>
      </c>
      <c r="C677" s="2">
        <f t="shared" si="337"/>
        <v>675100</v>
      </c>
      <c r="D677" s="3">
        <f t="shared" si="338"/>
        <v>0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4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275100</v>
      </c>
      <c r="T677" s="3">
        <v>0</v>
      </c>
      <c r="U677" s="3">
        <v>400000</v>
      </c>
      <c r="V677" s="6" t="e">
        <f t="shared" si="339"/>
        <v>#DIV/0!</v>
      </c>
    </row>
    <row r="678" spans="1:22" ht="21.95" customHeight="1" x14ac:dyDescent="0.25">
      <c r="A678" s="40" t="s">
        <v>934</v>
      </c>
      <c r="B678" s="8" t="s">
        <v>394</v>
      </c>
      <c r="C678" s="2">
        <f t="shared" si="337"/>
        <v>6741805</v>
      </c>
      <c r="D678" s="3">
        <f t="shared" si="338"/>
        <v>6641805</v>
      </c>
      <c r="E678" s="3">
        <f>350*2826.3</f>
        <v>989205.00000000012</v>
      </c>
      <c r="F678" s="3">
        <f>1050*2826.3</f>
        <v>2967615</v>
      </c>
      <c r="G678" s="3">
        <f>300*2826.3</f>
        <v>847890</v>
      </c>
      <c r="H678" s="3">
        <f>400*2826.3</f>
        <v>1130520</v>
      </c>
      <c r="I678" s="3">
        <f>250*2826.3</f>
        <v>706575</v>
      </c>
      <c r="J678" s="3">
        <f>350*0</f>
        <v>0</v>
      </c>
      <c r="K678" s="4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100000</v>
      </c>
      <c r="V678" s="6" t="e">
        <f t="shared" si="339"/>
        <v>#DIV/0!</v>
      </c>
    </row>
    <row r="679" spans="1:22" ht="21.95" customHeight="1" x14ac:dyDescent="0.25">
      <c r="A679" s="40" t="s">
        <v>935</v>
      </c>
      <c r="B679" s="8" t="s">
        <v>459</v>
      </c>
      <c r="C679" s="2">
        <f t="shared" si="337"/>
        <v>12084060</v>
      </c>
      <c r="D679" s="3">
        <f t="shared" si="338"/>
        <v>11984060</v>
      </c>
      <c r="E679" s="3">
        <f>350*5099.6</f>
        <v>1784860.0000000002</v>
      </c>
      <c r="F679" s="3">
        <f>1050*5099.6</f>
        <v>5354580</v>
      </c>
      <c r="G679" s="3">
        <f>300*5099.6</f>
        <v>1529880</v>
      </c>
      <c r="H679" s="3">
        <f>400*5099.6</f>
        <v>2039840.0000000002</v>
      </c>
      <c r="I679" s="3">
        <f>250*5099.6</f>
        <v>1274900</v>
      </c>
      <c r="J679" s="3">
        <f>350*0</f>
        <v>0</v>
      </c>
      <c r="K679" s="4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100000</v>
      </c>
      <c r="V679" s="6" t="e">
        <f t="shared" si="339"/>
        <v>#DIV/0!</v>
      </c>
    </row>
    <row r="680" spans="1:22" ht="21.95" customHeight="1" x14ac:dyDescent="0.25">
      <c r="A680" s="40" t="s">
        <v>936</v>
      </c>
      <c r="B680" s="8" t="s">
        <v>405</v>
      </c>
      <c r="C680" s="2">
        <f t="shared" si="337"/>
        <v>2242614.54</v>
      </c>
      <c r="D680" s="3">
        <f t="shared" si="338"/>
        <v>2242614.54</v>
      </c>
      <c r="E680" s="3">
        <v>520846.5</v>
      </c>
      <c r="F680" s="3">
        <v>1069624.2</v>
      </c>
      <c r="G680" s="3">
        <v>296593.74</v>
      </c>
      <c r="H680" s="3">
        <v>0</v>
      </c>
      <c r="I680" s="3">
        <v>355550.1</v>
      </c>
      <c r="J680" s="3">
        <f>350*0</f>
        <v>0</v>
      </c>
      <c r="K680" s="4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6" t="e">
        <f t="shared" si="339"/>
        <v>#DIV/0!</v>
      </c>
    </row>
    <row r="681" spans="1:22" ht="21.95" customHeight="1" x14ac:dyDescent="0.25">
      <c r="A681" s="40" t="s">
        <v>937</v>
      </c>
      <c r="B681" s="8" t="s">
        <v>557</v>
      </c>
      <c r="C681" s="2">
        <f t="shared" si="336"/>
        <v>19102850</v>
      </c>
      <c r="D681" s="3">
        <f t="shared" si="328"/>
        <v>9942850</v>
      </c>
      <c r="E681" s="3">
        <f>350*4231</f>
        <v>1480850</v>
      </c>
      <c r="F681" s="3">
        <f>1050*4231</f>
        <v>4442550</v>
      </c>
      <c r="G681" s="3">
        <f>300*4231</f>
        <v>1269300</v>
      </c>
      <c r="H681" s="3">
        <f>400*4231</f>
        <v>1692400</v>
      </c>
      <c r="I681" s="3">
        <f>250*4231</f>
        <v>1057750</v>
      </c>
      <c r="J681" s="3">
        <v>0</v>
      </c>
      <c r="K681" s="11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3020</v>
      </c>
      <c r="R681" s="3">
        <f t="shared" si="329"/>
        <v>9060000</v>
      </c>
      <c r="S681" s="5">
        <v>0</v>
      </c>
      <c r="T681" s="5">
        <v>0</v>
      </c>
      <c r="U681" s="5">
        <v>100000</v>
      </c>
      <c r="V681" s="6" t="e">
        <f t="shared" si="330"/>
        <v>#DIV/0!</v>
      </c>
    </row>
    <row r="682" spans="1:22" ht="21.95" customHeight="1" x14ac:dyDescent="0.25">
      <c r="A682" s="40" t="s">
        <v>938</v>
      </c>
      <c r="B682" s="8" t="s">
        <v>460</v>
      </c>
      <c r="C682" s="2">
        <f t="shared" si="336"/>
        <v>652509.77</v>
      </c>
      <c r="D682" s="3">
        <f t="shared" ref="D682" si="340">SUM(E682:J682)</f>
        <v>652509.77</v>
      </c>
      <c r="E682" s="3">
        <v>652509.77</v>
      </c>
      <c r="F682" s="3">
        <v>0</v>
      </c>
      <c r="G682" s="3">
        <v>0</v>
      </c>
      <c r="H682" s="3">
        <v>0</v>
      </c>
      <c r="I682" s="3">
        <v>0</v>
      </c>
      <c r="J682" s="3">
        <f>350*0</f>
        <v>0</v>
      </c>
      <c r="K682" s="4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6" t="e">
        <f t="shared" si="330"/>
        <v>#DIV/0!</v>
      </c>
    </row>
    <row r="683" spans="1:22" ht="21.95" customHeight="1" x14ac:dyDescent="0.25">
      <c r="A683" s="40" t="s">
        <v>939</v>
      </c>
      <c r="B683" s="8" t="s">
        <v>380</v>
      </c>
      <c r="C683" s="2">
        <f>D683+L683+N683+P683+R683+S683+T683+U683</f>
        <v>4023750</v>
      </c>
      <c r="D683" s="3">
        <f>SUM(E683:J683)</f>
        <v>0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4">
        <v>0</v>
      </c>
      <c r="L683" s="3">
        <v>0</v>
      </c>
      <c r="M683" s="3">
        <v>622.5</v>
      </c>
      <c r="N683" s="3">
        <f>M683*5500</f>
        <v>3423750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600000</v>
      </c>
      <c r="V683" s="6">
        <f>N683/M683</f>
        <v>5500</v>
      </c>
    </row>
    <row r="684" spans="1:22" ht="21.95" customHeight="1" x14ac:dyDescent="0.25">
      <c r="A684" s="40" t="s">
        <v>940</v>
      </c>
      <c r="B684" s="23" t="s">
        <v>654</v>
      </c>
      <c r="C684" s="2">
        <f>D684+L684+N684+P684+R684+S684+T684+U684</f>
        <v>4532000</v>
      </c>
      <c r="D684" s="3">
        <f>SUM(E684:J684)</f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11">
        <v>0</v>
      </c>
      <c r="L684" s="5">
        <v>0</v>
      </c>
      <c r="M684" s="5">
        <v>824</v>
      </c>
      <c r="N684" s="3">
        <f>M684*5500</f>
        <v>4532000</v>
      </c>
      <c r="O684" s="5">
        <v>0</v>
      </c>
      <c r="P684" s="5">
        <v>0</v>
      </c>
      <c r="Q684" s="5">
        <v>0</v>
      </c>
      <c r="R684" s="3">
        <f>Q684*3000</f>
        <v>0</v>
      </c>
      <c r="S684" s="5">
        <v>0</v>
      </c>
      <c r="T684" s="5">
        <v>0</v>
      </c>
      <c r="U684" s="5">
        <v>0</v>
      </c>
      <c r="V684" s="6">
        <f>N684/M684</f>
        <v>5500</v>
      </c>
    </row>
    <row r="685" spans="1:22" ht="21.95" customHeight="1" x14ac:dyDescent="0.25">
      <c r="A685" s="40" t="s">
        <v>941</v>
      </c>
      <c r="B685" s="23" t="s">
        <v>653</v>
      </c>
      <c r="C685" s="2">
        <f t="shared" si="336"/>
        <v>5368000</v>
      </c>
      <c r="D685" s="3">
        <f t="shared" si="328"/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1">
        <v>0</v>
      </c>
      <c r="L685" s="5">
        <v>0</v>
      </c>
      <c r="M685" s="5">
        <v>976</v>
      </c>
      <c r="N685" s="3">
        <f t="shared" ref="N685:N687" si="341">M685*5500</f>
        <v>5368000</v>
      </c>
      <c r="O685" s="5">
        <v>0</v>
      </c>
      <c r="P685" s="5">
        <v>0</v>
      </c>
      <c r="Q685" s="5">
        <v>0</v>
      </c>
      <c r="R685" s="3">
        <f t="shared" si="329"/>
        <v>0</v>
      </c>
      <c r="S685" s="5">
        <v>0</v>
      </c>
      <c r="T685" s="5">
        <v>0</v>
      </c>
      <c r="U685" s="5">
        <v>0</v>
      </c>
      <c r="V685" s="6">
        <f t="shared" si="330"/>
        <v>5500</v>
      </c>
    </row>
    <row r="686" spans="1:22" ht="21.95" customHeight="1" x14ac:dyDescent="0.25">
      <c r="A686" s="40" t="s">
        <v>942</v>
      </c>
      <c r="B686" s="8" t="s">
        <v>472</v>
      </c>
      <c r="C686" s="2">
        <f t="shared" si="336"/>
        <v>1697300.0000000002</v>
      </c>
      <c r="D686" s="3">
        <f t="shared" si="328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4">
        <v>0</v>
      </c>
      <c r="L686" s="3">
        <v>0</v>
      </c>
      <c r="M686" s="3">
        <v>308.60000000000002</v>
      </c>
      <c r="N686" s="3">
        <f t="shared" si="341"/>
        <v>1697300.0000000002</v>
      </c>
      <c r="O686" s="3">
        <v>0</v>
      </c>
      <c r="P686" s="3">
        <v>0</v>
      </c>
      <c r="Q686" s="3">
        <v>0</v>
      </c>
      <c r="R686" s="3">
        <f t="shared" si="329"/>
        <v>0</v>
      </c>
      <c r="S686" s="3">
        <v>0</v>
      </c>
      <c r="T686" s="5">
        <v>0</v>
      </c>
      <c r="U686" s="3">
        <v>0</v>
      </c>
      <c r="V686" s="6">
        <f t="shared" si="330"/>
        <v>5500</v>
      </c>
    </row>
    <row r="687" spans="1:22" ht="21.95" customHeight="1" x14ac:dyDescent="0.25">
      <c r="A687" s="40" t="s">
        <v>943</v>
      </c>
      <c r="B687" s="8" t="s">
        <v>406</v>
      </c>
      <c r="C687" s="2">
        <f t="shared" si="336"/>
        <v>5318292</v>
      </c>
      <c r="D687" s="3">
        <f t="shared" si="328"/>
        <v>968292</v>
      </c>
      <c r="E687" s="5">
        <f>350*496.56</f>
        <v>173796</v>
      </c>
      <c r="F687" s="5">
        <f>1050*496.56</f>
        <v>521388</v>
      </c>
      <c r="G687" s="5">
        <f>300*496.56</f>
        <v>148968</v>
      </c>
      <c r="H687" s="5">
        <f>400*0</f>
        <v>0</v>
      </c>
      <c r="I687" s="5">
        <f>250*496.56</f>
        <v>124140</v>
      </c>
      <c r="J687" s="5">
        <f>350*0</f>
        <v>0</v>
      </c>
      <c r="K687" s="4">
        <v>0</v>
      </c>
      <c r="L687" s="3">
        <v>0</v>
      </c>
      <c r="M687" s="3">
        <v>500</v>
      </c>
      <c r="N687" s="3">
        <f t="shared" si="341"/>
        <v>2750000</v>
      </c>
      <c r="O687" s="3">
        <v>0</v>
      </c>
      <c r="P687" s="3">
        <v>0</v>
      </c>
      <c r="Q687" s="3">
        <v>500</v>
      </c>
      <c r="R687" s="3">
        <f t="shared" si="329"/>
        <v>1500000</v>
      </c>
      <c r="S687" s="3">
        <v>0</v>
      </c>
      <c r="T687" s="5">
        <v>0</v>
      </c>
      <c r="U687" s="3">
        <v>100000</v>
      </c>
      <c r="V687" s="6">
        <f t="shared" si="330"/>
        <v>5500</v>
      </c>
    </row>
    <row r="688" spans="1:22" ht="21.95" customHeight="1" x14ac:dyDescent="0.25">
      <c r="A688" s="40" t="s">
        <v>944</v>
      </c>
      <c r="B688" s="8" t="s">
        <v>655</v>
      </c>
      <c r="C688" s="2">
        <f t="shared" si="336"/>
        <v>3351695</v>
      </c>
      <c r="D688" s="3">
        <f t="shared" si="328"/>
        <v>3251695</v>
      </c>
      <c r="E688" s="3">
        <f>350*1383.7</f>
        <v>484295</v>
      </c>
      <c r="F688" s="3">
        <f>1050*1383.7</f>
        <v>1452885</v>
      </c>
      <c r="G688" s="3">
        <f>300*1383.7</f>
        <v>415110</v>
      </c>
      <c r="H688" s="3">
        <f>400*1383.7</f>
        <v>553480</v>
      </c>
      <c r="I688" s="3">
        <f>250*1383.7</f>
        <v>345925</v>
      </c>
      <c r="J688" s="3">
        <v>0</v>
      </c>
      <c r="K688" s="11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3">
        <f t="shared" si="329"/>
        <v>0</v>
      </c>
      <c r="S688" s="5">
        <v>0</v>
      </c>
      <c r="T688" s="5">
        <v>0</v>
      </c>
      <c r="U688" s="5">
        <v>100000</v>
      </c>
      <c r="V688" s="6" t="e">
        <f t="shared" si="330"/>
        <v>#DIV/0!</v>
      </c>
    </row>
    <row r="689" spans="1:22" ht="21.95" customHeight="1" x14ac:dyDescent="0.25">
      <c r="A689" s="40" t="s">
        <v>945</v>
      </c>
      <c r="B689" s="8" t="s">
        <v>558</v>
      </c>
      <c r="C689" s="2">
        <f t="shared" si="336"/>
        <v>5927342</v>
      </c>
      <c r="D689" s="3">
        <f t="shared" si="328"/>
        <v>5827342</v>
      </c>
      <c r="E689" s="3">
        <f>350*2479.72</f>
        <v>867901.99999999988</v>
      </c>
      <c r="F689" s="3">
        <f>1050*2479.72</f>
        <v>2603706</v>
      </c>
      <c r="G689" s="3">
        <f>300*2479.72</f>
        <v>743915.99999999988</v>
      </c>
      <c r="H689" s="3">
        <f>400*2479.72</f>
        <v>991887.99999999988</v>
      </c>
      <c r="I689" s="3">
        <f>250*2479.72</f>
        <v>619930</v>
      </c>
      <c r="J689" s="3">
        <v>0</v>
      </c>
      <c r="K689" s="11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3">
        <f t="shared" si="329"/>
        <v>0</v>
      </c>
      <c r="S689" s="5">
        <v>0</v>
      </c>
      <c r="T689" s="5">
        <v>0</v>
      </c>
      <c r="U689" s="5">
        <v>100000</v>
      </c>
      <c r="V689" s="6" t="e">
        <f t="shared" si="330"/>
        <v>#DIV/0!</v>
      </c>
    </row>
    <row r="690" spans="1:22" ht="21.95" customHeight="1" x14ac:dyDescent="0.25">
      <c r="A690" s="40" t="s">
        <v>946</v>
      </c>
      <c r="B690" s="8" t="s">
        <v>656</v>
      </c>
      <c r="C690" s="2">
        <f t="shared" si="336"/>
        <v>3376135</v>
      </c>
      <c r="D690" s="3">
        <f t="shared" si="328"/>
        <v>3276135</v>
      </c>
      <c r="E690" s="3">
        <f>350*1394.1</f>
        <v>487934.99999999994</v>
      </c>
      <c r="F690" s="3">
        <f>1050*1394.1</f>
        <v>1463805</v>
      </c>
      <c r="G690" s="3">
        <f>300*1394.1</f>
        <v>418230</v>
      </c>
      <c r="H690" s="3">
        <f>400*1394.1</f>
        <v>557640</v>
      </c>
      <c r="I690" s="3">
        <f>250*1394.1</f>
        <v>348525</v>
      </c>
      <c r="J690" s="3">
        <v>0</v>
      </c>
      <c r="K690" s="11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3">
        <f t="shared" si="329"/>
        <v>0</v>
      </c>
      <c r="S690" s="5">
        <v>0</v>
      </c>
      <c r="T690" s="5">
        <v>0</v>
      </c>
      <c r="U690" s="5">
        <v>100000</v>
      </c>
      <c r="V690" s="6" t="e">
        <f t="shared" si="330"/>
        <v>#DIV/0!</v>
      </c>
    </row>
    <row r="691" spans="1:22" ht="21.95" customHeight="1" x14ac:dyDescent="0.25">
      <c r="A691" s="40" t="s">
        <v>947</v>
      </c>
      <c r="B691" s="8" t="s">
        <v>657</v>
      </c>
      <c r="C691" s="2">
        <f t="shared" si="336"/>
        <v>3368027.5</v>
      </c>
      <c r="D691" s="3">
        <f t="shared" si="328"/>
        <v>3268027.5</v>
      </c>
      <c r="E691" s="3">
        <f>350*1390.65</f>
        <v>486727.50000000006</v>
      </c>
      <c r="F691" s="3">
        <f>1050*1390.65</f>
        <v>1460182.5</v>
      </c>
      <c r="G691" s="3">
        <f>300*1390.65</f>
        <v>417195</v>
      </c>
      <c r="H691" s="3">
        <f>400*1390.65</f>
        <v>556260</v>
      </c>
      <c r="I691" s="3">
        <f>250*1390.65</f>
        <v>347662.5</v>
      </c>
      <c r="J691" s="3">
        <v>0</v>
      </c>
      <c r="K691" s="11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3">
        <f t="shared" si="329"/>
        <v>0</v>
      </c>
      <c r="S691" s="5">
        <v>0</v>
      </c>
      <c r="T691" s="5">
        <v>0</v>
      </c>
      <c r="U691" s="5">
        <v>100000</v>
      </c>
      <c r="V691" s="6" t="e">
        <f t="shared" si="330"/>
        <v>#DIV/0!</v>
      </c>
    </row>
    <row r="692" spans="1:22" ht="21.95" customHeight="1" x14ac:dyDescent="0.25">
      <c r="A692" s="40" t="s">
        <v>948</v>
      </c>
      <c r="B692" s="8" t="s">
        <v>559</v>
      </c>
      <c r="C692" s="2">
        <f t="shared" si="336"/>
        <v>1512500</v>
      </c>
      <c r="D692" s="3">
        <f t="shared" si="328"/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11">
        <v>0</v>
      </c>
      <c r="L692" s="5">
        <v>0</v>
      </c>
      <c r="M692" s="5">
        <v>275</v>
      </c>
      <c r="N692" s="3">
        <f t="shared" ref="N692" si="342">M692*5500</f>
        <v>1512500</v>
      </c>
      <c r="O692" s="5">
        <v>0</v>
      </c>
      <c r="P692" s="5">
        <v>0</v>
      </c>
      <c r="Q692" s="5">
        <v>0</v>
      </c>
      <c r="R692" s="3">
        <f t="shared" si="329"/>
        <v>0</v>
      </c>
      <c r="S692" s="5">
        <v>0</v>
      </c>
      <c r="T692" s="5">
        <v>0</v>
      </c>
      <c r="U692" s="5">
        <v>0</v>
      </c>
      <c r="V692" s="6">
        <f t="shared" si="330"/>
        <v>5500</v>
      </c>
    </row>
    <row r="693" spans="1:22" ht="21.95" customHeight="1" x14ac:dyDescent="0.25">
      <c r="A693" s="40" t="s">
        <v>949</v>
      </c>
      <c r="B693" s="8" t="s">
        <v>658</v>
      </c>
      <c r="C693" s="2">
        <f t="shared" si="336"/>
        <v>1529000</v>
      </c>
      <c r="D693" s="3">
        <f t="shared" si="328"/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11">
        <v>0</v>
      </c>
      <c r="L693" s="5">
        <v>0</v>
      </c>
      <c r="M693" s="5">
        <v>278</v>
      </c>
      <c r="N693" s="3">
        <f t="shared" ref="N693:N711" si="343">M693*5500</f>
        <v>1529000</v>
      </c>
      <c r="O693" s="5">
        <v>0</v>
      </c>
      <c r="P693" s="5">
        <v>0</v>
      </c>
      <c r="Q693" s="5">
        <v>0</v>
      </c>
      <c r="R693" s="3">
        <f t="shared" si="329"/>
        <v>0</v>
      </c>
      <c r="S693" s="5">
        <v>0</v>
      </c>
      <c r="T693" s="5">
        <v>0</v>
      </c>
      <c r="U693" s="5">
        <v>0</v>
      </c>
      <c r="V693" s="6">
        <f t="shared" si="330"/>
        <v>5500</v>
      </c>
    </row>
    <row r="694" spans="1:22" ht="21.95" customHeight="1" x14ac:dyDescent="0.25">
      <c r="A694" s="40" t="s">
        <v>950</v>
      </c>
      <c r="B694" s="8" t="s">
        <v>659</v>
      </c>
      <c r="C694" s="2">
        <f t="shared" si="336"/>
        <v>4983000</v>
      </c>
      <c r="D694" s="3">
        <f t="shared" si="328"/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11">
        <v>0</v>
      </c>
      <c r="L694" s="5">
        <v>0</v>
      </c>
      <c r="M694" s="5">
        <v>906</v>
      </c>
      <c r="N694" s="3">
        <f t="shared" si="343"/>
        <v>4983000</v>
      </c>
      <c r="O694" s="5">
        <v>0</v>
      </c>
      <c r="P694" s="5">
        <v>0</v>
      </c>
      <c r="Q694" s="5">
        <v>0</v>
      </c>
      <c r="R694" s="3">
        <f t="shared" si="329"/>
        <v>0</v>
      </c>
      <c r="S694" s="5">
        <v>0</v>
      </c>
      <c r="T694" s="5">
        <v>0</v>
      </c>
      <c r="U694" s="5">
        <v>0</v>
      </c>
      <c r="V694" s="6">
        <f t="shared" si="330"/>
        <v>5500</v>
      </c>
    </row>
    <row r="695" spans="1:22" ht="21.95" customHeight="1" x14ac:dyDescent="0.25">
      <c r="A695" s="40" t="s">
        <v>1572</v>
      </c>
      <c r="B695" s="8" t="s">
        <v>560</v>
      </c>
      <c r="C695" s="2">
        <f t="shared" si="336"/>
        <v>1942600</v>
      </c>
      <c r="D695" s="3">
        <f t="shared" si="328"/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11">
        <v>0</v>
      </c>
      <c r="L695" s="5">
        <v>0</v>
      </c>
      <c r="M695" s="5">
        <v>353.2</v>
      </c>
      <c r="N695" s="3">
        <f t="shared" si="343"/>
        <v>1942600</v>
      </c>
      <c r="O695" s="5">
        <v>0</v>
      </c>
      <c r="P695" s="5">
        <v>0</v>
      </c>
      <c r="Q695" s="5">
        <v>0</v>
      </c>
      <c r="R695" s="3">
        <f t="shared" si="329"/>
        <v>0</v>
      </c>
      <c r="S695" s="5">
        <v>0</v>
      </c>
      <c r="T695" s="5">
        <v>0</v>
      </c>
      <c r="U695" s="5">
        <v>0</v>
      </c>
      <c r="V695" s="6">
        <f t="shared" si="330"/>
        <v>5500</v>
      </c>
    </row>
    <row r="696" spans="1:22" ht="21.95" customHeight="1" x14ac:dyDescent="0.25">
      <c r="A696" s="40" t="s">
        <v>951</v>
      </c>
      <c r="B696" s="8" t="s">
        <v>462</v>
      </c>
      <c r="C696" s="2">
        <f t="shared" si="336"/>
        <v>4888007.1500000004</v>
      </c>
      <c r="D696" s="3">
        <f t="shared" ref="D696" si="344">SUM(E696:J696)</f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4">
        <v>0</v>
      </c>
      <c r="L696" s="3">
        <v>0</v>
      </c>
      <c r="M696" s="3">
        <v>806</v>
      </c>
      <c r="N696" s="3">
        <v>4888007.1500000004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6">
        <f t="shared" si="330"/>
        <v>6064.5250000000005</v>
      </c>
    </row>
    <row r="697" spans="1:22" ht="21.95" customHeight="1" x14ac:dyDescent="0.25">
      <c r="A697" s="40" t="s">
        <v>952</v>
      </c>
      <c r="B697" s="8" t="s">
        <v>561</v>
      </c>
      <c r="C697" s="2">
        <f t="shared" si="336"/>
        <v>3721979</v>
      </c>
      <c r="D697" s="3">
        <f t="shared" si="328"/>
        <v>1008479</v>
      </c>
      <c r="E697" s="3">
        <f>350*429.14</f>
        <v>150199</v>
      </c>
      <c r="F697" s="3">
        <f>1050*429.14</f>
        <v>450597</v>
      </c>
      <c r="G697" s="3">
        <f>300*429.14</f>
        <v>128742</v>
      </c>
      <c r="H697" s="3">
        <f>400*429.14</f>
        <v>171656</v>
      </c>
      <c r="I697" s="3">
        <f>250*429.14</f>
        <v>107285</v>
      </c>
      <c r="J697" s="3">
        <v>0</v>
      </c>
      <c r="K697" s="11">
        <v>0</v>
      </c>
      <c r="L697" s="5">
        <v>0</v>
      </c>
      <c r="M697" s="5">
        <v>251</v>
      </c>
      <c r="N697" s="3">
        <f t="shared" si="343"/>
        <v>1380500</v>
      </c>
      <c r="O697" s="5">
        <v>0</v>
      </c>
      <c r="P697" s="5">
        <v>0</v>
      </c>
      <c r="Q697" s="5">
        <v>411</v>
      </c>
      <c r="R697" s="3">
        <f t="shared" si="329"/>
        <v>1233000</v>
      </c>
      <c r="S697" s="5">
        <v>0</v>
      </c>
      <c r="T697" s="5">
        <v>0</v>
      </c>
      <c r="U697" s="5">
        <v>100000</v>
      </c>
      <c r="V697" s="6">
        <f t="shared" si="330"/>
        <v>5500</v>
      </c>
    </row>
    <row r="698" spans="1:22" ht="21.95" customHeight="1" x14ac:dyDescent="0.25">
      <c r="A698" s="40" t="s">
        <v>953</v>
      </c>
      <c r="B698" s="8" t="s">
        <v>660</v>
      </c>
      <c r="C698" s="2">
        <f t="shared" si="336"/>
        <v>2502500</v>
      </c>
      <c r="D698" s="3">
        <f t="shared" si="328"/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11">
        <v>0</v>
      </c>
      <c r="L698" s="5">
        <v>0</v>
      </c>
      <c r="M698" s="5">
        <v>455</v>
      </c>
      <c r="N698" s="3">
        <f t="shared" si="343"/>
        <v>2502500</v>
      </c>
      <c r="O698" s="5">
        <v>0</v>
      </c>
      <c r="P698" s="5">
        <v>0</v>
      </c>
      <c r="Q698" s="5">
        <v>0</v>
      </c>
      <c r="R698" s="3">
        <f t="shared" si="329"/>
        <v>0</v>
      </c>
      <c r="S698" s="5">
        <v>0</v>
      </c>
      <c r="T698" s="5">
        <v>0</v>
      </c>
      <c r="U698" s="5">
        <v>0</v>
      </c>
      <c r="V698" s="6">
        <f t="shared" si="330"/>
        <v>5500</v>
      </c>
    </row>
    <row r="699" spans="1:22" ht="21.95" customHeight="1" x14ac:dyDescent="0.25">
      <c r="A699" s="40" t="s">
        <v>954</v>
      </c>
      <c r="B699" s="24" t="s">
        <v>1404</v>
      </c>
      <c r="C699" s="2">
        <f>D699+L699+N699+P699+R699+S699+T699+U699</f>
        <v>2326500</v>
      </c>
      <c r="D699" s="3">
        <f>SUM(E699:J699)</f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4">
        <v>0</v>
      </c>
      <c r="L699" s="3">
        <v>0</v>
      </c>
      <c r="M699" s="3">
        <v>423</v>
      </c>
      <c r="N699" s="3">
        <f>M699*5500</f>
        <v>2326500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  <c r="V699" s="6">
        <f>N699/M699</f>
        <v>5500</v>
      </c>
    </row>
    <row r="700" spans="1:22" ht="21.95" customHeight="1" x14ac:dyDescent="0.25">
      <c r="A700" s="40" t="s">
        <v>955</v>
      </c>
      <c r="B700" s="8" t="s">
        <v>433</v>
      </c>
      <c r="C700" s="2">
        <f>D700+L700+N700+P700+R700+S700+T700+U700</f>
        <v>7284472.5</v>
      </c>
      <c r="D700" s="3">
        <f>SUM(E700:J700)</f>
        <v>3455707.5</v>
      </c>
      <c r="E700" s="3">
        <f>350*1867.95</f>
        <v>653782.5</v>
      </c>
      <c r="F700" s="3">
        <f>800*1867.95</f>
        <v>1494360</v>
      </c>
      <c r="G700" s="3">
        <f>300*1867.95</f>
        <v>560385</v>
      </c>
      <c r="H700" s="3">
        <v>0</v>
      </c>
      <c r="I700" s="3">
        <f>400*1867.95</f>
        <v>747180</v>
      </c>
      <c r="J700" s="3">
        <f>350*0</f>
        <v>0</v>
      </c>
      <c r="K700" s="4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1393</v>
      </c>
      <c r="R700" s="3">
        <f>Q700*2605</f>
        <v>3628765</v>
      </c>
      <c r="S700" s="3">
        <v>0</v>
      </c>
      <c r="T700" s="3">
        <v>0</v>
      </c>
      <c r="U700" s="3">
        <v>200000</v>
      </c>
      <c r="V700" s="6" t="e">
        <f>N700/M700</f>
        <v>#DIV/0!</v>
      </c>
    </row>
    <row r="701" spans="1:22" ht="21.95" customHeight="1" x14ac:dyDescent="0.25">
      <c r="A701" s="40" t="s">
        <v>956</v>
      </c>
      <c r="B701" s="8" t="s">
        <v>664</v>
      </c>
      <c r="C701" s="2">
        <f>D701+L701+N701+P701+R701+S701+T701+U701</f>
        <v>1446500</v>
      </c>
      <c r="D701" s="3">
        <f>SUM(E701:J701)</f>
        <v>0</v>
      </c>
      <c r="E701" s="3">
        <v>0</v>
      </c>
      <c r="F701" s="3">
        <v>0</v>
      </c>
      <c r="G701" s="3">
        <v>0</v>
      </c>
      <c r="H701" s="3">
        <v>0</v>
      </c>
      <c r="I701" s="3">
        <v>0</v>
      </c>
      <c r="J701" s="3">
        <v>0</v>
      </c>
      <c r="K701" s="11">
        <v>0</v>
      </c>
      <c r="L701" s="5">
        <v>0</v>
      </c>
      <c r="M701" s="5">
        <v>263</v>
      </c>
      <c r="N701" s="3">
        <f>M701*5500</f>
        <v>1446500</v>
      </c>
      <c r="O701" s="5">
        <v>0</v>
      </c>
      <c r="P701" s="5">
        <v>0</v>
      </c>
      <c r="Q701" s="5">
        <v>0</v>
      </c>
      <c r="R701" s="3">
        <f>Q701*3000</f>
        <v>0</v>
      </c>
      <c r="S701" s="5">
        <v>0</v>
      </c>
      <c r="T701" s="5">
        <v>0</v>
      </c>
      <c r="U701" s="5">
        <v>0</v>
      </c>
      <c r="V701" s="6">
        <f>N701/M701</f>
        <v>5500</v>
      </c>
    </row>
    <row r="702" spans="1:22" ht="21.95" customHeight="1" x14ac:dyDescent="0.25">
      <c r="A702" s="40" t="s">
        <v>957</v>
      </c>
      <c r="B702" s="8" t="s">
        <v>661</v>
      </c>
      <c r="C702" s="2">
        <f t="shared" si="336"/>
        <v>1474000</v>
      </c>
      <c r="D702" s="3">
        <f t="shared" si="328"/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11">
        <v>0</v>
      </c>
      <c r="L702" s="5">
        <v>0</v>
      </c>
      <c r="M702" s="5">
        <v>268</v>
      </c>
      <c r="N702" s="3">
        <f t="shared" si="343"/>
        <v>1474000</v>
      </c>
      <c r="O702" s="5">
        <v>0</v>
      </c>
      <c r="P702" s="5">
        <v>0</v>
      </c>
      <c r="Q702" s="5">
        <v>0</v>
      </c>
      <c r="R702" s="3">
        <f t="shared" si="329"/>
        <v>0</v>
      </c>
      <c r="S702" s="5">
        <v>0</v>
      </c>
      <c r="T702" s="5">
        <v>0</v>
      </c>
      <c r="U702" s="5">
        <v>0</v>
      </c>
      <c r="V702" s="6">
        <f t="shared" si="330"/>
        <v>5500</v>
      </c>
    </row>
    <row r="703" spans="1:22" ht="21.95" customHeight="1" x14ac:dyDescent="0.25">
      <c r="A703" s="40" t="s">
        <v>958</v>
      </c>
      <c r="B703" s="8" t="s">
        <v>662</v>
      </c>
      <c r="C703" s="2">
        <f t="shared" si="336"/>
        <v>1474000</v>
      </c>
      <c r="D703" s="3">
        <f t="shared" si="328"/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11">
        <v>0</v>
      </c>
      <c r="L703" s="5">
        <v>0</v>
      </c>
      <c r="M703" s="5">
        <v>268</v>
      </c>
      <c r="N703" s="3">
        <f t="shared" si="343"/>
        <v>1474000</v>
      </c>
      <c r="O703" s="5">
        <v>0</v>
      </c>
      <c r="P703" s="5">
        <v>0</v>
      </c>
      <c r="Q703" s="5">
        <v>0</v>
      </c>
      <c r="R703" s="3">
        <f t="shared" si="329"/>
        <v>0</v>
      </c>
      <c r="S703" s="5">
        <v>0</v>
      </c>
      <c r="T703" s="5">
        <v>0</v>
      </c>
      <c r="U703" s="5">
        <v>0</v>
      </c>
      <c r="V703" s="6">
        <f t="shared" si="330"/>
        <v>5500</v>
      </c>
    </row>
    <row r="704" spans="1:22" ht="21.95" customHeight="1" x14ac:dyDescent="0.25">
      <c r="A704" s="40" t="s">
        <v>959</v>
      </c>
      <c r="B704" s="8" t="s">
        <v>663</v>
      </c>
      <c r="C704" s="2">
        <f t="shared" si="336"/>
        <v>1446500</v>
      </c>
      <c r="D704" s="3">
        <f t="shared" si="328"/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11">
        <v>0</v>
      </c>
      <c r="L704" s="5">
        <v>0</v>
      </c>
      <c r="M704" s="5">
        <v>263</v>
      </c>
      <c r="N704" s="3">
        <f t="shared" si="343"/>
        <v>1446500</v>
      </c>
      <c r="O704" s="5">
        <v>0</v>
      </c>
      <c r="P704" s="5">
        <v>0</v>
      </c>
      <c r="Q704" s="5">
        <v>0</v>
      </c>
      <c r="R704" s="3">
        <f t="shared" si="329"/>
        <v>0</v>
      </c>
      <c r="S704" s="5">
        <v>0</v>
      </c>
      <c r="T704" s="5">
        <v>0</v>
      </c>
      <c r="U704" s="5">
        <v>0</v>
      </c>
      <c r="V704" s="6">
        <f t="shared" si="330"/>
        <v>5500</v>
      </c>
    </row>
    <row r="705" spans="1:22" ht="21.95" customHeight="1" x14ac:dyDescent="0.25">
      <c r="A705" s="40" t="s">
        <v>960</v>
      </c>
      <c r="B705" s="8" t="s">
        <v>570</v>
      </c>
      <c r="C705" s="2">
        <f>D705+L705+N705+P705+R705+S705+T705+U705</f>
        <v>2104850</v>
      </c>
      <c r="D705" s="3">
        <f>SUM(E705:J705)</f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11">
        <v>0</v>
      </c>
      <c r="L705" s="5">
        <v>0</v>
      </c>
      <c r="M705" s="5">
        <v>382.7</v>
      </c>
      <c r="N705" s="3">
        <f>M705*5500</f>
        <v>2104850</v>
      </c>
      <c r="O705" s="5">
        <v>0</v>
      </c>
      <c r="P705" s="5">
        <v>0</v>
      </c>
      <c r="Q705" s="5">
        <v>0</v>
      </c>
      <c r="R705" s="3">
        <f>Q705*3000</f>
        <v>0</v>
      </c>
      <c r="S705" s="5">
        <v>0</v>
      </c>
      <c r="T705" s="5">
        <v>0</v>
      </c>
      <c r="U705" s="5">
        <v>0</v>
      </c>
      <c r="V705" s="6">
        <f>N705/M705</f>
        <v>5500</v>
      </c>
    </row>
    <row r="706" spans="1:22" ht="21.95" customHeight="1" x14ac:dyDescent="0.25">
      <c r="A706" s="40" t="s">
        <v>961</v>
      </c>
      <c r="B706" s="8" t="s">
        <v>571</v>
      </c>
      <c r="C706" s="2">
        <f>D706+L706+N706+P706+R706+S706+T706+U706</f>
        <v>2112000</v>
      </c>
      <c r="D706" s="3">
        <f>SUM(E706:J706)</f>
        <v>0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11">
        <v>0</v>
      </c>
      <c r="L706" s="5">
        <v>0</v>
      </c>
      <c r="M706" s="5">
        <v>384</v>
      </c>
      <c r="N706" s="3">
        <f>M706*5500</f>
        <v>2112000</v>
      </c>
      <c r="O706" s="5">
        <v>0</v>
      </c>
      <c r="P706" s="5">
        <v>0</v>
      </c>
      <c r="Q706" s="5">
        <v>0</v>
      </c>
      <c r="R706" s="3">
        <f>Q706*3000</f>
        <v>0</v>
      </c>
      <c r="S706" s="5">
        <v>0</v>
      </c>
      <c r="T706" s="5">
        <v>0</v>
      </c>
      <c r="U706" s="5">
        <v>0</v>
      </c>
      <c r="V706" s="6">
        <f>N706/M706</f>
        <v>5500</v>
      </c>
    </row>
    <row r="707" spans="1:22" ht="21.95" customHeight="1" x14ac:dyDescent="0.25">
      <c r="A707" s="40" t="s">
        <v>962</v>
      </c>
      <c r="B707" s="8" t="s">
        <v>562</v>
      </c>
      <c r="C707" s="2">
        <f t="shared" si="336"/>
        <v>2391400</v>
      </c>
      <c r="D707" s="3">
        <f t="shared" si="328"/>
        <v>0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11">
        <v>0</v>
      </c>
      <c r="L707" s="5">
        <v>0</v>
      </c>
      <c r="M707" s="5">
        <v>434.8</v>
      </c>
      <c r="N707" s="3">
        <f t="shared" si="343"/>
        <v>2391400</v>
      </c>
      <c r="O707" s="5">
        <v>0</v>
      </c>
      <c r="P707" s="5">
        <v>0</v>
      </c>
      <c r="Q707" s="5">
        <v>0</v>
      </c>
      <c r="R707" s="3">
        <f t="shared" si="329"/>
        <v>0</v>
      </c>
      <c r="S707" s="5">
        <v>0</v>
      </c>
      <c r="T707" s="5">
        <v>0</v>
      </c>
      <c r="U707" s="5">
        <v>0</v>
      </c>
      <c r="V707" s="6">
        <f t="shared" si="330"/>
        <v>5500</v>
      </c>
    </row>
    <row r="708" spans="1:22" ht="21.95" customHeight="1" x14ac:dyDescent="0.25">
      <c r="A708" s="40" t="s">
        <v>963</v>
      </c>
      <c r="B708" s="8" t="s">
        <v>665</v>
      </c>
      <c r="C708" s="2">
        <f t="shared" si="336"/>
        <v>1472350</v>
      </c>
      <c r="D708" s="3">
        <f t="shared" si="328"/>
        <v>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11">
        <v>0</v>
      </c>
      <c r="L708" s="5">
        <v>0</v>
      </c>
      <c r="M708" s="5">
        <v>267.7</v>
      </c>
      <c r="N708" s="3">
        <f t="shared" si="343"/>
        <v>1472350</v>
      </c>
      <c r="O708" s="5">
        <v>0</v>
      </c>
      <c r="P708" s="5">
        <v>0</v>
      </c>
      <c r="Q708" s="5">
        <v>0</v>
      </c>
      <c r="R708" s="3">
        <f t="shared" si="329"/>
        <v>0</v>
      </c>
      <c r="S708" s="5">
        <v>0</v>
      </c>
      <c r="T708" s="5">
        <v>0</v>
      </c>
      <c r="U708" s="5">
        <v>0</v>
      </c>
      <c r="V708" s="6">
        <f t="shared" si="330"/>
        <v>5500</v>
      </c>
    </row>
    <row r="709" spans="1:22" ht="21.95" customHeight="1" x14ac:dyDescent="0.25">
      <c r="A709" s="40" t="s">
        <v>964</v>
      </c>
      <c r="B709" s="8" t="s">
        <v>666</v>
      </c>
      <c r="C709" s="2">
        <f t="shared" si="336"/>
        <v>1483350</v>
      </c>
      <c r="D709" s="3">
        <f t="shared" si="328"/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11">
        <v>0</v>
      </c>
      <c r="L709" s="5">
        <v>0</v>
      </c>
      <c r="M709" s="5">
        <v>269.7</v>
      </c>
      <c r="N709" s="3">
        <f t="shared" si="343"/>
        <v>1483350</v>
      </c>
      <c r="O709" s="5">
        <v>0</v>
      </c>
      <c r="P709" s="5">
        <v>0</v>
      </c>
      <c r="Q709" s="5">
        <v>0</v>
      </c>
      <c r="R709" s="3">
        <f t="shared" si="329"/>
        <v>0</v>
      </c>
      <c r="S709" s="5">
        <v>0</v>
      </c>
      <c r="T709" s="5">
        <v>0</v>
      </c>
      <c r="U709" s="5">
        <v>0</v>
      </c>
      <c r="V709" s="6">
        <f t="shared" si="330"/>
        <v>5500</v>
      </c>
    </row>
    <row r="710" spans="1:22" ht="21.95" customHeight="1" x14ac:dyDescent="0.25">
      <c r="A710" s="40" t="s">
        <v>965</v>
      </c>
      <c r="B710" s="8" t="s">
        <v>667</v>
      </c>
      <c r="C710" s="2">
        <f t="shared" si="336"/>
        <v>1488850</v>
      </c>
      <c r="D710" s="3">
        <f t="shared" si="328"/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11">
        <v>0</v>
      </c>
      <c r="L710" s="5">
        <v>0</v>
      </c>
      <c r="M710" s="5">
        <v>270.7</v>
      </c>
      <c r="N710" s="3">
        <f t="shared" si="343"/>
        <v>1488850</v>
      </c>
      <c r="O710" s="5">
        <v>0</v>
      </c>
      <c r="P710" s="5">
        <v>0</v>
      </c>
      <c r="Q710" s="5">
        <v>0</v>
      </c>
      <c r="R710" s="3">
        <f t="shared" si="329"/>
        <v>0</v>
      </c>
      <c r="S710" s="5">
        <v>0</v>
      </c>
      <c r="T710" s="5">
        <v>0</v>
      </c>
      <c r="U710" s="5">
        <v>0</v>
      </c>
      <c r="V710" s="6">
        <f t="shared" si="330"/>
        <v>5500</v>
      </c>
    </row>
    <row r="711" spans="1:22" ht="21.95" customHeight="1" x14ac:dyDescent="0.25">
      <c r="A711" s="40" t="s">
        <v>966</v>
      </c>
      <c r="B711" s="8" t="s">
        <v>563</v>
      </c>
      <c r="C711" s="2">
        <f t="shared" si="336"/>
        <v>1531199.9999999998</v>
      </c>
      <c r="D711" s="3">
        <f t="shared" si="328"/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0</v>
      </c>
      <c r="K711" s="11">
        <v>0</v>
      </c>
      <c r="L711" s="5">
        <v>0</v>
      </c>
      <c r="M711" s="5">
        <v>278.39999999999998</v>
      </c>
      <c r="N711" s="3">
        <f t="shared" si="343"/>
        <v>1531199.9999999998</v>
      </c>
      <c r="O711" s="5">
        <v>0</v>
      </c>
      <c r="P711" s="5">
        <v>0</v>
      </c>
      <c r="Q711" s="5">
        <v>0</v>
      </c>
      <c r="R711" s="3">
        <f t="shared" si="329"/>
        <v>0</v>
      </c>
      <c r="S711" s="5">
        <v>0</v>
      </c>
      <c r="T711" s="5">
        <v>0</v>
      </c>
      <c r="U711" s="5">
        <v>0</v>
      </c>
      <c r="V711" s="6">
        <f t="shared" si="330"/>
        <v>5500</v>
      </c>
    </row>
    <row r="712" spans="1:22" ht="21.95" customHeight="1" x14ac:dyDescent="0.25">
      <c r="A712" s="40" t="s">
        <v>967</v>
      </c>
      <c r="B712" s="8" t="s">
        <v>475</v>
      </c>
      <c r="C712" s="2">
        <f t="shared" si="336"/>
        <v>1441000</v>
      </c>
      <c r="D712" s="3">
        <f t="shared" si="328"/>
        <v>0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4">
        <v>0</v>
      </c>
      <c r="L712" s="3">
        <v>0</v>
      </c>
      <c r="M712" s="3">
        <v>262</v>
      </c>
      <c r="N712" s="3">
        <f t="shared" ref="N712:N726" si="345">M712*5500</f>
        <v>1441000</v>
      </c>
      <c r="O712" s="3">
        <v>0</v>
      </c>
      <c r="P712" s="3">
        <v>0</v>
      </c>
      <c r="Q712" s="3">
        <v>0</v>
      </c>
      <c r="R712" s="3">
        <f t="shared" si="329"/>
        <v>0</v>
      </c>
      <c r="S712" s="3">
        <v>0</v>
      </c>
      <c r="T712" s="5">
        <v>0</v>
      </c>
      <c r="U712" s="3">
        <v>0</v>
      </c>
      <c r="V712" s="6">
        <f t="shared" si="330"/>
        <v>5500</v>
      </c>
    </row>
    <row r="713" spans="1:22" ht="21.95" customHeight="1" x14ac:dyDescent="0.25">
      <c r="A713" s="40" t="s">
        <v>968</v>
      </c>
      <c r="B713" s="8" t="s">
        <v>668</v>
      </c>
      <c r="C713" s="2">
        <f t="shared" si="336"/>
        <v>2114200</v>
      </c>
      <c r="D713" s="3">
        <f t="shared" si="328"/>
        <v>0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11">
        <v>0</v>
      </c>
      <c r="L713" s="5">
        <v>0</v>
      </c>
      <c r="M713" s="5">
        <v>384.4</v>
      </c>
      <c r="N713" s="3">
        <f t="shared" si="345"/>
        <v>2114200</v>
      </c>
      <c r="O713" s="5">
        <v>0</v>
      </c>
      <c r="P713" s="5">
        <v>0</v>
      </c>
      <c r="Q713" s="5">
        <v>0</v>
      </c>
      <c r="R713" s="3">
        <f t="shared" si="329"/>
        <v>0</v>
      </c>
      <c r="S713" s="5">
        <v>0</v>
      </c>
      <c r="T713" s="5">
        <v>0</v>
      </c>
      <c r="U713" s="5">
        <v>0</v>
      </c>
      <c r="V713" s="6">
        <f t="shared" si="330"/>
        <v>5500</v>
      </c>
    </row>
    <row r="714" spans="1:22" ht="21.95" customHeight="1" x14ac:dyDescent="0.25">
      <c r="A714" s="40" t="s">
        <v>969</v>
      </c>
      <c r="B714" s="8" t="s">
        <v>564</v>
      </c>
      <c r="C714" s="2">
        <f t="shared" si="336"/>
        <v>1411850</v>
      </c>
      <c r="D714" s="3">
        <f t="shared" si="328"/>
        <v>0</v>
      </c>
      <c r="E714" s="3">
        <v>0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11">
        <v>0</v>
      </c>
      <c r="L714" s="5">
        <v>0</v>
      </c>
      <c r="M714" s="5">
        <v>256.7</v>
      </c>
      <c r="N714" s="3">
        <f t="shared" si="345"/>
        <v>1411850</v>
      </c>
      <c r="O714" s="5">
        <v>0</v>
      </c>
      <c r="P714" s="5">
        <v>0</v>
      </c>
      <c r="Q714" s="5">
        <v>0</v>
      </c>
      <c r="R714" s="3">
        <f t="shared" si="329"/>
        <v>0</v>
      </c>
      <c r="S714" s="5">
        <v>0</v>
      </c>
      <c r="T714" s="5">
        <v>0</v>
      </c>
      <c r="U714" s="5">
        <v>0</v>
      </c>
      <c r="V714" s="6">
        <f t="shared" si="330"/>
        <v>5500</v>
      </c>
    </row>
    <row r="715" spans="1:22" ht="21.95" customHeight="1" x14ac:dyDescent="0.25">
      <c r="A715" s="40" t="s">
        <v>970</v>
      </c>
      <c r="B715" s="8" t="s">
        <v>565</v>
      </c>
      <c r="C715" s="2">
        <f t="shared" si="336"/>
        <v>1399200</v>
      </c>
      <c r="D715" s="3">
        <f t="shared" ref="D715:D726" si="346">SUM(E715:J715)</f>
        <v>0</v>
      </c>
      <c r="E715" s="3">
        <v>0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11">
        <v>0</v>
      </c>
      <c r="L715" s="5">
        <v>0</v>
      </c>
      <c r="M715" s="5">
        <v>254.4</v>
      </c>
      <c r="N715" s="3">
        <f t="shared" si="345"/>
        <v>1399200</v>
      </c>
      <c r="O715" s="5">
        <v>0</v>
      </c>
      <c r="P715" s="5">
        <v>0</v>
      </c>
      <c r="Q715" s="5">
        <v>0</v>
      </c>
      <c r="R715" s="3">
        <f t="shared" si="329"/>
        <v>0</v>
      </c>
      <c r="S715" s="5">
        <v>0</v>
      </c>
      <c r="T715" s="5">
        <v>0</v>
      </c>
      <c r="U715" s="5">
        <v>0</v>
      </c>
      <c r="V715" s="6">
        <f t="shared" si="330"/>
        <v>5500</v>
      </c>
    </row>
    <row r="716" spans="1:22" ht="21.95" customHeight="1" x14ac:dyDescent="0.25">
      <c r="A716" s="40" t="s">
        <v>971</v>
      </c>
      <c r="B716" s="8" t="s">
        <v>566</v>
      </c>
      <c r="C716" s="2">
        <f t="shared" si="336"/>
        <v>1345300</v>
      </c>
      <c r="D716" s="3">
        <f t="shared" si="346"/>
        <v>0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11">
        <v>0</v>
      </c>
      <c r="L716" s="5">
        <v>0</v>
      </c>
      <c r="M716" s="5">
        <v>244.6</v>
      </c>
      <c r="N716" s="3">
        <f t="shared" si="345"/>
        <v>1345300</v>
      </c>
      <c r="O716" s="5">
        <v>0</v>
      </c>
      <c r="P716" s="5">
        <v>0</v>
      </c>
      <c r="Q716" s="5">
        <v>0</v>
      </c>
      <c r="R716" s="3">
        <f t="shared" ref="R716:R726" si="347">Q716*3000</f>
        <v>0</v>
      </c>
      <c r="S716" s="5">
        <v>0</v>
      </c>
      <c r="T716" s="5">
        <v>0</v>
      </c>
      <c r="U716" s="5">
        <v>0</v>
      </c>
      <c r="V716" s="6">
        <f t="shared" ref="V716:V726" si="348">N716/M716</f>
        <v>5500</v>
      </c>
    </row>
    <row r="717" spans="1:22" ht="21.95" customHeight="1" x14ac:dyDescent="0.25">
      <c r="A717" s="40" t="s">
        <v>972</v>
      </c>
      <c r="B717" s="8" t="s">
        <v>567</v>
      </c>
      <c r="C717" s="2">
        <f t="shared" si="336"/>
        <v>1463550.0000000002</v>
      </c>
      <c r="D717" s="3">
        <f t="shared" si="346"/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11">
        <v>0</v>
      </c>
      <c r="L717" s="5">
        <v>0</v>
      </c>
      <c r="M717" s="5">
        <v>266.10000000000002</v>
      </c>
      <c r="N717" s="3">
        <f t="shared" si="345"/>
        <v>1463550.0000000002</v>
      </c>
      <c r="O717" s="5">
        <v>0</v>
      </c>
      <c r="P717" s="5">
        <v>0</v>
      </c>
      <c r="Q717" s="5">
        <v>0</v>
      </c>
      <c r="R717" s="3">
        <f t="shared" si="347"/>
        <v>0</v>
      </c>
      <c r="S717" s="5">
        <v>0</v>
      </c>
      <c r="T717" s="5">
        <v>0</v>
      </c>
      <c r="U717" s="5">
        <v>0</v>
      </c>
      <c r="V717" s="6">
        <f t="shared" si="348"/>
        <v>5500</v>
      </c>
    </row>
    <row r="718" spans="1:22" ht="21.95" customHeight="1" x14ac:dyDescent="0.25">
      <c r="A718" s="40" t="s">
        <v>973</v>
      </c>
      <c r="B718" s="8" t="s">
        <v>568</v>
      </c>
      <c r="C718" s="2">
        <f t="shared" si="336"/>
        <v>1531199.9999999998</v>
      </c>
      <c r="D718" s="3">
        <f t="shared" si="346"/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11">
        <v>0</v>
      </c>
      <c r="L718" s="5">
        <v>0</v>
      </c>
      <c r="M718" s="5">
        <v>278.39999999999998</v>
      </c>
      <c r="N718" s="3">
        <f t="shared" si="345"/>
        <v>1531199.9999999998</v>
      </c>
      <c r="O718" s="5">
        <v>0</v>
      </c>
      <c r="P718" s="5">
        <v>0</v>
      </c>
      <c r="Q718" s="5">
        <v>0</v>
      </c>
      <c r="R718" s="3">
        <f t="shared" si="347"/>
        <v>0</v>
      </c>
      <c r="S718" s="5">
        <v>0</v>
      </c>
      <c r="T718" s="5">
        <v>0</v>
      </c>
      <c r="U718" s="5">
        <v>0</v>
      </c>
      <c r="V718" s="6">
        <f t="shared" si="348"/>
        <v>5500</v>
      </c>
    </row>
    <row r="719" spans="1:22" ht="21.95" customHeight="1" x14ac:dyDescent="0.25">
      <c r="A719" s="40" t="s">
        <v>974</v>
      </c>
      <c r="B719" s="8" t="s">
        <v>569</v>
      </c>
      <c r="C719" s="2">
        <f t="shared" si="336"/>
        <v>1492150</v>
      </c>
      <c r="D719" s="3">
        <f t="shared" si="346"/>
        <v>0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  <c r="J719" s="3">
        <v>0</v>
      </c>
      <c r="K719" s="11">
        <v>0</v>
      </c>
      <c r="L719" s="5">
        <v>0</v>
      </c>
      <c r="M719" s="5">
        <v>271.3</v>
      </c>
      <c r="N719" s="3">
        <f t="shared" si="345"/>
        <v>1492150</v>
      </c>
      <c r="O719" s="5">
        <v>0</v>
      </c>
      <c r="P719" s="5">
        <v>0</v>
      </c>
      <c r="Q719" s="5">
        <v>0</v>
      </c>
      <c r="R719" s="3">
        <f t="shared" si="347"/>
        <v>0</v>
      </c>
      <c r="S719" s="5">
        <v>0</v>
      </c>
      <c r="T719" s="5">
        <v>0</v>
      </c>
      <c r="U719" s="5">
        <v>0</v>
      </c>
      <c r="V719" s="6">
        <f t="shared" si="348"/>
        <v>5500</v>
      </c>
    </row>
    <row r="720" spans="1:22" ht="21.95" customHeight="1" x14ac:dyDescent="0.25">
      <c r="A720" s="40" t="s">
        <v>975</v>
      </c>
      <c r="B720" s="8" t="s">
        <v>572</v>
      </c>
      <c r="C720" s="2">
        <f t="shared" si="336"/>
        <v>1533400</v>
      </c>
      <c r="D720" s="3">
        <f t="shared" si="346"/>
        <v>0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11">
        <v>0</v>
      </c>
      <c r="L720" s="5">
        <v>0</v>
      </c>
      <c r="M720" s="5">
        <v>278.8</v>
      </c>
      <c r="N720" s="3">
        <f t="shared" si="345"/>
        <v>1533400</v>
      </c>
      <c r="O720" s="5">
        <v>0</v>
      </c>
      <c r="P720" s="5">
        <v>0</v>
      </c>
      <c r="Q720" s="5">
        <v>0</v>
      </c>
      <c r="R720" s="3">
        <f t="shared" si="347"/>
        <v>0</v>
      </c>
      <c r="S720" s="5">
        <v>0</v>
      </c>
      <c r="T720" s="5">
        <v>0</v>
      </c>
      <c r="U720" s="5">
        <v>0</v>
      </c>
      <c r="V720" s="6">
        <f t="shared" si="348"/>
        <v>5500</v>
      </c>
    </row>
    <row r="721" spans="1:22" ht="21.95" customHeight="1" x14ac:dyDescent="0.25">
      <c r="A721" s="40" t="s">
        <v>976</v>
      </c>
      <c r="B721" s="8" t="s">
        <v>573</v>
      </c>
      <c r="C721" s="2">
        <f t="shared" si="336"/>
        <v>1533400</v>
      </c>
      <c r="D721" s="3">
        <f t="shared" si="346"/>
        <v>0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  <c r="J721" s="3">
        <v>0</v>
      </c>
      <c r="K721" s="11">
        <v>0</v>
      </c>
      <c r="L721" s="5">
        <v>0</v>
      </c>
      <c r="M721" s="5">
        <v>278.8</v>
      </c>
      <c r="N721" s="3">
        <f t="shared" si="345"/>
        <v>1533400</v>
      </c>
      <c r="O721" s="5">
        <v>0</v>
      </c>
      <c r="P721" s="5">
        <v>0</v>
      </c>
      <c r="Q721" s="5">
        <v>0</v>
      </c>
      <c r="R721" s="3">
        <f t="shared" si="347"/>
        <v>0</v>
      </c>
      <c r="S721" s="5">
        <v>0</v>
      </c>
      <c r="T721" s="5">
        <v>0</v>
      </c>
      <c r="U721" s="5">
        <v>0</v>
      </c>
      <c r="V721" s="6">
        <f t="shared" si="348"/>
        <v>5500</v>
      </c>
    </row>
    <row r="722" spans="1:22" ht="21.95" customHeight="1" x14ac:dyDescent="0.25">
      <c r="A722" s="40" t="s">
        <v>977</v>
      </c>
      <c r="B722" s="8" t="s">
        <v>574</v>
      </c>
      <c r="C722" s="2">
        <f t="shared" si="336"/>
        <v>1533400</v>
      </c>
      <c r="D722" s="3">
        <f t="shared" si="346"/>
        <v>0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  <c r="J722" s="3">
        <v>0</v>
      </c>
      <c r="K722" s="11">
        <v>0</v>
      </c>
      <c r="L722" s="5">
        <v>0</v>
      </c>
      <c r="M722" s="5">
        <v>278.8</v>
      </c>
      <c r="N722" s="3">
        <f t="shared" si="345"/>
        <v>1533400</v>
      </c>
      <c r="O722" s="5">
        <v>0</v>
      </c>
      <c r="P722" s="5">
        <v>0</v>
      </c>
      <c r="Q722" s="5">
        <v>0</v>
      </c>
      <c r="R722" s="3">
        <f t="shared" si="347"/>
        <v>0</v>
      </c>
      <c r="S722" s="5">
        <v>0</v>
      </c>
      <c r="T722" s="5">
        <v>0</v>
      </c>
      <c r="U722" s="5">
        <v>0</v>
      </c>
      <c r="V722" s="6">
        <f t="shared" si="348"/>
        <v>5500</v>
      </c>
    </row>
    <row r="723" spans="1:22" ht="21.95" customHeight="1" x14ac:dyDescent="0.25">
      <c r="A723" s="40" t="s">
        <v>978</v>
      </c>
      <c r="B723" s="8" t="s">
        <v>424</v>
      </c>
      <c r="C723" s="2">
        <f t="shared" si="336"/>
        <v>4476695</v>
      </c>
      <c r="D723" s="3">
        <f t="shared" si="346"/>
        <v>780195</v>
      </c>
      <c r="E723" s="5">
        <f>350*400.1</f>
        <v>140035</v>
      </c>
      <c r="F723" s="5">
        <f>1050*400.1</f>
        <v>420105</v>
      </c>
      <c r="G723" s="5">
        <f>300*400.1</f>
        <v>120030</v>
      </c>
      <c r="H723" s="5">
        <f>400*0</f>
        <v>0</v>
      </c>
      <c r="I723" s="5">
        <f>250*400.1</f>
        <v>100025</v>
      </c>
      <c r="J723" s="5">
        <f>350*0</f>
        <v>0</v>
      </c>
      <c r="K723" s="4">
        <v>0</v>
      </c>
      <c r="L723" s="3">
        <v>0</v>
      </c>
      <c r="M723" s="3">
        <v>403</v>
      </c>
      <c r="N723" s="3">
        <f t="shared" si="345"/>
        <v>2216500</v>
      </c>
      <c r="O723" s="3">
        <v>0</v>
      </c>
      <c r="P723" s="3">
        <v>0</v>
      </c>
      <c r="Q723" s="3">
        <v>460</v>
      </c>
      <c r="R723" s="3">
        <f t="shared" si="347"/>
        <v>1380000</v>
      </c>
      <c r="S723" s="3">
        <v>0</v>
      </c>
      <c r="T723" s="5">
        <v>0</v>
      </c>
      <c r="U723" s="3">
        <v>100000</v>
      </c>
      <c r="V723" s="6">
        <f t="shared" si="348"/>
        <v>5500</v>
      </c>
    </row>
    <row r="724" spans="1:22" ht="21.95" customHeight="1" x14ac:dyDescent="0.25">
      <c r="A724" s="40" t="s">
        <v>979</v>
      </c>
      <c r="B724" s="8" t="s">
        <v>439</v>
      </c>
      <c r="C724" s="2">
        <f t="shared" si="336"/>
        <v>2321000</v>
      </c>
      <c r="D724" s="3">
        <f t="shared" si="346"/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v>0</v>
      </c>
      <c r="K724" s="4">
        <v>0</v>
      </c>
      <c r="L724" s="3">
        <v>0</v>
      </c>
      <c r="M724" s="3">
        <v>422</v>
      </c>
      <c r="N724" s="3">
        <f t="shared" si="345"/>
        <v>2321000</v>
      </c>
      <c r="O724" s="3">
        <v>0</v>
      </c>
      <c r="P724" s="3">
        <v>0</v>
      </c>
      <c r="Q724" s="3">
        <v>0</v>
      </c>
      <c r="R724" s="3">
        <f t="shared" si="347"/>
        <v>0</v>
      </c>
      <c r="S724" s="3">
        <v>0</v>
      </c>
      <c r="T724" s="5">
        <v>0</v>
      </c>
      <c r="U724" s="3">
        <v>0</v>
      </c>
      <c r="V724" s="6">
        <f t="shared" si="348"/>
        <v>5500</v>
      </c>
    </row>
    <row r="725" spans="1:22" ht="21.95" customHeight="1" x14ac:dyDescent="0.25">
      <c r="A725" s="40" t="s">
        <v>980</v>
      </c>
      <c r="B725" s="8" t="s">
        <v>575</v>
      </c>
      <c r="C725" s="2">
        <f t="shared" si="336"/>
        <v>2497000</v>
      </c>
      <c r="D725" s="3">
        <f t="shared" si="346"/>
        <v>0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11">
        <v>0</v>
      </c>
      <c r="L725" s="5">
        <v>0</v>
      </c>
      <c r="M725" s="5">
        <v>454</v>
      </c>
      <c r="N725" s="3">
        <f t="shared" si="345"/>
        <v>2497000</v>
      </c>
      <c r="O725" s="5">
        <v>0</v>
      </c>
      <c r="P725" s="5">
        <v>0</v>
      </c>
      <c r="Q725" s="5">
        <v>0</v>
      </c>
      <c r="R725" s="3">
        <f t="shared" si="347"/>
        <v>0</v>
      </c>
      <c r="S725" s="5">
        <v>0</v>
      </c>
      <c r="T725" s="5">
        <v>0</v>
      </c>
      <c r="U725" s="5">
        <v>0</v>
      </c>
      <c r="V725" s="6">
        <f t="shared" si="348"/>
        <v>5500</v>
      </c>
    </row>
    <row r="726" spans="1:22" ht="21.95" customHeight="1" x14ac:dyDescent="0.25">
      <c r="A726" s="40" t="s">
        <v>981</v>
      </c>
      <c r="B726" s="8" t="s">
        <v>576</v>
      </c>
      <c r="C726" s="2">
        <f t="shared" si="336"/>
        <v>2497000</v>
      </c>
      <c r="D726" s="3">
        <f t="shared" si="346"/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11">
        <v>0</v>
      </c>
      <c r="L726" s="5">
        <v>0</v>
      </c>
      <c r="M726" s="5">
        <v>454</v>
      </c>
      <c r="N726" s="3">
        <f t="shared" si="345"/>
        <v>2497000</v>
      </c>
      <c r="O726" s="5">
        <v>0</v>
      </c>
      <c r="P726" s="5">
        <v>0</v>
      </c>
      <c r="Q726" s="5">
        <v>0</v>
      </c>
      <c r="R726" s="3">
        <f t="shared" si="347"/>
        <v>0</v>
      </c>
      <c r="S726" s="5">
        <v>0</v>
      </c>
      <c r="T726" s="5">
        <v>0</v>
      </c>
      <c r="U726" s="5">
        <v>0</v>
      </c>
      <c r="V726" s="6">
        <f t="shared" si="348"/>
        <v>5500</v>
      </c>
    </row>
    <row r="727" spans="1:22" ht="45" customHeight="1" x14ac:dyDescent="0.25">
      <c r="A727" s="51" t="s">
        <v>281</v>
      </c>
      <c r="B727" s="51"/>
      <c r="C727" s="2">
        <f>SUM(C728:C730)</f>
        <v>13909680</v>
      </c>
      <c r="D727" s="2">
        <f t="shared" ref="D727:U727" si="349">SUM(D728:D730)</f>
        <v>2453530</v>
      </c>
      <c r="E727" s="2">
        <f t="shared" si="349"/>
        <v>432530</v>
      </c>
      <c r="F727" s="2">
        <f t="shared" si="349"/>
        <v>1061025</v>
      </c>
      <c r="G727" s="2">
        <f t="shared" si="349"/>
        <v>303150</v>
      </c>
      <c r="H727" s="2">
        <f t="shared" si="349"/>
        <v>404200</v>
      </c>
      <c r="I727" s="2">
        <f t="shared" si="349"/>
        <v>252625</v>
      </c>
      <c r="J727" s="2">
        <f t="shared" si="349"/>
        <v>0</v>
      </c>
      <c r="K727" s="14">
        <f t="shared" si="349"/>
        <v>0</v>
      </c>
      <c r="L727" s="2">
        <f t="shared" si="349"/>
        <v>0</v>
      </c>
      <c r="M727" s="2">
        <f t="shared" si="349"/>
        <v>1123.7</v>
      </c>
      <c r="N727" s="2">
        <f t="shared" si="349"/>
        <v>6180350</v>
      </c>
      <c r="O727" s="2">
        <f t="shared" si="349"/>
        <v>220</v>
      </c>
      <c r="P727" s="2">
        <f t="shared" si="349"/>
        <v>264000</v>
      </c>
      <c r="Q727" s="2">
        <f t="shared" si="349"/>
        <v>1570.6</v>
      </c>
      <c r="R727" s="2">
        <f t="shared" si="349"/>
        <v>4711800</v>
      </c>
      <c r="S727" s="2">
        <f t="shared" si="349"/>
        <v>0</v>
      </c>
      <c r="T727" s="2">
        <f t="shared" si="349"/>
        <v>0</v>
      </c>
      <c r="U727" s="2">
        <f t="shared" si="349"/>
        <v>300000</v>
      </c>
    </row>
    <row r="728" spans="1:22" ht="21.95" customHeight="1" x14ac:dyDescent="0.25">
      <c r="A728" s="40" t="s">
        <v>1684</v>
      </c>
      <c r="B728" s="8" t="s">
        <v>282</v>
      </c>
      <c r="C728" s="2">
        <f t="shared" si="336"/>
        <v>5527285</v>
      </c>
      <c r="D728" s="3">
        <f t="shared" ref="D728:D730" si="350">SUM(E728:J728)</f>
        <v>1217535</v>
      </c>
      <c r="E728" s="3">
        <f>350*518.1</f>
        <v>181335</v>
      </c>
      <c r="F728" s="3">
        <f>1050*518.1</f>
        <v>544005</v>
      </c>
      <c r="G728" s="3">
        <f>300*518.1</f>
        <v>155430</v>
      </c>
      <c r="H728" s="3">
        <f>400*518.1</f>
        <v>207240</v>
      </c>
      <c r="I728" s="3">
        <f>250*518.1</f>
        <v>129525</v>
      </c>
      <c r="J728" s="3">
        <v>0</v>
      </c>
      <c r="K728" s="4">
        <v>0</v>
      </c>
      <c r="L728" s="3">
        <v>0</v>
      </c>
      <c r="M728" s="3">
        <v>437.7</v>
      </c>
      <c r="N728" s="3">
        <f t="shared" ref="N728:N730" si="351">M728*5500</f>
        <v>2407350</v>
      </c>
      <c r="O728" s="5">
        <v>110</v>
      </c>
      <c r="P728" s="5">
        <v>132000</v>
      </c>
      <c r="Q728" s="3">
        <v>556.79999999999995</v>
      </c>
      <c r="R728" s="3">
        <f t="shared" ref="R728:R730" si="352">Q728*3000</f>
        <v>1670399.9999999998</v>
      </c>
      <c r="S728" s="3">
        <v>0</v>
      </c>
      <c r="T728" s="3">
        <v>0</v>
      </c>
      <c r="U728" s="3">
        <v>100000</v>
      </c>
      <c r="V728" s="6">
        <f t="shared" ref="V728:V730" si="353">N728/M728</f>
        <v>5500</v>
      </c>
    </row>
    <row r="729" spans="1:22" ht="21.95" customHeight="1" x14ac:dyDescent="0.25">
      <c r="A729" s="40" t="s">
        <v>982</v>
      </c>
      <c r="B729" s="8" t="s">
        <v>283</v>
      </c>
      <c r="C729" s="2">
        <f t="shared" si="336"/>
        <v>5398240</v>
      </c>
      <c r="D729" s="3">
        <f t="shared" si="350"/>
        <v>1157140</v>
      </c>
      <c r="E729" s="3">
        <f>350*492.4</f>
        <v>172340</v>
      </c>
      <c r="F729" s="3">
        <f>1050*492.4</f>
        <v>517020</v>
      </c>
      <c r="G729" s="3">
        <f>300*492.4</f>
        <v>147720</v>
      </c>
      <c r="H729" s="3">
        <f>400*492.4</f>
        <v>196960</v>
      </c>
      <c r="I729" s="3">
        <f>250*492.4</f>
        <v>123100</v>
      </c>
      <c r="J729" s="3">
        <v>0</v>
      </c>
      <c r="K729" s="4">
        <v>0</v>
      </c>
      <c r="L729" s="3">
        <v>0</v>
      </c>
      <c r="M729" s="3">
        <v>429.8</v>
      </c>
      <c r="N729" s="3">
        <f t="shared" si="351"/>
        <v>2363900</v>
      </c>
      <c r="O729" s="5">
        <v>110</v>
      </c>
      <c r="P729" s="5">
        <v>132000</v>
      </c>
      <c r="Q729" s="3">
        <v>548.4</v>
      </c>
      <c r="R729" s="3">
        <f t="shared" si="352"/>
        <v>1645200</v>
      </c>
      <c r="S729" s="3">
        <v>0</v>
      </c>
      <c r="T729" s="3">
        <v>0</v>
      </c>
      <c r="U729" s="3">
        <v>100000</v>
      </c>
      <c r="V729" s="6">
        <f t="shared" si="353"/>
        <v>5500</v>
      </c>
    </row>
    <row r="730" spans="1:22" ht="21.95" customHeight="1" x14ac:dyDescent="0.25">
      <c r="A730" s="40" t="s">
        <v>983</v>
      </c>
      <c r="B730" s="8" t="s">
        <v>307</v>
      </c>
      <c r="C730" s="2">
        <f t="shared" si="336"/>
        <v>2984155</v>
      </c>
      <c r="D730" s="3">
        <f t="shared" si="350"/>
        <v>78855</v>
      </c>
      <c r="E730" s="3">
        <f>350*225.3</f>
        <v>78855</v>
      </c>
      <c r="F730" s="3">
        <f>1050*0</f>
        <v>0</v>
      </c>
      <c r="G730" s="3">
        <f>300*0</f>
        <v>0</v>
      </c>
      <c r="H730" s="3">
        <f>400*0</f>
        <v>0</v>
      </c>
      <c r="I730" s="3">
        <f>250*0</f>
        <v>0</v>
      </c>
      <c r="J730" s="3">
        <v>0</v>
      </c>
      <c r="K730" s="4">
        <v>0</v>
      </c>
      <c r="L730" s="3">
        <v>0</v>
      </c>
      <c r="M730" s="3">
        <v>256.2</v>
      </c>
      <c r="N730" s="3">
        <f t="shared" si="351"/>
        <v>1409100</v>
      </c>
      <c r="O730" s="3">
        <v>0</v>
      </c>
      <c r="P730" s="3">
        <v>0</v>
      </c>
      <c r="Q730" s="3">
        <v>465.4</v>
      </c>
      <c r="R730" s="3">
        <f t="shared" si="352"/>
        <v>1396200</v>
      </c>
      <c r="S730" s="3">
        <v>0</v>
      </c>
      <c r="T730" s="3">
        <v>0</v>
      </c>
      <c r="U730" s="3">
        <v>100000</v>
      </c>
      <c r="V730" s="6">
        <f t="shared" si="353"/>
        <v>5500</v>
      </c>
    </row>
    <row r="731" spans="1:22" ht="45" customHeight="1" x14ac:dyDescent="0.25">
      <c r="A731" s="51" t="s">
        <v>1546</v>
      </c>
      <c r="B731" s="51"/>
      <c r="C731" s="2">
        <f>SUM(C732)</f>
        <v>7540064</v>
      </c>
      <c r="D731" s="2">
        <f t="shared" ref="D731:U731" si="354">SUM(D732)</f>
        <v>951015</v>
      </c>
      <c r="E731" s="2">
        <f t="shared" si="354"/>
        <v>170695</v>
      </c>
      <c r="F731" s="2">
        <f t="shared" si="354"/>
        <v>512085</v>
      </c>
      <c r="G731" s="2">
        <f t="shared" si="354"/>
        <v>146310</v>
      </c>
      <c r="H731" s="2">
        <f t="shared" si="354"/>
        <v>0</v>
      </c>
      <c r="I731" s="2">
        <f t="shared" si="354"/>
        <v>121925</v>
      </c>
      <c r="J731" s="2">
        <f t="shared" si="354"/>
        <v>0</v>
      </c>
      <c r="K731" s="14">
        <f t="shared" si="354"/>
        <v>0</v>
      </c>
      <c r="L731" s="2">
        <f t="shared" si="354"/>
        <v>0</v>
      </c>
      <c r="M731" s="2">
        <f t="shared" si="354"/>
        <v>321.5</v>
      </c>
      <c r="N731" s="2">
        <f t="shared" si="354"/>
        <v>1185049</v>
      </c>
      <c r="O731" s="2">
        <f t="shared" si="354"/>
        <v>0</v>
      </c>
      <c r="P731" s="2">
        <f t="shared" si="354"/>
        <v>0</v>
      </c>
      <c r="Q731" s="2">
        <f t="shared" si="354"/>
        <v>1768</v>
      </c>
      <c r="R731" s="2">
        <f t="shared" si="354"/>
        <v>5304000</v>
      </c>
      <c r="S731" s="2">
        <f t="shared" si="354"/>
        <v>0</v>
      </c>
      <c r="T731" s="2">
        <f t="shared" si="354"/>
        <v>0</v>
      </c>
      <c r="U731" s="2">
        <f t="shared" si="354"/>
        <v>100000</v>
      </c>
    </row>
    <row r="732" spans="1:22" ht="21.95" customHeight="1" x14ac:dyDescent="0.25">
      <c r="A732" s="40" t="s">
        <v>984</v>
      </c>
      <c r="B732" s="8" t="s">
        <v>1547</v>
      </c>
      <c r="C732" s="2">
        <f t="shared" si="336"/>
        <v>7540064</v>
      </c>
      <c r="D732" s="3">
        <f t="shared" ref="D732" si="355">SUM(E732:J732)</f>
        <v>951015</v>
      </c>
      <c r="E732" s="3">
        <f>350*487.7</f>
        <v>170695</v>
      </c>
      <c r="F732" s="3">
        <f>1050*487.7</f>
        <v>512085</v>
      </c>
      <c r="G732" s="3">
        <f>300*487.7</f>
        <v>146310</v>
      </c>
      <c r="H732" s="3">
        <v>0</v>
      </c>
      <c r="I732" s="3">
        <f>250*487.7</f>
        <v>121925</v>
      </c>
      <c r="J732" s="3">
        <v>0</v>
      </c>
      <c r="K732" s="4">
        <v>0</v>
      </c>
      <c r="L732" s="3">
        <v>0</v>
      </c>
      <c r="M732" s="3">
        <v>321.5</v>
      </c>
      <c r="N732" s="3">
        <f>M732*3686</f>
        <v>1185049</v>
      </c>
      <c r="O732" s="5">
        <v>0</v>
      </c>
      <c r="P732" s="5">
        <v>0</v>
      </c>
      <c r="Q732" s="3">
        <v>1768</v>
      </c>
      <c r="R732" s="3">
        <f>Q732*3000</f>
        <v>5304000</v>
      </c>
      <c r="S732" s="3">
        <v>0</v>
      </c>
      <c r="T732" s="3">
        <v>0</v>
      </c>
      <c r="U732" s="3">
        <v>100000</v>
      </c>
      <c r="V732" s="6">
        <f t="shared" ref="V732" si="356">N732/M732</f>
        <v>3686</v>
      </c>
    </row>
    <row r="733" spans="1:22" ht="45" customHeight="1" x14ac:dyDescent="0.25">
      <c r="A733" s="51" t="s">
        <v>286</v>
      </c>
      <c r="B733" s="51"/>
      <c r="C733" s="2">
        <f>SUM(C734:C735)</f>
        <v>9394530</v>
      </c>
      <c r="D733" s="2">
        <f t="shared" ref="D733:U733" si="357">SUM(D734:D735)</f>
        <v>1994680</v>
      </c>
      <c r="E733" s="2">
        <f t="shared" si="357"/>
        <v>297080</v>
      </c>
      <c r="F733" s="2">
        <f t="shared" si="357"/>
        <v>891240</v>
      </c>
      <c r="G733" s="2">
        <f t="shared" si="357"/>
        <v>254640</v>
      </c>
      <c r="H733" s="2">
        <f t="shared" si="357"/>
        <v>339520</v>
      </c>
      <c r="I733" s="2">
        <f t="shared" si="357"/>
        <v>212200</v>
      </c>
      <c r="J733" s="2">
        <f t="shared" si="357"/>
        <v>0</v>
      </c>
      <c r="K733" s="14">
        <f t="shared" si="357"/>
        <v>0</v>
      </c>
      <c r="L733" s="2">
        <f t="shared" si="357"/>
        <v>0</v>
      </c>
      <c r="M733" s="2">
        <f t="shared" si="357"/>
        <v>755.7</v>
      </c>
      <c r="N733" s="2">
        <f t="shared" si="357"/>
        <v>4156350</v>
      </c>
      <c r="O733" s="2">
        <f t="shared" si="357"/>
        <v>0</v>
      </c>
      <c r="P733" s="2">
        <f t="shared" si="357"/>
        <v>0</v>
      </c>
      <c r="Q733" s="2">
        <f t="shared" si="357"/>
        <v>1014.5</v>
      </c>
      <c r="R733" s="2">
        <f t="shared" si="357"/>
        <v>3043500</v>
      </c>
      <c r="S733" s="2">
        <f t="shared" si="357"/>
        <v>0</v>
      </c>
      <c r="T733" s="2">
        <f t="shared" si="357"/>
        <v>0</v>
      </c>
      <c r="U733" s="2">
        <f t="shared" si="357"/>
        <v>200000</v>
      </c>
    </row>
    <row r="734" spans="1:22" ht="21.95" customHeight="1" x14ac:dyDescent="0.25">
      <c r="A734" s="40" t="s">
        <v>985</v>
      </c>
      <c r="B734" s="8" t="s">
        <v>289</v>
      </c>
      <c r="C734" s="2">
        <f t="shared" si="336"/>
        <v>3958220</v>
      </c>
      <c r="D734" s="3">
        <f t="shared" ref="D734:D735" si="358">SUM(E734:J734)</f>
        <v>785370</v>
      </c>
      <c r="E734" s="3">
        <f>350*334.2</f>
        <v>116970</v>
      </c>
      <c r="F734" s="3">
        <f>1050*334.2</f>
        <v>350910</v>
      </c>
      <c r="G734" s="3">
        <f>300*334.2</f>
        <v>100260</v>
      </c>
      <c r="H734" s="3">
        <f>400*334.2</f>
        <v>133680</v>
      </c>
      <c r="I734" s="3">
        <f>250*334.2</f>
        <v>83550</v>
      </c>
      <c r="J734" s="3">
        <v>0</v>
      </c>
      <c r="K734" s="4">
        <v>0</v>
      </c>
      <c r="L734" s="3">
        <v>0</v>
      </c>
      <c r="M734" s="3">
        <v>318.7</v>
      </c>
      <c r="N734" s="3">
        <f t="shared" ref="N734:N735" si="359">M734*5500</f>
        <v>1752850</v>
      </c>
      <c r="O734" s="3">
        <v>0</v>
      </c>
      <c r="P734" s="3">
        <v>0</v>
      </c>
      <c r="Q734" s="3">
        <v>440</v>
      </c>
      <c r="R734" s="3">
        <f t="shared" ref="R734:R735" si="360">Q734*3000</f>
        <v>1320000</v>
      </c>
      <c r="S734" s="3">
        <v>0</v>
      </c>
      <c r="T734" s="3">
        <v>0</v>
      </c>
      <c r="U734" s="3">
        <v>100000</v>
      </c>
      <c r="V734" s="6">
        <f t="shared" ref="V734:V735" si="361">N734/M734</f>
        <v>5500</v>
      </c>
    </row>
    <row r="735" spans="1:22" ht="21.95" customHeight="1" x14ac:dyDescent="0.25">
      <c r="A735" s="40" t="s">
        <v>986</v>
      </c>
      <c r="B735" s="8" t="s">
        <v>290</v>
      </c>
      <c r="C735" s="2">
        <f t="shared" si="336"/>
        <v>5436310</v>
      </c>
      <c r="D735" s="3">
        <f t="shared" si="358"/>
        <v>1209310</v>
      </c>
      <c r="E735" s="3">
        <f>350*514.6</f>
        <v>180110</v>
      </c>
      <c r="F735" s="3">
        <f>1050*514.6</f>
        <v>540330</v>
      </c>
      <c r="G735" s="3">
        <f>300*514.6</f>
        <v>154380</v>
      </c>
      <c r="H735" s="3">
        <f>400*514.6</f>
        <v>205840</v>
      </c>
      <c r="I735" s="3">
        <f>250*514.6</f>
        <v>128650</v>
      </c>
      <c r="J735" s="3">
        <v>0</v>
      </c>
      <c r="K735" s="4">
        <v>0</v>
      </c>
      <c r="L735" s="3">
        <v>0</v>
      </c>
      <c r="M735" s="3">
        <v>437</v>
      </c>
      <c r="N735" s="3">
        <f t="shared" si="359"/>
        <v>2403500</v>
      </c>
      <c r="O735" s="3">
        <v>0</v>
      </c>
      <c r="P735" s="3">
        <v>0</v>
      </c>
      <c r="Q735" s="3">
        <v>574.5</v>
      </c>
      <c r="R735" s="3">
        <f t="shared" si="360"/>
        <v>1723500</v>
      </c>
      <c r="S735" s="3">
        <v>0</v>
      </c>
      <c r="T735" s="3">
        <v>0</v>
      </c>
      <c r="U735" s="3">
        <v>100000</v>
      </c>
      <c r="V735" s="6">
        <f t="shared" si="361"/>
        <v>5500</v>
      </c>
    </row>
    <row r="736" spans="1:22" ht="45" customHeight="1" x14ac:dyDescent="0.25">
      <c r="A736" s="51" t="s">
        <v>291</v>
      </c>
      <c r="B736" s="51"/>
      <c r="C736" s="2">
        <f>SUM(C737:C746)</f>
        <v>35563010</v>
      </c>
      <c r="D736" s="2">
        <f t="shared" ref="D736:U736" si="362">SUM(D737:D746)</f>
        <v>3930810</v>
      </c>
      <c r="E736" s="2">
        <f t="shared" si="362"/>
        <v>705530</v>
      </c>
      <c r="F736" s="2">
        <f t="shared" si="362"/>
        <v>2116590</v>
      </c>
      <c r="G736" s="2">
        <f t="shared" si="362"/>
        <v>604740</v>
      </c>
      <c r="H736" s="2">
        <f t="shared" si="362"/>
        <v>0</v>
      </c>
      <c r="I736" s="2">
        <f t="shared" si="362"/>
        <v>503950</v>
      </c>
      <c r="J736" s="2">
        <f t="shared" si="362"/>
        <v>0</v>
      </c>
      <c r="K736" s="14">
        <f t="shared" si="362"/>
        <v>0</v>
      </c>
      <c r="L736" s="2">
        <f t="shared" si="362"/>
        <v>0</v>
      </c>
      <c r="M736" s="2">
        <f t="shared" si="362"/>
        <v>3200</v>
      </c>
      <c r="N736" s="2">
        <f t="shared" si="362"/>
        <v>17600000</v>
      </c>
      <c r="O736" s="2">
        <f t="shared" si="362"/>
        <v>0</v>
      </c>
      <c r="P736" s="2">
        <f t="shared" si="362"/>
        <v>0</v>
      </c>
      <c r="Q736" s="2">
        <f t="shared" si="362"/>
        <v>4577.3999999999996</v>
      </c>
      <c r="R736" s="2">
        <f t="shared" si="362"/>
        <v>13732200</v>
      </c>
      <c r="S736" s="2">
        <f t="shared" si="362"/>
        <v>0</v>
      </c>
      <c r="T736" s="2">
        <f t="shared" si="362"/>
        <v>0</v>
      </c>
      <c r="U736" s="2">
        <f t="shared" si="362"/>
        <v>300000</v>
      </c>
    </row>
    <row r="737" spans="1:22" ht="21.95" customHeight="1" x14ac:dyDescent="0.25">
      <c r="A737" s="40" t="s">
        <v>987</v>
      </c>
      <c r="B737" s="8" t="s">
        <v>292</v>
      </c>
      <c r="C737" s="2">
        <f t="shared" si="336"/>
        <v>2145000</v>
      </c>
      <c r="D737" s="3">
        <f t="shared" ref="D737:D745" si="363">SUM(E737:J737)</f>
        <v>0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4">
        <v>0</v>
      </c>
      <c r="L737" s="3">
        <v>0</v>
      </c>
      <c r="M737" s="3">
        <v>390</v>
      </c>
      <c r="N737" s="3">
        <f t="shared" ref="N737:N742" si="364">M737*5500</f>
        <v>2145000</v>
      </c>
      <c r="O737" s="3">
        <v>0</v>
      </c>
      <c r="P737" s="3">
        <v>0</v>
      </c>
      <c r="Q737" s="3">
        <v>0</v>
      </c>
      <c r="R737" s="3">
        <f t="shared" ref="R737:R745" si="365">Q737*3000</f>
        <v>0</v>
      </c>
      <c r="S737" s="3">
        <v>0</v>
      </c>
      <c r="T737" s="3">
        <v>0</v>
      </c>
      <c r="U737" s="3">
        <v>0</v>
      </c>
      <c r="V737" s="6">
        <f t="shared" ref="V737:V745" si="366">N737/M737</f>
        <v>5500</v>
      </c>
    </row>
    <row r="738" spans="1:22" ht="21.95" customHeight="1" x14ac:dyDescent="0.25">
      <c r="A738" s="40" t="s">
        <v>988</v>
      </c>
      <c r="B738" s="8" t="s">
        <v>293</v>
      </c>
      <c r="C738" s="2">
        <f t="shared" si="336"/>
        <v>2145000</v>
      </c>
      <c r="D738" s="3">
        <f t="shared" si="363"/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4">
        <v>0</v>
      </c>
      <c r="L738" s="3">
        <v>0</v>
      </c>
      <c r="M738" s="3">
        <v>390</v>
      </c>
      <c r="N738" s="3">
        <f t="shared" si="364"/>
        <v>2145000</v>
      </c>
      <c r="O738" s="3">
        <v>0</v>
      </c>
      <c r="P738" s="3">
        <v>0</v>
      </c>
      <c r="Q738" s="3">
        <v>0</v>
      </c>
      <c r="R738" s="3">
        <f t="shared" si="365"/>
        <v>0</v>
      </c>
      <c r="S738" s="3">
        <v>0</v>
      </c>
      <c r="T738" s="3">
        <v>0</v>
      </c>
      <c r="U738" s="3">
        <v>0</v>
      </c>
      <c r="V738" s="6">
        <f t="shared" si="366"/>
        <v>5500</v>
      </c>
    </row>
    <row r="739" spans="1:22" ht="21.95" customHeight="1" x14ac:dyDescent="0.25">
      <c r="A739" s="40" t="s">
        <v>989</v>
      </c>
      <c r="B739" s="8" t="s">
        <v>296</v>
      </c>
      <c r="C739" s="2">
        <f t="shared" si="336"/>
        <v>4824500</v>
      </c>
      <c r="D739" s="3">
        <f t="shared" si="363"/>
        <v>0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4">
        <v>0</v>
      </c>
      <c r="L739" s="3">
        <v>0</v>
      </c>
      <c r="M739" s="3">
        <v>419</v>
      </c>
      <c r="N739" s="3">
        <f t="shared" si="364"/>
        <v>2304500</v>
      </c>
      <c r="O739" s="3">
        <v>0</v>
      </c>
      <c r="P739" s="3">
        <v>0</v>
      </c>
      <c r="Q739" s="3">
        <v>840</v>
      </c>
      <c r="R739" s="3">
        <f t="shared" si="365"/>
        <v>2520000</v>
      </c>
      <c r="S739" s="3">
        <v>0</v>
      </c>
      <c r="T739" s="3">
        <v>0</v>
      </c>
      <c r="U739" s="3">
        <v>0</v>
      </c>
      <c r="V739" s="6">
        <f t="shared" si="366"/>
        <v>5500</v>
      </c>
    </row>
    <row r="740" spans="1:22" ht="21.95" customHeight="1" x14ac:dyDescent="0.25">
      <c r="A740" s="40" t="s">
        <v>990</v>
      </c>
      <c r="B740" s="8" t="s">
        <v>297</v>
      </c>
      <c r="C740" s="2">
        <f t="shared" si="336"/>
        <v>4868500</v>
      </c>
      <c r="D740" s="3">
        <f t="shared" si="363"/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4">
        <v>0</v>
      </c>
      <c r="L740" s="3">
        <v>0</v>
      </c>
      <c r="M740" s="3">
        <v>427</v>
      </c>
      <c r="N740" s="3">
        <f t="shared" si="364"/>
        <v>2348500</v>
      </c>
      <c r="O740" s="3">
        <v>0</v>
      </c>
      <c r="P740" s="3">
        <v>0</v>
      </c>
      <c r="Q740" s="3">
        <v>840</v>
      </c>
      <c r="R740" s="3">
        <f t="shared" si="365"/>
        <v>2520000</v>
      </c>
      <c r="S740" s="3">
        <v>0</v>
      </c>
      <c r="T740" s="3">
        <v>0</v>
      </c>
      <c r="U740" s="3">
        <v>0</v>
      </c>
      <c r="V740" s="6">
        <f t="shared" si="366"/>
        <v>5500</v>
      </c>
    </row>
    <row r="741" spans="1:22" ht="21.95" customHeight="1" x14ac:dyDescent="0.25">
      <c r="A741" s="40" t="s">
        <v>991</v>
      </c>
      <c r="B741" s="8" t="s">
        <v>298</v>
      </c>
      <c r="C741" s="2">
        <f t="shared" si="336"/>
        <v>6040760</v>
      </c>
      <c r="D741" s="3">
        <f t="shared" si="363"/>
        <v>1105260</v>
      </c>
      <c r="E741" s="3">
        <f>350*566.8</f>
        <v>198379.99999999997</v>
      </c>
      <c r="F741" s="3">
        <f>1050*566.8</f>
        <v>595140</v>
      </c>
      <c r="G741" s="3">
        <f>300*566.8</f>
        <v>170040</v>
      </c>
      <c r="H741" s="3">
        <f>400*0</f>
        <v>0</v>
      </c>
      <c r="I741" s="3">
        <f>250*566.8</f>
        <v>141700</v>
      </c>
      <c r="J741" s="3">
        <v>0</v>
      </c>
      <c r="K741" s="4">
        <v>0</v>
      </c>
      <c r="L741" s="3">
        <v>0</v>
      </c>
      <c r="M741" s="3">
        <v>421</v>
      </c>
      <c r="N741" s="3">
        <f t="shared" si="364"/>
        <v>2315500</v>
      </c>
      <c r="O741" s="3">
        <v>0</v>
      </c>
      <c r="P741" s="3">
        <v>0</v>
      </c>
      <c r="Q741" s="3">
        <v>840</v>
      </c>
      <c r="R741" s="3">
        <f t="shared" si="365"/>
        <v>2520000</v>
      </c>
      <c r="S741" s="3">
        <v>0</v>
      </c>
      <c r="T741" s="3">
        <v>0</v>
      </c>
      <c r="U741" s="3">
        <v>100000</v>
      </c>
      <c r="V741" s="6">
        <f t="shared" si="366"/>
        <v>5500</v>
      </c>
    </row>
    <row r="742" spans="1:22" ht="21.95" customHeight="1" x14ac:dyDescent="0.25">
      <c r="A742" s="40" t="s">
        <v>992</v>
      </c>
      <c r="B742" s="8" t="s">
        <v>299</v>
      </c>
      <c r="C742" s="2">
        <f t="shared" si="336"/>
        <v>2255000</v>
      </c>
      <c r="D742" s="3">
        <f t="shared" si="363"/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3">
        <v>410</v>
      </c>
      <c r="N742" s="3">
        <f t="shared" si="364"/>
        <v>2255000</v>
      </c>
      <c r="O742" s="3">
        <v>0</v>
      </c>
      <c r="P742" s="3">
        <v>0</v>
      </c>
      <c r="Q742" s="3">
        <v>0</v>
      </c>
      <c r="R742" s="3">
        <f t="shared" si="365"/>
        <v>0</v>
      </c>
      <c r="S742" s="3">
        <v>0</v>
      </c>
      <c r="T742" s="3">
        <v>0</v>
      </c>
      <c r="U742" s="3">
        <v>0</v>
      </c>
      <c r="V742" s="6">
        <f t="shared" si="366"/>
        <v>5500</v>
      </c>
    </row>
    <row r="743" spans="1:22" ht="23.1" customHeight="1" x14ac:dyDescent="0.25">
      <c r="A743" s="40" t="s">
        <v>1630</v>
      </c>
      <c r="B743" s="8" t="s">
        <v>300</v>
      </c>
      <c r="C743" s="2">
        <f>D743+L743+N743+P743+R743+S743+T743+U743</f>
        <v>5941465</v>
      </c>
      <c r="D743" s="3">
        <f>SUM(E743:J743)</f>
        <v>746265</v>
      </c>
      <c r="E743" s="3">
        <f>350*382.7</f>
        <v>133945</v>
      </c>
      <c r="F743" s="3">
        <f>1050*382.7</f>
        <v>401835</v>
      </c>
      <c r="G743" s="3">
        <f>300*382.7</f>
        <v>114810</v>
      </c>
      <c r="H743" s="3">
        <f>400*0</f>
        <v>0</v>
      </c>
      <c r="I743" s="3">
        <f>250*382.7</f>
        <v>95675</v>
      </c>
      <c r="J743" s="3">
        <v>0</v>
      </c>
      <c r="K743" s="4">
        <v>0</v>
      </c>
      <c r="L743" s="3">
        <v>0</v>
      </c>
      <c r="M743" s="3">
        <v>448</v>
      </c>
      <c r="N743" s="3">
        <f>M743*5500</f>
        <v>2464000</v>
      </c>
      <c r="O743" s="3">
        <v>0</v>
      </c>
      <c r="P743" s="3">
        <v>0</v>
      </c>
      <c r="Q743" s="3">
        <v>910.4</v>
      </c>
      <c r="R743" s="3">
        <f>Q743*3000</f>
        <v>2731200</v>
      </c>
      <c r="S743" s="3">
        <v>0</v>
      </c>
      <c r="T743" s="3">
        <v>0</v>
      </c>
      <c r="U743" s="3">
        <v>0</v>
      </c>
      <c r="V743" s="6">
        <f>N743/M743</f>
        <v>5500</v>
      </c>
    </row>
    <row r="744" spans="1:22" ht="21.95" customHeight="1" x14ac:dyDescent="0.25">
      <c r="A744" s="40" t="s">
        <v>993</v>
      </c>
      <c r="B744" s="8" t="s">
        <v>301</v>
      </c>
      <c r="C744" s="2">
        <f t="shared" si="336"/>
        <v>2893690</v>
      </c>
      <c r="D744" s="3">
        <f t="shared" si="363"/>
        <v>1041690</v>
      </c>
      <c r="E744" s="3">
        <f>350*534.2</f>
        <v>186970.00000000003</v>
      </c>
      <c r="F744" s="3">
        <f>1050*534.2</f>
        <v>560910</v>
      </c>
      <c r="G744" s="3">
        <f>300*534.2</f>
        <v>160260</v>
      </c>
      <c r="H744" s="3">
        <f>400*0</f>
        <v>0</v>
      </c>
      <c r="I744" s="3">
        <f>250*534.2</f>
        <v>133550</v>
      </c>
      <c r="J744" s="3">
        <v>0</v>
      </c>
      <c r="K744" s="4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584</v>
      </c>
      <c r="R744" s="3">
        <f t="shared" si="365"/>
        <v>1752000</v>
      </c>
      <c r="S744" s="3">
        <v>0</v>
      </c>
      <c r="T744" s="3">
        <v>0</v>
      </c>
      <c r="U744" s="3">
        <v>100000</v>
      </c>
      <c r="V744" s="6" t="e">
        <f t="shared" si="366"/>
        <v>#DIV/0!</v>
      </c>
    </row>
    <row r="745" spans="1:22" ht="21.95" customHeight="1" x14ac:dyDescent="0.25">
      <c r="A745" s="40" t="s">
        <v>1573</v>
      </c>
      <c r="B745" s="8" t="s">
        <v>303</v>
      </c>
      <c r="C745" s="2">
        <f t="shared" si="336"/>
        <v>2826595</v>
      </c>
      <c r="D745" s="3">
        <f t="shared" si="363"/>
        <v>1037595</v>
      </c>
      <c r="E745" s="3">
        <f>350*532.1</f>
        <v>186235</v>
      </c>
      <c r="F745" s="3">
        <f>1050*532.1</f>
        <v>558705</v>
      </c>
      <c r="G745" s="3">
        <f>300*532.1</f>
        <v>159630</v>
      </c>
      <c r="H745" s="3">
        <f>400*0</f>
        <v>0</v>
      </c>
      <c r="I745" s="3">
        <f>250*532.1</f>
        <v>133025</v>
      </c>
      <c r="J745" s="3">
        <v>0</v>
      </c>
      <c r="K745" s="4">
        <v>0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563</v>
      </c>
      <c r="R745" s="3">
        <f t="shared" si="365"/>
        <v>1689000</v>
      </c>
      <c r="S745" s="3">
        <v>0</v>
      </c>
      <c r="T745" s="3">
        <v>0</v>
      </c>
      <c r="U745" s="3">
        <v>100000</v>
      </c>
      <c r="V745" s="6" t="e">
        <f t="shared" si="366"/>
        <v>#DIV/0!</v>
      </c>
    </row>
    <row r="746" spans="1:22" ht="21.95" customHeight="1" x14ac:dyDescent="0.25">
      <c r="A746" s="40" t="s">
        <v>994</v>
      </c>
      <c r="B746" s="8" t="s">
        <v>302</v>
      </c>
      <c r="C746" s="2">
        <f>D746+L746+N746+P746+R746+S746+T746+U746</f>
        <v>1622500</v>
      </c>
      <c r="D746" s="3">
        <f>SUM(E746:J746)</f>
        <v>0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4">
        <v>0</v>
      </c>
      <c r="L746" s="3">
        <v>0</v>
      </c>
      <c r="M746" s="3">
        <v>295</v>
      </c>
      <c r="N746" s="3">
        <f t="shared" ref="N746" si="367">M746*5500</f>
        <v>1622500</v>
      </c>
      <c r="O746" s="3">
        <v>0</v>
      </c>
      <c r="P746" s="3">
        <v>0</v>
      </c>
      <c r="Q746" s="3">
        <v>0</v>
      </c>
      <c r="R746" s="3">
        <f>Q746*3000</f>
        <v>0</v>
      </c>
      <c r="S746" s="3">
        <v>0</v>
      </c>
      <c r="T746" s="3">
        <v>0</v>
      </c>
      <c r="U746" s="3">
        <v>0</v>
      </c>
      <c r="V746" s="6">
        <f>N746/M746</f>
        <v>5500</v>
      </c>
    </row>
    <row r="747" spans="1:22" ht="45" customHeight="1" x14ac:dyDescent="0.25">
      <c r="A747" s="51" t="s">
        <v>309</v>
      </c>
      <c r="B747" s="51"/>
      <c r="C747" s="2">
        <f>SUM(C748)</f>
        <v>3772924</v>
      </c>
      <c r="D747" s="2">
        <f t="shared" ref="D747:U747" si="368">SUM(D748)</f>
        <v>184184</v>
      </c>
      <c r="E747" s="2">
        <f t="shared" si="368"/>
        <v>184184</v>
      </c>
      <c r="F747" s="2">
        <f t="shared" si="368"/>
        <v>0</v>
      </c>
      <c r="G747" s="2">
        <f t="shared" si="368"/>
        <v>0</v>
      </c>
      <c r="H747" s="2">
        <f t="shared" si="368"/>
        <v>0</v>
      </c>
      <c r="I747" s="2">
        <f t="shared" si="368"/>
        <v>0</v>
      </c>
      <c r="J747" s="2">
        <f t="shared" si="368"/>
        <v>0</v>
      </c>
      <c r="K747" s="14">
        <f t="shared" si="368"/>
        <v>0</v>
      </c>
      <c r="L747" s="2">
        <f t="shared" si="368"/>
        <v>0</v>
      </c>
      <c r="M747" s="2">
        <f t="shared" si="368"/>
        <v>355.2</v>
      </c>
      <c r="N747" s="2">
        <f t="shared" si="368"/>
        <v>1953600</v>
      </c>
      <c r="O747" s="2">
        <f t="shared" si="368"/>
        <v>0</v>
      </c>
      <c r="P747" s="2">
        <f t="shared" si="368"/>
        <v>0</v>
      </c>
      <c r="Q747" s="2">
        <f t="shared" si="368"/>
        <v>428.4</v>
      </c>
      <c r="R747" s="2">
        <f t="shared" si="368"/>
        <v>1285200</v>
      </c>
      <c r="S747" s="2">
        <f t="shared" si="368"/>
        <v>149940</v>
      </c>
      <c r="T747" s="2">
        <f t="shared" si="368"/>
        <v>0</v>
      </c>
      <c r="U747" s="2">
        <f t="shared" si="368"/>
        <v>200000</v>
      </c>
    </row>
    <row r="748" spans="1:22" ht="21.95" customHeight="1" x14ac:dyDescent="0.25">
      <c r="A748" s="39" t="s">
        <v>995</v>
      </c>
      <c r="B748" s="8" t="s">
        <v>313</v>
      </c>
      <c r="C748" s="2">
        <f t="shared" ref="C748:C787" si="369">D748+L748+N748+P748+R748+S748+T748+U748</f>
        <v>3772924</v>
      </c>
      <c r="D748" s="3">
        <f t="shared" ref="D748" si="370">SUM(E748:J748)</f>
        <v>184184</v>
      </c>
      <c r="E748" s="5">
        <f>526.24*350</f>
        <v>184184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11">
        <v>0</v>
      </c>
      <c r="L748" s="5">
        <v>0</v>
      </c>
      <c r="M748" s="5">
        <v>355.2</v>
      </c>
      <c r="N748" s="3">
        <f t="shared" ref="N748" si="371">M748*5500</f>
        <v>1953600</v>
      </c>
      <c r="O748" s="5">
        <v>0</v>
      </c>
      <c r="P748" s="5">
        <v>0</v>
      </c>
      <c r="Q748" s="5">
        <v>428.4</v>
      </c>
      <c r="R748" s="3">
        <f>Q748*3000</f>
        <v>1285200</v>
      </c>
      <c r="S748" s="5">
        <v>149940</v>
      </c>
      <c r="T748" s="5">
        <v>0</v>
      </c>
      <c r="U748" s="5">
        <v>200000</v>
      </c>
      <c r="V748" s="6">
        <f t="shared" ref="V748" si="372">N748/M748</f>
        <v>5500</v>
      </c>
    </row>
    <row r="749" spans="1:22" ht="45" customHeight="1" x14ac:dyDescent="0.25">
      <c r="A749" s="51" t="s">
        <v>314</v>
      </c>
      <c r="B749" s="51"/>
      <c r="C749" s="2">
        <f>SUM(C750:C752)</f>
        <v>10027195</v>
      </c>
      <c r="D749" s="2">
        <f t="shared" ref="D749:U749" si="373">SUM(D750:D752)</f>
        <v>507325</v>
      </c>
      <c r="E749" s="2">
        <f t="shared" si="373"/>
        <v>507325</v>
      </c>
      <c r="F749" s="2">
        <f t="shared" si="373"/>
        <v>0</v>
      </c>
      <c r="G749" s="2">
        <f t="shared" si="373"/>
        <v>0</v>
      </c>
      <c r="H749" s="2">
        <f t="shared" si="373"/>
        <v>0</v>
      </c>
      <c r="I749" s="2">
        <f t="shared" si="373"/>
        <v>0</v>
      </c>
      <c r="J749" s="2">
        <f t="shared" si="373"/>
        <v>0</v>
      </c>
      <c r="K749" s="14">
        <f t="shared" si="373"/>
        <v>0</v>
      </c>
      <c r="L749" s="2">
        <f t="shared" si="373"/>
        <v>0</v>
      </c>
      <c r="M749" s="2">
        <f t="shared" si="373"/>
        <v>900</v>
      </c>
      <c r="N749" s="2">
        <f t="shared" si="373"/>
        <v>4950000</v>
      </c>
      <c r="O749" s="2">
        <f t="shared" si="373"/>
        <v>0</v>
      </c>
      <c r="P749" s="2">
        <f t="shared" si="373"/>
        <v>0</v>
      </c>
      <c r="Q749" s="2">
        <f t="shared" si="373"/>
        <v>1287</v>
      </c>
      <c r="R749" s="2">
        <f t="shared" si="373"/>
        <v>3861000</v>
      </c>
      <c r="S749" s="2">
        <f t="shared" si="373"/>
        <v>408870</v>
      </c>
      <c r="T749" s="2">
        <f t="shared" si="373"/>
        <v>0</v>
      </c>
      <c r="U749" s="2">
        <f t="shared" si="373"/>
        <v>300000</v>
      </c>
    </row>
    <row r="750" spans="1:22" ht="21.95" customHeight="1" x14ac:dyDescent="0.25">
      <c r="A750" s="39" t="s">
        <v>996</v>
      </c>
      <c r="B750" s="8" t="s">
        <v>315</v>
      </c>
      <c r="C750" s="2">
        <f t="shared" si="369"/>
        <v>3229120</v>
      </c>
      <c r="D750" s="3">
        <f t="shared" ref="D750:D752" si="374">SUM(E750:J750)</f>
        <v>205800</v>
      </c>
      <c r="E750" s="5">
        <f>588*350</f>
        <v>205800</v>
      </c>
      <c r="F750" s="5">
        <v>0</v>
      </c>
      <c r="G750" s="5">
        <v>0</v>
      </c>
      <c r="H750" s="5">
        <v>0</v>
      </c>
      <c r="I750" s="5">
        <v>0</v>
      </c>
      <c r="J750" s="5">
        <v>0</v>
      </c>
      <c r="K750" s="11">
        <v>0</v>
      </c>
      <c r="L750" s="5">
        <v>0</v>
      </c>
      <c r="M750" s="5">
        <v>270</v>
      </c>
      <c r="N750" s="3">
        <f t="shared" ref="N750:N752" si="375">M750*5500</f>
        <v>1485000</v>
      </c>
      <c r="O750" s="5">
        <v>0</v>
      </c>
      <c r="P750" s="5">
        <v>0</v>
      </c>
      <c r="Q750" s="5">
        <v>431</v>
      </c>
      <c r="R750" s="3">
        <f t="shared" ref="R750:R752" si="376">Q750*3000</f>
        <v>1293000</v>
      </c>
      <c r="S750" s="5">
        <v>145320</v>
      </c>
      <c r="T750" s="5">
        <v>0</v>
      </c>
      <c r="U750" s="3">
        <v>100000</v>
      </c>
      <c r="V750" s="6">
        <f t="shared" ref="V750:V752" si="377">N750/M750</f>
        <v>5500</v>
      </c>
    </row>
    <row r="751" spans="1:22" ht="21.95" customHeight="1" x14ac:dyDescent="0.25">
      <c r="A751" s="39" t="s">
        <v>997</v>
      </c>
      <c r="B751" s="8" t="s">
        <v>316</v>
      </c>
      <c r="C751" s="2">
        <f t="shared" si="369"/>
        <v>2222900</v>
      </c>
      <c r="D751" s="3">
        <f t="shared" si="374"/>
        <v>107800</v>
      </c>
      <c r="E751" s="5">
        <f>308*350</f>
        <v>107800</v>
      </c>
      <c r="F751" s="5">
        <v>0</v>
      </c>
      <c r="G751" s="5">
        <v>0</v>
      </c>
      <c r="H751" s="5">
        <v>0</v>
      </c>
      <c r="I751" s="5">
        <v>0</v>
      </c>
      <c r="J751" s="5">
        <v>0</v>
      </c>
      <c r="K751" s="11">
        <v>0</v>
      </c>
      <c r="L751" s="5">
        <v>0</v>
      </c>
      <c r="M751" s="5">
        <v>180</v>
      </c>
      <c r="N751" s="3">
        <f t="shared" si="375"/>
        <v>990000</v>
      </c>
      <c r="O751" s="5">
        <v>0</v>
      </c>
      <c r="P751" s="5">
        <v>0</v>
      </c>
      <c r="Q751" s="5">
        <v>306</v>
      </c>
      <c r="R751" s="3">
        <f t="shared" si="376"/>
        <v>918000</v>
      </c>
      <c r="S751" s="5">
        <v>107100</v>
      </c>
      <c r="T751" s="5">
        <v>0</v>
      </c>
      <c r="U751" s="3">
        <v>100000</v>
      </c>
      <c r="V751" s="6">
        <f t="shared" si="377"/>
        <v>5500</v>
      </c>
    </row>
    <row r="752" spans="1:22" ht="21.95" customHeight="1" x14ac:dyDescent="0.25">
      <c r="A752" s="39" t="s">
        <v>998</v>
      </c>
      <c r="B752" s="8" t="s">
        <v>318</v>
      </c>
      <c r="C752" s="2">
        <f t="shared" si="369"/>
        <v>4575175</v>
      </c>
      <c r="D752" s="3">
        <f t="shared" si="374"/>
        <v>193725</v>
      </c>
      <c r="E752" s="3">
        <f>553.5*350</f>
        <v>193725</v>
      </c>
      <c r="F752" s="5">
        <v>0</v>
      </c>
      <c r="G752" s="5">
        <v>0</v>
      </c>
      <c r="H752" s="5">
        <v>0</v>
      </c>
      <c r="I752" s="5">
        <v>0</v>
      </c>
      <c r="J752" s="5">
        <v>0</v>
      </c>
      <c r="K752" s="4">
        <v>0</v>
      </c>
      <c r="L752" s="3">
        <v>0</v>
      </c>
      <c r="M752" s="5">
        <v>450</v>
      </c>
      <c r="N752" s="3">
        <f t="shared" si="375"/>
        <v>2475000</v>
      </c>
      <c r="O752" s="3">
        <v>0</v>
      </c>
      <c r="P752" s="3">
        <v>0</v>
      </c>
      <c r="Q752" s="3">
        <v>550</v>
      </c>
      <c r="R752" s="3">
        <f t="shared" si="376"/>
        <v>1650000</v>
      </c>
      <c r="S752" s="3">
        <v>156450</v>
      </c>
      <c r="T752" s="3">
        <v>0</v>
      </c>
      <c r="U752" s="3">
        <v>100000</v>
      </c>
      <c r="V752" s="6">
        <f t="shared" si="377"/>
        <v>5500</v>
      </c>
    </row>
    <row r="753" spans="1:22" ht="45" customHeight="1" x14ac:dyDescent="0.25">
      <c r="A753" s="51" t="s">
        <v>1165</v>
      </c>
      <c r="B753" s="51"/>
      <c r="C753" s="2">
        <f>SUM(C754)</f>
        <v>2644400</v>
      </c>
      <c r="D753" s="2">
        <f t="shared" ref="D753:U753" si="378">SUM(D754)</f>
        <v>490000</v>
      </c>
      <c r="E753" s="2">
        <f t="shared" si="378"/>
        <v>122500</v>
      </c>
      <c r="F753" s="2">
        <f t="shared" si="378"/>
        <v>367500</v>
      </c>
      <c r="G753" s="2">
        <f t="shared" si="378"/>
        <v>0</v>
      </c>
      <c r="H753" s="2">
        <f t="shared" si="378"/>
        <v>0</v>
      </c>
      <c r="I753" s="2">
        <f t="shared" si="378"/>
        <v>0</v>
      </c>
      <c r="J753" s="2">
        <f t="shared" si="378"/>
        <v>0</v>
      </c>
      <c r="K753" s="14">
        <f t="shared" si="378"/>
        <v>0</v>
      </c>
      <c r="L753" s="2">
        <f t="shared" si="378"/>
        <v>0</v>
      </c>
      <c r="M753" s="2">
        <f t="shared" si="378"/>
        <v>240</v>
      </c>
      <c r="N753" s="2">
        <f t="shared" si="378"/>
        <v>1320000</v>
      </c>
      <c r="O753" s="2">
        <f t="shared" si="378"/>
        <v>0</v>
      </c>
      <c r="P753" s="2">
        <f t="shared" si="378"/>
        <v>0</v>
      </c>
      <c r="Q753" s="2">
        <f t="shared" si="378"/>
        <v>244.8</v>
      </c>
      <c r="R753" s="2">
        <f t="shared" si="378"/>
        <v>734400</v>
      </c>
      <c r="S753" s="2">
        <f t="shared" si="378"/>
        <v>0</v>
      </c>
      <c r="T753" s="2">
        <f t="shared" si="378"/>
        <v>0</v>
      </c>
      <c r="U753" s="2">
        <f t="shared" si="378"/>
        <v>100000</v>
      </c>
    </row>
    <row r="754" spans="1:22" ht="21.95" customHeight="1" x14ac:dyDescent="0.25">
      <c r="A754" s="40" t="s">
        <v>999</v>
      </c>
      <c r="B754" s="8" t="s">
        <v>323</v>
      </c>
      <c r="C754" s="2">
        <f t="shared" si="369"/>
        <v>2644400</v>
      </c>
      <c r="D754" s="3">
        <f t="shared" ref="D754" si="379">SUM(E754:J754)</f>
        <v>490000</v>
      </c>
      <c r="E754" s="3">
        <f>350*350</f>
        <v>122500</v>
      </c>
      <c r="F754" s="3">
        <f>1050*350</f>
        <v>367500</v>
      </c>
      <c r="G754" s="3">
        <f>350*0</f>
        <v>0</v>
      </c>
      <c r="H754" s="3">
        <f>400*0</f>
        <v>0</v>
      </c>
      <c r="I754" s="3">
        <f>250*0</f>
        <v>0</v>
      </c>
      <c r="J754" s="3">
        <v>0</v>
      </c>
      <c r="K754" s="4">
        <v>0</v>
      </c>
      <c r="L754" s="3">
        <v>0</v>
      </c>
      <c r="M754" s="3">
        <v>240</v>
      </c>
      <c r="N754" s="3">
        <f t="shared" ref="N754" si="380">M754*5500</f>
        <v>1320000</v>
      </c>
      <c r="O754" s="3">
        <v>0</v>
      </c>
      <c r="P754" s="3">
        <v>0</v>
      </c>
      <c r="Q754" s="3">
        <v>244.8</v>
      </c>
      <c r="R754" s="3">
        <f>Q754*3000</f>
        <v>734400</v>
      </c>
      <c r="S754" s="3">
        <v>0</v>
      </c>
      <c r="T754" s="3">
        <v>0</v>
      </c>
      <c r="U754" s="3">
        <v>100000</v>
      </c>
      <c r="V754" s="6">
        <f t="shared" ref="V754" si="381">N754/M754</f>
        <v>5500</v>
      </c>
    </row>
    <row r="755" spans="1:22" ht="45" customHeight="1" x14ac:dyDescent="0.25">
      <c r="A755" s="51" t="s">
        <v>326</v>
      </c>
      <c r="B755" s="51"/>
      <c r="C755" s="2">
        <f>SUM(C756:C758)</f>
        <v>12508100</v>
      </c>
      <c r="D755" s="2">
        <f t="shared" ref="D755:U755" si="382">SUM(D756:D758)</f>
        <v>329000</v>
      </c>
      <c r="E755" s="2">
        <f t="shared" si="382"/>
        <v>329000</v>
      </c>
      <c r="F755" s="2">
        <f t="shared" si="382"/>
        <v>0</v>
      </c>
      <c r="G755" s="2">
        <f t="shared" si="382"/>
        <v>0</v>
      </c>
      <c r="H755" s="2">
        <f t="shared" si="382"/>
        <v>0</v>
      </c>
      <c r="I755" s="2">
        <f t="shared" si="382"/>
        <v>0</v>
      </c>
      <c r="J755" s="2">
        <f t="shared" si="382"/>
        <v>0</v>
      </c>
      <c r="K755" s="14">
        <f t="shared" si="382"/>
        <v>0</v>
      </c>
      <c r="L755" s="2">
        <f t="shared" si="382"/>
        <v>0</v>
      </c>
      <c r="M755" s="2">
        <f t="shared" si="382"/>
        <v>1704.2</v>
      </c>
      <c r="N755" s="2">
        <f t="shared" si="382"/>
        <v>9373100</v>
      </c>
      <c r="O755" s="2">
        <f t="shared" si="382"/>
        <v>0</v>
      </c>
      <c r="P755" s="2">
        <f t="shared" si="382"/>
        <v>0</v>
      </c>
      <c r="Q755" s="2">
        <f t="shared" si="382"/>
        <v>809.6</v>
      </c>
      <c r="R755" s="2">
        <f t="shared" si="382"/>
        <v>2428800</v>
      </c>
      <c r="S755" s="2">
        <f t="shared" si="382"/>
        <v>277200</v>
      </c>
      <c r="T755" s="2">
        <f t="shared" si="382"/>
        <v>0</v>
      </c>
      <c r="U755" s="2">
        <f t="shared" si="382"/>
        <v>100000</v>
      </c>
    </row>
    <row r="756" spans="1:22" ht="21.95" customHeight="1" x14ac:dyDescent="0.25">
      <c r="A756" s="40" t="s">
        <v>1000</v>
      </c>
      <c r="B756" s="8" t="s">
        <v>327</v>
      </c>
      <c r="C756" s="2">
        <f t="shared" si="369"/>
        <v>6744100</v>
      </c>
      <c r="D756" s="3">
        <f t="shared" ref="D756:D758" si="383">SUM(E756:J756)</f>
        <v>329000</v>
      </c>
      <c r="E756" s="3">
        <f>350*940</f>
        <v>329000</v>
      </c>
      <c r="F756" s="3">
        <v>0</v>
      </c>
      <c r="G756" s="3">
        <f>350*0</f>
        <v>0</v>
      </c>
      <c r="H756" s="3">
        <f>400*0</f>
        <v>0</v>
      </c>
      <c r="I756" s="3">
        <f>250*0</f>
        <v>0</v>
      </c>
      <c r="J756" s="3">
        <v>0</v>
      </c>
      <c r="K756" s="4">
        <v>0</v>
      </c>
      <c r="L756" s="3">
        <v>0</v>
      </c>
      <c r="M756" s="3">
        <v>656.2</v>
      </c>
      <c r="N756" s="3">
        <f t="shared" ref="N756:N757" si="384">M756*5500</f>
        <v>3609100.0000000005</v>
      </c>
      <c r="O756" s="3">
        <v>0</v>
      </c>
      <c r="P756" s="3">
        <v>0</v>
      </c>
      <c r="Q756" s="3">
        <v>809.6</v>
      </c>
      <c r="R756" s="3">
        <f t="shared" ref="R756:R758" si="385">Q756*3000</f>
        <v>2428800</v>
      </c>
      <c r="S756" s="3">
        <v>277200</v>
      </c>
      <c r="T756" s="3">
        <v>0</v>
      </c>
      <c r="U756" s="3">
        <v>100000</v>
      </c>
      <c r="V756" s="6">
        <f t="shared" ref="V756:V758" si="386">N756/M756</f>
        <v>5500</v>
      </c>
    </row>
    <row r="757" spans="1:22" ht="21.95" customHeight="1" x14ac:dyDescent="0.25">
      <c r="A757" s="40" t="s">
        <v>1001</v>
      </c>
      <c r="B757" s="8" t="s">
        <v>1169</v>
      </c>
      <c r="C757" s="2">
        <f t="shared" si="369"/>
        <v>3514500</v>
      </c>
      <c r="D757" s="3">
        <f t="shared" si="383"/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4">
        <v>0</v>
      </c>
      <c r="L757" s="3">
        <v>0</v>
      </c>
      <c r="M757" s="3">
        <v>639</v>
      </c>
      <c r="N757" s="3">
        <f t="shared" si="384"/>
        <v>3514500</v>
      </c>
      <c r="O757" s="3">
        <v>0</v>
      </c>
      <c r="P757" s="3">
        <v>0</v>
      </c>
      <c r="Q757" s="3">
        <v>0</v>
      </c>
      <c r="R757" s="3">
        <f t="shared" si="385"/>
        <v>0</v>
      </c>
      <c r="S757" s="3">
        <v>0</v>
      </c>
      <c r="T757" s="3">
        <v>0</v>
      </c>
      <c r="U757" s="3">
        <v>0</v>
      </c>
      <c r="V757" s="6">
        <f t="shared" si="386"/>
        <v>5500</v>
      </c>
    </row>
    <row r="758" spans="1:22" ht="21.95" customHeight="1" x14ac:dyDescent="0.25">
      <c r="A758" s="40" t="s">
        <v>1002</v>
      </c>
      <c r="B758" s="8" t="s">
        <v>328</v>
      </c>
      <c r="C758" s="2">
        <f t="shared" si="369"/>
        <v>2249500</v>
      </c>
      <c r="D758" s="3">
        <f t="shared" si="383"/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4">
        <v>0</v>
      </c>
      <c r="L758" s="3">
        <v>0</v>
      </c>
      <c r="M758" s="3">
        <v>409</v>
      </c>
      <c r="N758" s="3">
        <f t="shared" ref="N758" si="387">M758*5500</f>
        <v>2249500</v>
      </c>
      <c r="O758" s="3">
        <v>0</v>
      </c>
      <c r="P758" s="3">
        <v>0</v>
      </c>
      <c r="Q758" s="3">
        <v>0</v>
      </c>
      <c r="R758" s="3">
        <f t="shared" si="385"/>
        <v>0</v>
      </c>
      <c r="S758" s="3">
        <v>0</v>
      </c>
      <c r="T758" s="3">
        <v>0</v>
      </c>
      <c r="U758" s="3">
        <v>0</v>
      </c>
      <c r="V758" s="6">
        <f t="shared" si="386"/>
        <v>5500</v>
      </c>
    </row>
    <row r="759" spans="1:22" ht="45" customHeight="1" x14ac:dyDescent="0.25">
      <c r="A759" s="51" t="s">
        <v>330</v>
      </c>
      <c r="B759" s="51"/>
      <c r="C759" s="2">
        <f>SUM(C760)</f>
        <v>4310000</v>
      </c>
      <c r="D759" s="2">
        <f t="shared" ref="D759:U759" si="388">SUM(D760)</f>
        <v>0</v>
      </c>
      <c r="E759" s="2">
        <f t="shared" si="388"/>
        <v>0</v>
      </c>
      <c r="F759" s="2">
        <f t="shared" si="388"/>
        <v>0</v>
      </c>
      <c r="G759" s="2">
        <f t="shared" si="388"/>
        <v>0</v>
      </c>
      <c r="H759" s="2">
        <f t="shared" si="388"/>
        <v>0</v>
      </c>
      <c r="I759" s="2">
        <f t="shared" si="388"/>
        <v>0</v>
      </c>
      <c r="J759" s="2">
        <f t="shared" si="388"/>
        <v>0</v>
      </c>
      <c r="K759" s="14">
        <f t="shared" si="388"/>
        <v>0</v>
      </c>
      <c r="L759" s="2">
        <f t="shared" si="388"/>
        <v>0</v>
      </c>
      <c r="M759" s="2">
        <f t="shared" si="388"/>
        <v>500</v>
      </c>
      <c r="N759" s="2">
        <f t="shared" si="388"/>
        <v>2750000</v>
      </c>
      <c r="O759" s="2">
        <f t="shared" si="388"/>
        <v>0</v>
      </c>
      <c r="P759" s="2">
        <f t="shared" si="388"/>
        <v>0</v>
      </c>
      <c r="Q759" s="2">
        <f t="shared" si="388"/>
        <v>520</v>
      </c>
      <c r="R759" s="2">
        <f t="shared" si="388"/>
        <v>1560000</v>
      </c>
      <c r="S759" s="2">
        <f t="shared" si="388"/>
        <v>0</v>
      </c>
      <c r="T759" s="2">
        <f t="shared" si="388"/>
        <v>0</v>
      </c>
      <c r="U759" s="2">
        <f t="shared" si="388"/>
        <v>0</v>
      </c>
    </row>
    <row r="760" spans="1:22" ht="21.95" customHeight="1" x14ac:dyDescent="0.25">
      <c r="A760" s="40" t="s">
        <v>1003</v>
      </c>
      <c r="B760" s="1" t="s">
        <v>331</v>
      </c>
      <c r="C760" s="2">
        <f t="shared" si="369"/>
        <v>4310000</v>
      </c>
      <c r="D760" s="3">
        <f t="shared" ref="D760" si="389">SUM(E760:J760)</f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4">
        <v>0</v>
      </c>
      <c r="L760" s="3">
        <v>0</v>
      </c>
      <c r="M760" s="3">
        <v>500</v>
      </c>
      <c r="N760" s="3">
        <f t="shared" ref="N760" si="390">M760*5500</f>
        <v>2750000</v>
      </c>
      <c r="O760" s="3">
        <v>0</v>
      </c>
      <c r="P760" s="3">
        <v>0</v>
      </c>
      <c r="Q760" s="3">
        <v>520</v>
      </c>
      <c r="R760" s="3">
        <f>Q760*3000</f>
        <v>1560000</v>
      </c>
      <c r="S760" s="3">
        <v>0</v>
      </c>
      <c r="T760" s="3">
        <v>0</v>
      </c>
      <c r="U760" s="3">
        <v>0</v>
      </c>
      <c r="V760" s="6">
        <f t="shared" ref="V760" si="391">N760/M760</f>
        <v>5500</v>
      </c>
    </row>
    <row r="761" spans="1:22" ht="35.1" customHeight="1" x14ac:dyDescent="0.25">
      <c r="A761" s="51" t="s">
        <v>333</v>
      </c>
      <c r="B761" s="51"/>
      <c r="C761" s="2">
        <f>SUM(C762)</f>
        <v>5125262</v>
      </c>
      <c r="D761" s="2">
        <f t="shared" ref="D761:U761" si="392">SUM(D762)</f>
        <v>341859</v>
      </c>
      <c r="E761" s="2">
        <f t="shared" si="392"/>
        <v>341859</v>
      </c>
      <c r="F761" s="2">
        <f t="shared" si="392"/>
        <v>0</v>
      </c>
      <c r="G761" s="2">
        <f t="shared" si="392"/>
        <v>0</v>
      </c>
      <c r="H761" s="2">
        <f t="shared" si="392"/>
        <v>0</v>
      </c>
      <c r="I761" s="2">
        <f t="shared" si="392"/>
        <v>0</v>
      </c>
      <c r="J761" s="2">
        <f t="shared" si="392"/>
        <v>0</v>
      </c>
      <c r="K761" s="14">
        <f t="shared" si="392"/>
        <v>0</v>
      </c>
      <c r="L761" s="2">
        <f t="shared" si="392"/>
        <v>0</v>
      </c>
      <c r="M761" s="2">
        <f t="shared" si="392"/>
        <v>546</v>
      </c>
      <c r="N761" s="2">
        <f t="shared" si="392"/>
        <v>2893800</v>
      </c>
      <c r="O761" s="2">
        <f t="shared" si="392"/>
        <v>0</v>
      </c>
      <c r="P761" s="2">
        <f t="shared" si="392"/>
        <v>0</v>
      </c>
      <c r="Q761" s="2">
        <f t="shared" si="392"/>
        <v>648.6</v>
      </c>
      <c r="R761" s="2">
        <f t="shared" si="392"/>
        <v>1689603</v>
      </c>
      <c r="S761" s="2">
        <f t="shared" si="392"/>
        <v>0</v>
      </c>
      <c r="T761" s="2">
        <f t="shared" si="392"/>
        <v>0</v>
      </c>
      <c r="U761" s="2">
        <f t="shared" si="392"/>
        <v>200000</v>
      </c>
      <c r="V761" s="18">
        <f>C761</f>
        <v>5125262</v>
      </c>
    </row>
    <row r="762" spans="1:22" ht="23.1" customHeight="1" x14ac:dyDescent="0.25">
      <c r="A762" s="39" t="s">
        <v>1004</v>
      </c>
      <c r="B762" s="8" t="s">
        <v>334</v>
      </c>
      <c r="C762" s="2">
        <f t="shared" ref="C762" si="393">D762+L762+N762+P762+R762+S762+T762+U762</f>
        <v>5125262</v>
      </c>
      <c r="D762" s="3">
        <f t="shared" ref="D762" si="394">SUM(E762:J762)</f>
        <v>341859</v>
      </c>
      <c r="E762" s="3">
        <f>350*976.74</f>
        <v>341859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11">
        <v>0</v>
      </c>
      <c r="L762" s="5">
        <v>0</v>
      </c>
      <c r="M762" s="5">
        <v>546</v>
      </c>
      <c r="N762" s="3">
        <v>2893800</v>
      </c>
      <c r="O762" s="5">
        <v>0</v>
      </c>
      <c r="P762" s="5">
        <v>0</v>
      </c>
      <c r="Q762" s="5">
        <v>648.6</v>
      </c>
      <c r="R762" s="5">
        <v>1689603</v>
      </c>
      <c r="S762" s="5">
        <v>0</v>
      </c>
      <c r="T762" s="5">
        <v>0</v>
      </c>
      <c r="U762" s="5">
        <v>200000</v>
      </c>
      <c r="V762" s="6">
        <f t="shared" ref="V762" si="395">N762/M762</f>
        <v>5300</v>
      </c>
    </row>
    <row r="763" spans="1:22" ht="45" customHeight="1" x14ac:dyDescent="0.25">
      <c r="A763" s="51" t="s">
        <v>335</v>
      </c>
      <c r="B763" s="51"/>
      <c r="C763" s="2">
        <f>SUM(C764:C765)</f>
        <v>27268650</v>
      </c>
      <c r="D763" s="2">
        <f t="shared" ref="D763:U763" si="396">SUM(D764:D765)</f>
        <v>2820000</v>
      </c>
      <c r="E763" s="2">
        <f t="shared" si="396"/>
        <v>420000</v>
      </c>
      <c r="F763" s="2">
        <f t="shared" si="396"/>
        <v>960000</v>
      </c>
      <c r="G763" s="2">
        <f t="shared" si="396"/>
        <v>360000</v>
      </c>
      <c r="H763" s="2">
        <f t="shared" si="396"/>
        <v>600000</v>
      </c>
      <c r="I763" s="2">
        <f t="shared" si="396"/>
        <v>480000</v>
      </c>
      <c r="J763" s="2">
        <f t="shared" si="396"/>
        <v>0</v>
      </c>
      <c r="K763" s="14">
        <f t="shared" si="396"/>
        <v>0</v>
      </c>
      <c r="L763" s="2">
        <f t="shared" si="396"/>
        <v>0</v>
      </c>
      <c r="M763" s="2">
        <f t="shared" si="396"/>
        <v>2130.6999999999998</v>
      </c>
      <c r="N763" s="2">
        <f t="shared" si="396"/>
        <v>11718849.999999998</v>
      </c>
      <c r="O763" s="2">
        <f t="shared" si="396"/>
        <v>0</v>
      </c>
      <c r="P763" s="2">
        <f t="shared" si="396"/>
        <v>0</v>
      </c>
      <c r="Q763" s="2">
        <f t="shared" si="396"/>
        <v>4176.6000000000004</v>
      </c>
      <c r="R763" s="2">
        <f t="shared" si="396"/>
        <v>12529800.000000002</v>
      </c>
      <c r="S763" s="2">
        <f t="shared" si="396"/>
        <v>0</v>
      </c>
      <c r="T763" s="2">
        <f t="shared" si="396"/>
        <v>0</v>
      </c>
      <c r="U763" s="2">
        <f t="shared" si="396"/>
        <v>200000</v>
      </c>
    </row>
    <row r="764" spans="1:22" ht="21.95" customHeight="1" x14ac:dyDescent="0.25">
      <c r="A764" s="40" t="s">
        <v>1005</v>
      </c>
      <c r="B764" s="8" t="s">
        <v>833</v>
      </c>
      <c r="C764" s="2">
        <f>D764+L764+N764+P764+R764+S764+T764+U764</f>
        <v>3020000</v>
      </c>
      <c r="D764" s="3">
        <f t="shared" ref="D764" si="397">SUM(E764:J764)</f>
        <v>2820000</v>
      </c>
      <c r="E764" s="3">
        <f>350*1200</f>
        <v>420000</v>
      </c>
      <c r="F764" s="3">
        <f>800*1200</f>
        <v>960000</v>
      </c>
      <c r="G764" s="3">
        <f>300*1200</f>
        <v>360000</v>
      </c>
      <c r="H764" s="3">
        <f>500*1200</f>
        <v>600000</v>
      </c>
      <c r="I764" s="3">
        <f>400*1200</f>
        <v>480000</v>
      </c>
      <c r="J764" s="3">
        <f>350*0</f>
        <v>0</v>
      </c>
      <c r="K764" s="4">
        <v>0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 s="3">
        <v>0</v>
      </c>
      <c r="U764" s="3">
        <v>200000</v>
      </c>
      <c r="V764" s="6" t="e">
        <f>N764/M764</f>
        <v>#DIV/0!</v>
      </c>
    </row>
    <row r="765" spans="1:22" ht="21.95" customHeight="1" x14ac:dyDescent="0.25">
      <c r="A765" s="40" t="s">
        <v>1006</v>
      </c>
      <c r="B765" s="8" t="s">
        <v>336</v>
      </c>
      <c r="C765" s="2">
        <f t="shared" si="369"/>
        <v>24248650</v>
      </c>
      <c r="D765" s="3">
        <f t="shared" ref="D765" si="398">SUM(E765:J765)</f>
        <v>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4">
        <v>0</v>
      </c>
      <c r="L765" s="3">
        <v>0</v>
      </c>
      <c r="M765" s="3">
        <v>2130.6999999999998</v>
      </c>
      <c r="N765" s="3">
        <f t="shared" ref="N765" si="399">M765*5500</f>
        <v>11718849.999999998</v>
      </c>
      <c r="O765" s="3">
        <v>0</v>
      </c>
      <c r="P765" s="3">
        <v>0</v>
      </c>
      <c r="Q765" s="3">
        <v>4176.6000000000004</v>
      </c>
      <c r="R765" s="3">
        <f>Q765*3000</f>
        <v>12529800.000000002</v>
      </c>
      <c r="S765" s="3">
        <v>0</v>
      </c>
      <c r="T765" s="3">
        <v>0</v>
      </c>
      <c r="U765" s="3">
        <v>0</v>
      </c>
      <c r="V765" s="6">
        <f t="shared" ref="V765" si="400">N765/M765</f>
        <v>5500</v>
      </c>
    </row>
    <row r="766" spans="1:22" ht="45" customHeight="1" x14ac:dyDescent="0.25">
      <c r="A766" s="51" t="s">
        <v>1637</v>
      </c>
      <c r="B766" s="51"/>
      <c r="C766" s="2">
        <f>SUM(C767:C782)</f>
        <v>155073950</v>
      </c>
      <c r="D766" s="2">
        <f t="shared" ref="D766:U766" si="401">SUM(D767:D782)</f>
        <v>28882050</v>
      </c>
      <c r="E766" s="2">
        <f t="shared" si="401"/>
        <v>4752650</v>
      </c>
      <c r="F766" s="2">
        <f t="shared" si="401"/>
        <v>14257950</v>
      </c>
      <c r="G766" s="2">
        <f t="shared" si="401"/>
        <v>4073700</v>
      </c>
      <c r="H766" s="2">
        <f t="shared" si="401"/>
        <v>2403000</v>
      </c>
      <c r="I766" s="2">
        <f t="shared" si="401"/>
        <v>3394750</v>
      </c>
      <c r="J766" s="2">
        <f t="shared" si="401"/>
        <v>0</v>
      </c>
      <c r="K766" s="14">
        <f t="shared" si="401"/>
        <v>6</v>
      </c>
      <c r="L766" s="2">
        <f t="shared" si="401"/>
        <v>12900000</v>
      </c>
      <c r="M766" s="2">
        <f t="shared" si="401"/>
        <v>10885</v>
      </c>
      <c r="N766" s="2">
        <f t="shared" si="401"/>
        <v>59867500</v>
      </c>
      <c r="O766" s="2">
        <f t="shared" si="401"/>
        <v>0</v>
      </c>
      <c r="P766" s="2">
        <f t="shared" si="401"/>
        <v>0</v>
      </c>
      <c r="Q766" s="2">
        <f t="shared" si="401"/>
        <v>16974.800000000003</v>
      </c>
      <c r="R766" s="2">
        <f t="shared" si="401"/>
        <v>50924400</v>
      </c>
      <c r="S766" s="2">
        <f t="shared" si="401"/>
        <v>0</v>
      </c>
      <c r="T766" s="2">
        <f t="shared" si="401"/>
        <v>0</v>
      </c>
      <c r="U766" s="2">
        <f t="shared" si="401"/>
        <v>2500000</v>
      </c>
    </row>
    <row r="767" spans="1:22" ht="21.95" customHeight="1" x14ac:dyDescent="0.25">
      <c r="A767" s="40" t="s">
        <v>1007</v>
      </c>
      <c r="B767" s="8" t="s">
        <v>344</v>
      </c>
      <c r="C767" s="2">
        <f t="shared" si="369"/>
        <v>3858650</v>
      </c>
      <c r="D767" s="3">
        <f t="shared" ref="D767:D780" si="402">SUM(E767:J767)</f>
        <v>547950</v>
      </c>
      <c r="E767" s="3">
        <f>350*281</f>
        <v>98350</v>
      </c>
      <c r="F767" s="3">
        <f>1050*281</f>
        <v>295050</v>
      </c>
      <c r="G767" s="3">
        <f>300*281</f>
        <v>84300</v>
      </c>
      <c r="H767" s="3">
        <f t="shared" ref="H767:H773" si="403">400*0</f>
        <v>0</v>
      </c>
      <c r="I767" s="3">
        <f>250*281</f>
        <v>70250</v>
      </c>
      <c r="J767" s="3">
        <v>0</v>
      </c>
      <c r="K767" s="4">
        <v>0</v>
      </c>
      <c r="L767" s="3">
        <v>0</v>
      </c>
      <c r="M767" s="3">
        <v>400</v>
      </c>
      <c r="N767" s="3">
        <f t="shared" ref="N767:N774" si="404">M767*5500</f>
        <v>2200000</v>
      </c>
      <c r="O767" s="3">
        <v>0</v>
      </c>
      <c r="P767" s="3">
        <v>0</v>
      </c>
      <c r="Q767" s="3">
        <v>336.9</v>
      </c>
      <c r="R767" s="3">
        <f t="shared" ref="R767:R780" si="405">Q767*3000</f>
        <v>1010699.9999999999</v>
      </c>
      <c r="S767" s="3">
        <v>0</v>
      </c>
      <c r="T767" s="3">
        <v>0</v>
      </c>
      <c r="U767" s="3">
        <v>100000</v>
      </c>
      <c r="V767" s="6">
        <f t="shared" ref="V767:V782" si="406">N767/M767</f>
        <v>5500</v>
      </c>
    </row>
    <row r="768" spans="1:22" ht="21.95" customHeight="1" x14ac:dyDescent="0.25">
      <c r="A768" s="40" t="s">
        <v>1008</v>
      </c>
      <c r="B768" s="8" t="s">
        <v>1399</v>
      </c>
      <c r="C768" s="2">
        <f t="shared" si="369"/>
        <v>4308150</v>
      </c>
      <c r="D768" s="3">
        <f t="shared" ref="D768" si="407">SUM(E768:J768)</f>
        <v>0</v>
      </c>
      <c r="E768" s="3">
        <v>0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4">
        <v>0</v>
      </c>
      <c r="L768" s="3">
        <v>0</v>
      </c>
      <c r="M768" s="5">
        <v>783.3</v>
      </c>
      <c r="N768" s="5">
        <f>M768*5500</f>
        <v>4308150</v>
      </c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0</v>
      </c>
      <c r="V768" s="6">
        <f t="shared" si="406"/>
        <v>5500</v>
      </c>
    </row>
    <row r="769" spans="1:22" ht="21.95" customHeight="1" x14ac:dyDescent="0.25">
      <c r="A769" s="40" t="s">
        <v>1009</v>
      </c>
      <c r="B769" s="8" t="s">
        <v>348</v>
      </c>
      <c r="C769" s="2">
        <f t="shared" si="369"/>
        <v>7226080</v>
      </c>
      <c r="D769" s="3">
        <f t="shared" si="402"/>
        <v>1533480</v>
      </c>
      <c r="E769" s="3">
        <f>350*786.4</f>
        <v>275240</v>
      </c>
      <c r="F769" s="3">
        <f>1050*786.4</f>
        <v>825720</v>
      </c>
      <c r="G769" s="3">
        <f>300*786.4</f>
        <v>235920</v>
      </c>
      <c r="H769" s="3">
        <f t="shared" si="403"/>
        <v>0</v>
      </c>
      <c r="I769" s="3">
        <f>250*786.4</f>
        <v>196600</v>
      </c>
      <c r="J769" s="3">
        <v>0</v>
      </c>
      <c r="K769" s="4">
        <v>0</v>
      </c>
      <c r="L769" s="3">
        <v>0</v>
      </c>
      <c r="M769" s="3">
        <v>613.20000000000005</v>
      </c>
      <c r="N769" s="3">
        <f t="shared" si="404"/>
        <v>3372600.0000000005</v>
      </c>
      <c r="O769" s="3">
        <v>0</v>
      </c>
      <c r="P769" s="3">
        <v>0</v>
      </c>
      <c r="Q769" s="3">
        <v>740</v>
      </c>
      <c r="R769" s="3">
        <f t="shared" si="405"/>
        <v>2220000</v>
      </c>
      <c r="S769" s="3">
        <v>0</v>
      </c>
      <c r="T769" s="3">
        <v>0</v>
      </c>
      <c r="U769" s="3">
        <v>100000</v>
      </c>
      <c r="V769" s="6">
        <f t="shared" si="406"/>
        <v>5500</v>
      </c>
    </row>
    <row r="770" spans="1:22" ht="21.95" customHeight="1" x14ac:dyDescent="0.25">
      <c r="A770" s="40" t="s">
        <v>1010</v>
      </c>
      <c r="B770" s="8" t="s">
        <v>349</v>
      </c>
      <c r="C770" s="2">
        <f t="shared" si="369"/>
        <v>7307080</v>
      </c>
      <c r="D770" s="3">
        <f t="shared" si="402"/>
        <v>1533480</v>
      </c>
      <c r="E770" s="3">
        <f>350*786.4</f>
        <v>275240</v>
      </c>
      <c r="F770" s="3">
        <f>1050*786.4</f>
        <v>825720</v>
      </c>
      <c r="G770" s="3">
        <f>300*786.4</f>
        <v>235920</v>
      </c>
      <c r="H770" s="3">
        <f t="shared" si="403"/>
        <v>0</v>
      </c>
      <c r="I770" s="3">
        <f>250*786.4</f>
        <v>196600</v>
      </c>
      <c r="J770" s="3">
        <v>0</v>
      </c>
      <c r="K770" s="4">
        <v>0</v>
      </c>
      <c r="L770" s="3">
        <v>0</v>
      </c>
      <c r="M770" s="3">
        <v>613.20000000000005</v>
      </c>
      <c r="N770" s="3">
        <f t="shared" si="404"/>
        <v>3372600.0000000005</v>
      </c>
      <c r="O770" s="3">
        <v>0</v>
      </c>
      <c r="P770" s="3">
        <v>0</v>
      </c>
      <c r="Q770" s="3">
        <v>767</v>
      </c>
      <c r="R770" s="3">
        <f t="shared" si="405"/>
        <v>2301000</v>
      </c>
      <c r="S770" s="3">
        <v>0</v>
      </c>
      <c r="T770" s="3">
        <v>0</v>
      </c>
      <c r="U770" s="3">
        <v>100000</v>
      </c>
      <c r="V770" s="6">
        <f t="shared" si="406"/>
        <v>5500</v>
      </c>
    </row>
    <row r="771" spans="1:22" ht="21.95" customHeight="1" x14ac:dyDescent="0.25">
      <c r="A771" s="40" t="s">
        <v>1420</v>
      </c>
      <c r="B771" s="8" t="s">
        <v>350</v>
      </c>
      <c r="C771" s="2">
        <f t="shared" si="369"/>
        <v>7217500</v>
      </c>
      <c r="D771" s="3">
        <f t="shared" si="402"/>
        <v>1524900</v>
      </c>
      <c r="E771" s="3">
        <f>350*782</f>
        <v>273700</v>
      </c>
      <c r="F771" s="3">
        <f>1050*782</f>
        <v>821100</v>
      </c>
      <c r="G771" s="3">
        <f>300*782</f>
        <v>234600</v>
      </c>
      <c r="H771" s="3">
        <f t="shared" si="403"/>
        <v>0</v>
      </c>
      <c r="I771" s="3">
        <f>250*782</f>
        <v>195500</v>
      </c>
      <c r="J771" s="3">
        <v>0</v>
      </c>
      <c r="K771" s="4">
        <v>0</v>
      </c>
      <c r="L771" s="3">
        <v>0</v>
      </c>
      <c r="M771" s="3">
        <v>613.20000000000005</v>
      </c>
      <c r="N771" s="3">
        <f t="shared" si="404"/>
        <v>3372600.0000000005</v>
      </c>
      <c r="O771" s="3">
        <v>0</v>
      </c>
      <c r="P771" s="3">
        <v>0</v>
      </c>
      <c r="Q771" s="3">
        <v>740</v>
      </c>
      <c r="R771" s="3">
        <f t="shared" si="405"/>
        <v>2220000</v>
      </c>
      <c r="S771" s="3">
        <v>0</v>
      </c>
      <c r="T771" s="3">
        <v>0</v>
      </c>
      <c r="U771" s="3">
        <v>100000</v>
      </c>
      <c r="V771" s="6">
        <f t="shared" si="406"/>
        <v>5500</v>
      </c>
    </row>
    <row r="772" spans="1:22" ht="21.95" customHeight="1" x14ac:dyDescent="0.25">
      <c r="A772" s="40" t="s">
        <v>1011</v>
      </c>
      <c r="B772" s="8" t="s">
        <v>351</v>
      </c>
      <c r="C772" s="2">
        <f t="shared" si="369"/>
        <v>7285600</v>
      </c>
      <c r="D772" s="3">
        <f t="shared" si="402"/>
        <v>1536600</v>
      </c>
      <c r="E772" s="3">
        <f>350*788</f>
        <v>275800</v>
      </c>
      <c r="F772" s="3">
        <f>1050*788</f>
        <v>827400</v>
      </c>
      <c r="G772" s="3">
        <f>300*788</f>
        <v>236400</v>
      </c>
      <c r="H772" s="3">
        <f t="shared" si="403"/>
        <v>0</v>
      </c>
      <c r="I772" s="3">
        <f>250*788</f>
        <v>197000</v>
      </c>
      <c r="J772" s="3">
        <v>0</v>
      </c>
      <c r="K772" s="4">
        <v>0</v>
      </c>
      <c r="L772" s="3">
        <v>0</v>
      </c>
      <c r="M772" s="3">
        <v>618</v>
      </c>
      <c r="N772" s="3">
        <f t="shared" si="404"/>
        <v>3399000</v>
      </c>
      <c r="O772" s="3">
        <v>0</v>
      </c>
      <c r="P772" s="3">
        <v>0</v>
      </c>
      <c r="Q772" s="3">
        <v>750</v>
      </c>
      <c r="R772" s="3">
        <f t="shared" si="405"/>
        <v>2250000</v>
      </c>
      <c r="S772" s="3">
        <v>0</v>
      </c>
      <c r="T772" s="3">
        <v>0</v>
      </c>
      <c r="U772" s="3">
        <v>100000</v>
      </c>
      <c r="V772" s="6">
        <f t="shared" si="406"/>
        <v>5500</v>
      </c>
    </row>
    <row r="773" spans="1:22" ht="21.95" customHeight="1" x14ac:dyDescent="0.25">
      <c r="A773" s="40" t="s">
        <v>1631</v>
      </c>
      <c r="B773" s="8" t="s">
        <v>352</v>
      </c>
      <c r="C773" s="2">
        <f t="shared" si="369"/>
        <v>7303000</v>
      </c>
      <c r="D773" s="3">
        <f t="shared" si="402"/>
        <v>1540500</v>
      </c>
      <c r="E773" s="3">
        <f>350*790</f>
        <v>276500</v>
      </c>
      <c r="F773" s="3">
        <f>1050*790</f>
        <v>829500</v>
      </c>
      <c r="G773" s="3">
        <f>300*790</f>
        <v>237000</v>
      </c>
      <c r="H773" s="3">
        <f t="shared" si="403"/>
        <v>0</v>
      </c>
      <c r="I773" s="3">
        <f>250*790</f>
        <v>197500</v>
      </c>
      <c r="J773" s="3">
        <v>0</v>
      </c>
      <c r="K773" s="4">
        <v>0</v>
      </c>
      <c r="L773" s="3">
        <v>0</v>
      </c>
      <c r="M773" s="3">
        <v>615</v>
      </c>
      <c r="N773" s="3">
        <f t="shared" si="404"/>
        <v>3382500</v>
      </c>
      <c r="O773" s="3">
        <v>0</v>
      </c>
      <c r="P773" s="3">
        <v>0</v>
      </c>
      <c r="Q773" s="3">
        <v>760</v>
      </c>
      <c r="R773" s="3">
        <f t="shared" si="405"/>
        <v>2280000</v>
      </c>
      <c r="S773" s="3">
        <v>0</v>
      </c>
      <c r="T773" s="3">
        <v>0</v>
      </c>
      <c r="U773" s="3">
        <v>100000</v>
      </c>
      <c r="V773" s="6">
        <f t="shared" si="406"/>
        <v>5500</v>
      </c>
    </row>
    <row r="774" spans="1:22" ht="21.95" customHeight="1" x14ac:dyDescent="0.25">
      <c r="A774" s="40" t="s">
        <v>1012</v>
      </c>
      <c r="B774" s="8" t="s">
        <v>353</v>
      </c>
      <c r="C774" s="2">
        <f t="shared" si="369"/>
        <v>19934700</v>
      </c>
      <c r="D774" s="3">
        <f t="shared" si="402"/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1706.2</v>
      </c>
      <c r="N774" s="3">
        <f t="shared" si="404"/>
        <v>9384100</v>
      </c>
      <c r="O774" s="3">
        <v>0</v>
      </c>
      <c r="P774" s="3">
        <v>0</v>
      </c>
      <c r="Q774" s="3">
        <v>3450.2</v>
      </c>
      <c r="R774" s="3">
        <f t="shared" si="405"/>
        <v>10350600</v>
      </c>
      <c r="S774" s="3">
        <v>0</v>
      </c>
      <c r="T774" s="3">
        <v>0</v>
      </c>
      <c r="U774" s="3">
        <v>200000</v>
      </c>
      <c r="V774" s="6">
        <f t="shared" si="406"/>
        <v>5500</v>
      </c>
    </row>
    <row r="775" spans="1:22" ht="21.95" customHeight="1" x14ac:dyDescent="0.25">
      <c r="A775" s="40" t="s">
        <v>1013</v>
      </c>
      <c r="B775" s="8" t="s">
        <v>354</v>
      </c>
      <c r="C775" s="2">
        <f t="shared" si="369"/>
        <v>26676525</v>
      </c>
      <c r="D775" s="3">
        <f t="shared" si="402"/>
        <v>8656225</v>
      </c>
      <c r="E775" s="3">
        <f>350*3683.5</f>
        <v>1289225</v>
      </c>
      <c r="F775" s="3">
        <f>1050*3683.5</f>
        <v>3867675</v>
      </c>
      <c r="G775" s="3">
        <f>300*3683.5</f>
        <v>1105050</v>
      </c>
      <c r="H775" s="3">
        <f>400*3683.5</f>
        <v>1473400</v>
      </c>
      <c r="I775" s="3">
        <f>250*3683.5</f>
        <v>920875</v>
      </c>
      <c r="J775" s="3">
        <v>0</v>
      </c>
      <c r="K775" s="4">
        <v>0</v>
      </c>
      <c r="L775" s="3">
        <v>0</v>
      </c>
      <c r="M775" s="5">
        <v>1794.6</v>
      </c>
      <c r="N775" s="5">
        <f>M775*5500</f>
        <v>9870300</v>
      </c>
      <c r="O775" s="3">
        <v>0</v>
      </c>
      <c r="P775" s="3">
        <v>0</v>
      </c>
      <c r="Q775" s="3">
        <v>2650</v>
      </c>
      <c r="R775" s="3">
        <f>Q775*3000</f>
        <v>7950000</v>
      </c>
      <c r="S775" s="3">
        <v>0</v>
      </c>
      <c r="T775" s="3">
        <v>0</v>
      </c>
      <c r="U775" s="3">
        <v>200000</v>
      </c>
      <c r="V775" s="6">
        <f>N775/M775</f>
        <v>5500</v>
      </c>
    </row>
    <row r="776" spans="1:22" ht="21.95" customHeight="1" x14ac:dyDescent="0.25">
      <c r="A776" s="40" t="s">
        <v>1014</v>
      </c>
      <c r="B776" s="8" t="s">
        <v>355</v>
      </c>
      <c r="C776" s="2">
        <f t="shared" si="369"/>
        <v>4674570</v>
      </c>
      <c r="D776" s="3">
        <f t="shared" si="402"/>
        <v>894270</v>
      </c>
      <c r="E776" s="3">
        <f>350*458.6</f>
        <v>160510</v>
      </c>
      <c r="F776" s="3">
        <f>1050*458.6</f>
        <v>481530</v>
      </c>
      <c r="G776" s="3">
        <f>300*458.6</f>
        <v>137580</v>
      </c>
      <c r="H776" s="3">
        <f>400*0</f>
        <v>0</v>
      </c>
      <c r="I776" s="3">
        <f>250*458.6</f>
        <v>114650</v>
      </c>
      <c r="J776" s="3">
        <v>0</v>
      </c>
      <c r="K776" s="4">
        <v>0</v>
      </c>
      <c r="L776" s="3">
        <v>0</v>
      </c>
      <c r="M776" s="3">
        <v>389</v>
      </c>
      <c r="N776" s="3">
        <f t="shared" ref="N776:N780" si="408">M776*5500</f>
        <v>2139500</v>
      </c>
      <c r="O776" s="3">
        <v>0</v>
      </c>
      <c r="P776" s="3">
        <v>0</v>
      </c>
      <c r="Q776" s="3">
        <v>513.6</v>
      </c>
      <c r="R776" s="3">
        <f t="shared" si="405"/>
        <v>1540800</v>
      </c>
      <c r="S776" s="3">
        <v>0</v>
      </c>
      <c r="T776" s="3">
        <v>0</v>
      </c>
      <c r="U776" s="3">
        <v>100000</v>
      </c>
      <c r="V776" s="6">
        <f t="shared" si="406"/>
        <v>5500</v>
      </c>
    </row>
    <row r="777" spans="1:22" ht="21.95" customHeight="1" x14ac:dyDescent="0.25">
      <c r="A777" s="40" t="s">
        <v>1015</v>
      </c>
      <c r="B777" s="8" t="s">
        <v>356</v>
      </c>
      <c r="C777" s="2">
        <f t="shared" si="369"/>
        <v>8635180</v>
      </c>
      <c r="D777" s="3">
        <f t="shared" si="402"/>
        <v>2013180</v>
      </c>
      <c r="E777" s="3">
        <f>350*1032.4</f>
        <v>361340.00000000006</v>
      </c>
      <c r="F777" s="3">
        <f>1050*1032.4</f>
        <v>1084020</v>
      </c>
      <c r="G777" s="3">
        <f>300*1032.4</f>
        <v>309720</v>
      </c>
      <c r="H777" s="3">
        <f>400*0</f>
        <v>0</v>
      </c>
      <c r="I777" s="3">
        <f>250*1032.4</f>
        <v>258100.00000000003</v>
      </c>
      <c r="J777" s="3">
        <v>0</v>
      </c>
      <c r="K777" s="4">
        <v>0</v>
      </c>
      <c r="L777" s="3">
        <v>0</v>
      </c>
      <c r="M777" s="3">
        <v>684</v>
      </c>
      <c r="N777" s="3">
        <f t="shared" si="408"/>
        <v>3762000</v>
      </c>
      <c r="O777" s="3">
        <v>0</v>
      </c>
      <c r="P777" s="3">
        <v>0</v>
      </c>
      <c r="Q777" s="3">
        <v>920</v>
      </c>
      <c r="R777" s="3">
        <f t="shared" si="405"/>
        <v>2760000</v>
      </c>
      <c r="S777" s="3">
        <v>0</v>
      </c>
      <c r="T777" s="3">
        <v>0</v>
      </c>
      <c r="U777" s="3">
        <v>100000</v>
      </c>
      <c r="V777" s="6">
        <f t="shared" si="406"/>
        <v>5500</v>
      </c>
    </row>
    <row r="778" spans="1:22" ht="21.95" customHeight="1" x14ac:dyDescent="0.25">
      <c r="A778" s="40" t="s">
        <v>1016</v>
      </c>
      <c r="B778" s="8" t="s">
        <v>357</v>
      </c>
      <c r="C778" s="2">
        <f t="shared" si="369"/>
        <v>14797190</v>
      </c>
      <c r="D778" s="3">
        <f t="shared" si="402"/>
        <v>4454190</v>
      </c>
      <c r="E778" s="3">
        <f>350*1895.4</f>
        <v>663390</v>
      </c>
      <c r="F778" s="3">
        <f>1050*1895.4</f>
        <v>1990170</v>
      </c>
      <c r="G778" s="3">
        <f>300*1895.4</f>
        <v>568620</v>
      </c>
      <c r="H778" s="3">
        <f>400*1895.4</f>
        <v>758160</v>
      </c>
      <c r="I778" s="3">
        <f>250*1895.4</f>
        <v>473850</v>
      </c>
      <c r="J778" s="3">
        <v>0</v>
      </c>
      <c r="K778" s="4">
        <v>0</v>
      </c>
      <c r="L778" s="3">
        <v>0</v>
      </c>
      <c r="M778" s="3">
        <v>886</v>
      </c>
      <c r="N778" s="3">
        <f t="shared" si="408"/>
        <v>4873000</v>
      </c>
      <c r="O778" s="3">
        <v>0</v>
      </c>
      <c r="P778" s="3">
        <v>0</v>
      </c>
      <c r="Q778" s="3">
        <v>1790</v>
      </c>
      <c r="R778" s="3">
        <f t="shared" si="405"/>
        <v>5370000</v>
      </c>
      <c r="S778" s="3">
        <v>0</v>
      </c>
      <c r="T778" s="3">
        <v>0</v>
      </c>
      <c r="U778" s="3">
        <v>100000</v>
      </c>
      <c r="V778" s="6">
        <f t="shared" si="406"/>
        <v>5500</v>
      </c>
    </row>
    <row r="779" spans="1:22" ht="21.95" customHeight="1" x14ac:dyDescent="0.25">
      <c r="A779" s="40" t="s">
        <v>1017</v>
      </c>
      <c r="B779" s="8" t="s">
        <v>358</v>
      </c>
      <c r="C779" s="2">
        <f t="shared" si="369"/>
        <v>4754210</v>
      </c>
      <c r="D779" s="3">
        <f t="shared" si="402"/>
        <v>1007210</v>
      </c>
      <c r="E779" s="3">
        <f>350*428.6</f>
        <v>150010</v>
      </c>
      <c r="F779" s="3">
        <f>1050*428.6</f>
        <v>450030</v>
      </c>
      <c r="G779" s="3">
        <f>300*428.6</f>
        <v>128580</v>
      </c>
      <c r="H779" s="3">
        <f>400*428.6</f>
        <v>171440</v>
      </c>
      <c r="I779" s="3">
        <f>250*428.6</f>
        <v>107150</v>
      </c>
      <c r="J779" s="3">
        <v>0</v>
      </c>
      <c r="K779" s="4">
        <v>0</v>
      </c>
      <c r="L779" s="3">
        <v>0</v>
      </c>
      <c r="M779" s="3">
        <v>377.6</v>
      </c>
      <c r="N779" s="3">
        <f t="shared" si="408"/>
        <v>2076800.0000000002</v>
      </c>
      <c r="O779" s="3">
        <v>0</v>
      </c>
      <c r="P779" s="3">
        <v>0</v>
      </c>
      <c r="Q779" s="3">
        <v>523.4</v>
      </c>
      <c r="R779" s="3">
        <f t="shared" si="405"/>
        <v>1570200</v>
      </c>
      <c r="S779" s="3">
        <v>0</v>
      </c>
      <c r="T779" s="3">
        <v>0</v>
      </c>
      <c r="U779" s="3">
        <v>100000</v>
      </c>
      <c r="V779" s="6">
        <f t="shared" si="406"/>
        <v>5500</v>
      </c>
    </row>
    <row r="780" spans="1:22" ht="21.95" customHeight="1" x14ac:dyDescent="0.25">
      <c r="A780" s="40" t="s">
        <v>1018</v>
      </c>
      <c r="B780" s="8" t="s">
        <v>359</v>
      </c>
      <c r="C780" s="2">
        <f t="shared" si="369"/>
        <v>12305515</v>
      </c>
      <c r="D780" s="3">
        <f t="shared" si="402"/>
        <v>3640065</v>
      </c>
      <c r="E780" s="3">
        <f>350*1866.7</f>
        <v>653345</v>
      </c>
      <c r="F780" s="3">
        <f>1050*1866.7</f>
        <v>1960035</v>
      </c>
      <c r="G780" s="3">
        <f>300*1866.7</f>
        <v>560010</v>
      </c>
      <c r="H780" s="3">
        <f>400*0</f>
        <v>0</v>
      </c>
      <c r="I780" s="3">
        <f>250*1866.7</f>
        <v>466675</v>
      </c>
      <c r="J780" s="3">
        <v>0</v>
      </c>
      <c r="K780" s="4">
        <v>0</v>
      </c>
      <c r="L780" s="3">
        <v>0</v>
      </c>
      <c r="M780" s="3">
        <v>791.7</v>
      </c>
      <c r="N780" s="3">
        <f t="shared" si="408"/>
        <v>4354350</v>
      </c>
      <c r="O780" s="3">
        <v>0</v>
      </c>
      <c r="P780" s="3">
        <v>0</v>
      </c>
      <c r="Q780" s="3">
        <v>1403.7</v>
      </c>
      <c r="R780" s="3">
        <f t="shared" si="405"/>
        <v>4211100</v>
      </c>
      <c r="S780" s="3">
        <v>0</v>
      </c>
      <c r="T780" s="3">
        <v>0</v>
      </c>
      <c r="U780" s="3">
        <v>100000</v>
      </c>
      <c r="V780" s="6">
        <f t="shared" si="406"/>
        <v>5500</v>
      </c>
    </row>
    <row r="781" spans="1:22" ht="21.95" customHeight="1" x14ac:dyDescent="0.25">
      <c r="A781" s="40" t="s">
        <v>1019</v>
      </c>
      <c r="B781" s="44" t="s">
        <v>1660</v>
      </c>
      <c r="C781" s="2">
        <f>D781+L781+N781+P781+R781+S781+T781+U781</f>
        <v>5390000</v>
      </c>
      <c r="D781" s="3">
        <f>SUM(E781:J781)</f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0</v>
      </c>
      <c r="N781" s="3">
        <v>0</v>
      </c>
      <c r="O781" s="3">
        <v>0</v>
      </c>
      <c r="P781" s="3">
        <v>0</v>
      </c>
      <c r="Q781" s="45">
        <v>1630</v>
      </c>
      <c r="R781" s="5">
        <f>Q781*3000</f>
        <v>4890000</v>
      </c>
      <c r="S781" s="3">
        <v>0</v>
      </c>
      <c r="T781" s="3">
        <v>0</v>
      </c>
      <c r="U781" s="3">
        <v>500000</v>
      </c>
      <c r="V781" s="6" t="e">
        <f>N781/M781</f>
        <v>#DIV/0!</v>
      </c>
    </row>
    <row r="782" spans="1:22" ht="21.95" customHeight="1" x14ac:dyDescent="0.25">
      <c r="A782" s="40" t="s">
        <v>1020</v>
      </c>
      <c r="B782" s="8" t="s">
        <v>372</v>
      </c>
      <c r="C782" s="2">
        <f>D782+L782+N782+P782+R782+S782+T782+U782</f>
        <v>13400000</v>
      </c>
      <c r="D782" s="3">
        <f t="shared" ref="D782" si="409">SUM(E782:J782)</f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6</v>
      </c>
      <c r="L782" s="3">
        <v>12900000</v>
      </c>
      <c r="M782" s="3">
        <v>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500000</v>
      </c>
      <c r="V782" s="6" t="e">
        <f t="shared" si="406"/>
        <v>#DIV/0!</v>
      </c>
    </row>
    <row r="783" spans="1:22" ht="45" customHeight="1" x14ac:dyDescent="0.25">
      <c r="A783" s="51" t="s">
        <v>377</v>
      </c>
      <c r="B783" s="51"/>
      <c r="C783" s="2">
        <f>SUM(C784:C785)</f>
        <v>3834311.8</v>
      </c>
      <c r="D783" s="2">
        <f t="shared" ref="D783:U783" si="410">SUM(D784:D785)</f>
        <v>90125</v>
      </c>
      <c r="E783" s="2">
        <f t="shared" si="410"/>
        <v>90125</v>
      </c>
      <c r="F783" s="2">
        <f t="shared" si="410"/>
        <v>0</v>
      </c>
      <c r="G783" s="2">
        <f t="shared" si="410"/>
        <v>0</v>
      </c>
      <c r="H783" s="2">
        <f t="shared" si="410"/>
        <v>0</v>
      </c>
      <c r="I783" s="2">
        <f t="shared" si="410"/>
        <v>0</v>
      </c>
      <c r="J783" s="2">
        <f t="shared" si="410"/>
        <v>0</v>
      </c>
      <c r="K783" s="14">
        <f t="shared" si="410"/>
        <v>0</v>
      </c>
      <c r="L783" s="2">
        <f t="shared" si="410"/>
        <v>0</v>
      </c>
      <c r="M783" s="2">
        <f t="shared" si="410"/>
        <v>588.79999999999995</v>
      </c>
      <c r="N783" s="2">
        <f t="shared" si="410"/>
        <v>2632886.7999999998</v>
      </c>
      <c r="O783" s="2">
        <f t="shared" si="410"/>
        <v>0</v>
      </c>
      <c r="P783" s="2">
        <f t="shared" si="410"/>
        <v>0</v>
      </c>
      <c r="Q783" s="2">
        <f t="shared" si="410"/>
        <v>296.5</v>
      </c>
      <c r="R783" s="2">
        <f t="shared" si="410"/>
        <v>889500</v>
      </c>
      <c r="S783" s="2">
        <f t="shared" si="410"/>
        <v>121800</v>
      </c>
      <c r="T783" s="2">
        <f t="shared" si="410"/>
        <v>0</v>
      </c>
      <c r="U783" s="2">
        <f t="shared" si="410"/>
        <v>100000</v>
      </c>
      <c r="V783" s="18">
        <f>C783</f>
        <v>3834311.8</v>
      </c>
    </row>
    <row r="784" spans="1:22" ht="21.95" customHeight="1" x14ac:dyDescent="0.25">
      <c r="A784" s="40" t="s">
        <v>1021</v>
      </c>
      <c r="B784" s="8" t="s">
        <v>374</v>
      </c>
      <c r="C784" s="2">
        <f t="shared" si="369"/>
        <v>2603925</v>
      </c>
      <c r="D784" s="3">
        <f t="shared" ref="D784:D785" si="411">SUM(E784:J784)</f>
        <v>90125</v>
      </c>
      <c r="E784" s="3">
        <f>350*257.5</f>
        <v>90125</v>
      </c>
      <c r="F784" s="3">
        <f>1050*0</f>
        <v>0</v>
      </c>
      <c r="G784" s="3">
        <f>350*0</f>
        <v>0</v>
      </c>
      <c r="H784" s="3">
        <f>400*0</f>
        <v>0</v>
      </c>
      <c r="I784" s="3">
        <f>250*0</f>
        <v>0</v>
      </c>
      <c r="J784" s="3">
        <v>0</v>
      </c>
      <c r="K784" s="4">
        <v>0</v>
      </c>
      <c r="L784" s="3">
        <v>0</v>
      </c>
      <c r="M784" s="3">
        <v>255</v>
      </c>
      <c r="N784" s="3">
        <f t="shared" ref="N784" si="412">M784*5500</f>
        <v>1402500</v>
      </c>
      <c r="O784" s="3">
        <v>0</v>
      </c>
      <c r="P784" s="3">
        <v>0</v>
      </c>
      <c r="Q784" s="3">
        <v>296.5</v>
      </c>
      <c r="R784" s="3">
        <f>Q784*3000</f>
        <v>889500</v>
      </c>
      <c r="S784" s="3">
        <v>121800</v>
      </c>
      <c r="T784" s="3">
        <v>0</v>
      </c>
      <c r="U784" s="3">
        <v>100000</v>
      </c>
      <c r="V784" s="6">
        <f t="shared" ref="V784:V785" si="413">N784/M784</f>
        <v>5500</v>
      </c>
    </row>
    <row r="785" spans="1:22" ht="21.95" customHeight="1" x14ac:dyDescent="0.25">
      <c r="A785" s="40" t="s">
        <v>1022</v>
      </c>
      <c r="B785" s="8" t="s">
        <v>1576</v>
      </c>
      <c r="C785" s="2">
        <f t="shared" si="369"/>
        <v>1230386.8</v>
      </c>
      <c r="D785" s="3">
        <f t="shared" si="411"/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333.8</v>
      </c>
      <c r="N785" s="3">
        <f>M785*3686</f>
        <v>1230386.8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6">
        <f t="shared" si="413"/>
        <v>3686</v>
      </c>
    </row>
    <row r="786" spans="1:22" ht="45" customHeight="1" x14ac:dyDescent="0.25">
      <c r="A786" s="51" t="s">
        <v>376</v>
      </c>
      <c r="B786" s="51"/>
      <c r="C786" s="2">
        <f>SUM(C787)</f>
        <v>3354260</v>
      </c>
      <c r="D786" s="2">
        <f t="shared" ref="D786:U786" si="414">SUM(D787)</f>
        <v>0</v>
      </c>
      <c r="E786" s="2">
        <f t="shared" si="414"/>
        <v>0</v>
      </c>
      <c r="F786" s="2">
        <f t="shared" si="414"/>
        <v>0</v>
      </c>
      <c r="G786" s="2">
        <f t="shared" si="414"/>
        <v>0</v>
      </c>
      <c r="H786" s="2">
        <f t="shared" si="414"/>
        <v>0</v>
      </c>
      <c r="I786" s="2">
        <f t="shared" si="414"/>
        <v>0</v>
      </c>
      <c r="J786" s="2">
        <f t="shared" si="414"/>
        <v>0</v>
      </c>
      <c r="K786" s="14">
        <f t="shared" si="414"/>
        <v>0</v>
      </c>
      <c r="L786" s="2">
        <f t="shared" si="414"/>
        <v>0</v>
      </c>
      <c r="M786" s="2">
        <f t="shared" si="414"/>
        <v>910</v>
      </c>
      <c r="N786" s="2">
        <f t="shared" si="414"/>
        <v>3354260</v>
      </c>
      <c r="O786" s="2">
        <f t="shared" si="414"/>
        <v>0</v>
      </c>
      <c r="P786" s="2">
        <f t="shared" si="414"/>
        <v>0</v>
      </c>
      <c r="Q786" s="2">
        <f t="shared" si="414"/>
        <v>0</v>
      </c>
      <c r="R786" s="2">
        <f t="shared" si="414"/>
        <v>0</v>
      </c>
      <c r="S786" s="2">
        <f t="shared" si="414"/>
        <v>0</v>
      </c>
      <c r="T786" s="2">
        <f t="shared" si="414"/>
        <v>0</v>
      </c>
      <c r="U786" s="2">
        <f t="shared" si="414"/>
        <v>0</v>
      </c>
      <c r="V786" s="18">
        <f>C786</f>
        <v>3354260</v>
      </c>
    </row>
    <row r="787" spans="1:22" ht="21.95" customHeight="1" x14ac:dyDescent="0.25">
      <c r="A787" s="40" t="s">
        <v>1023</v>
      </c>
      <c r="B787" s="46" t="s">
        <v>1577</v>
      </c>
      <c r="C787" s="2">
        <f t="shared" si="369"/>
        <v>3354260</v>
      </c>
      <c r="D787" s="3">
        <f t="shared" ref="D787" si="415">SUM(E787:J787)</f>
        <v>0</v>
      </c>
      <c r="E787" s="3">
        <v>0</v>
      </c>
      <c r="F787" s="3">
        <f>1050*0</f>
        <v>0</v>
      </c>
      <c r="G787" s="3">
        <f>350*0</f>
        <v>0</v>
      </c>
      <c r="H787" s="3">
        <f>400*0</f>
        <v>0</v>
      </c>
      <c r="I787" s="3">
        <f>250*0</f>
        <v>0</v>
      </c>
      <c r="J787" s="3">
        <v>0</v>
      </c>
      <c r="K787" s="4">
        <v>0</v>
      </c>
      <c r="L787" s="3">
        <v>0</v>
      </c>
      <c r="M787" s="3">
        <v>910</v>
      </c>
      <c r="N787" s="3">
        <f>M787*3686</f>
        <v>3354260</v>
      </c>
      <c r="O787" s="3">
        <v>0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  <c r="V787" s="6">
        <f t="shared" ref="V787" si="416">N787/M787</f>
        <v>3686</v>
      </c>
    </row>
    <row r="788" spans="1:22" s="16" customFormat="1" ht="24.95" customHeight="1" x14ac:dyDescent="0.25">
      <c r="A788" s="59" t="s">
        <v>211</v>
      </c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15"/>
    </row>
    <row r="789" spans="1:22" ht="24.95" customHeight="1" x14ac:dyDescent="0.25">
      <c r="A789" s="60" t="s">
        <v>212</v>
      </c>
      <c r="B789" s="60"/>
      <c r="C789" s="2">
        <f>C790+C793+C813+C816+C820+C823+C826+C830+C832+C835+C840+C842+C848+C850+C854+C856+C858+C860+C862+C867+C869+C885+C890+C895+C897+C908+C911+C914+C1089+C1091+C1093+C1095+C1097+C1101+C1104+C1107+C1109+C1111+C1113+C1116+C1118+C1131+C1135</f>
        <v>1355318655.6599998</v>
      </c>
      <c r="D789" s="2">
        <f t="shared" ref="D789:U789" si="417">D790+D793+D813+D816+D820+D823+D826+D830+D832+D835+D840+D842+D848+D850+D854+D856+D858+D860+D862+D867+D869+D885+D890+D895+D897+D908+D911+D914+D1089+D1091+D1093+D1095+D1097+D1101+D1104+D1107+D1109+D1111+D1113+D1116+D1118+D1131+D1135</f>
        <v>292717022.5</v>
      </c>
      <c r="E789" s="2">
        <f t="shared" si="417"/>
        <v>49267932</v>
      </c>
      <c r="F789" s="2">
        <f t="shared" si="417"/>
        <v>138017187</v>
      </c>
      <c r="G789" s="2">
        <f t="shared" si="417"/>
        <v>39709509</v>
      </c>
      <c r="H789" s="2">
        <f t="shared" si="417"/>
        <v>32007992</v>
      </c>
      <c r="I789" s="2">
        <f t="shared" si="417"/>
        <v>33714402.5</v>
      </c>
      <c r="J789" s="2">
        <f t="shared" si="417"/>
        <v>0</v>
      </c>
      <c r="K789" s="14">
        <f t="shared" si="417"/>
        <v>6</v>
      </c>
      <c r="L789" s="2">
        <f t="shared" si="417"/>
        <v>13200000</v>
      </c>
      <c r="M789" s="2">
        <f t="shared" si="417"/>
        <v>149654.20000000001</v>
      </c>
      <c r="N789" s="2">
        <f t="shared" si="417"/>
        <v>782286779.15999997</v>
      </c>
      <c r="O789" s="2">
        <f t="shared" si="417"/>
        <v>1768.9</v>
      </c>
      <c r="P789" s="2">
        <f t="shared" si="417"/>
        <v>2525760</v>
      </c>
      <c r="Q789" s="2">
        <f t="shared" si="417"/>
        <v>83750.740000000005</v>
      </c>
      <c r="R789" s="2">
        <f t="shared" si="417"/>
        <v>251252220</v>
      </c>
      <c r="S789" s="2">
        <f t="shared" si="417"/>
        <v>2736874</v>
      </c>
      <c r="T789" s="2">
        <f t="shared" si="417"/>
        <v>0</v>
      </c>
      <c r="U789" s="2">
        <f t="shared" si="417"/>
        <v>10600000</v>
      </c>
    </row>
    <row r="790" spans="1:22" ht="45" customHeight="1" x14ac:dyDescent="0.25">
      <c r="A790" s="51" t="s">
        <v>1636</v>
      </c>
      <c r="B790" s="51"/>
      <c r="C790" s="2">
        <f>SUM(C791:C792)</f>
        <v>9839500</v>
      </c>
      <c r="D790" s="2">
        <f t="shared" ref="D790:U790" si="418">SUM(D791:D792)</f>
        <v>0</v>
      </c>
      <c r="E790" s="2">
        <f t="shared" si="418"/>
        <v>0</v>
      </c>
      <c r="F790" s="2">
        <f t="shared" si="418"/>
        <v>0</v>
      </c>
      <c r="G790" s="2">
        <f t="shared" si="418"/>
        <v>0</v>
      </c>
      <c r="H790" s="2">
        <f t="shared" si="418"/>
        <v>0</v>
      </c>
      <c r="I790" s="2">
        <f t="shared" si="418"/>
        <v>0</v>
      </c>
      <c r="J790" s="2">
        <f t="shared" si="418"/>
        <v>0</v>
      </c>
      <c r="K790" s="14">
        <f t="shared" si="418"/>
        <v>0</v>
      </c>
      <c r="L790" s="2">
        <f t="shared" si="418"/>
        <v>0</v>
      </c>
      <c r="M790" s="2">
        <f t="shared" si="418"/>
        <v>1789</v>
      </c>
      <c r="N790" s="2">
        <f t="shared" si="418"/>
        <v>9839500</v>
      </c>
      <c r="O790" s="2">
        <f t="shared" si="418"/>
        <v>0</v>
      </c>
      <c r="P790" s="2">
        <f t="shared" si="418"/>
        <v>0</v>
      </c>
      <c r="Q790" s="2">
        <f t="shared" si="418"/>
        <v>0</v>
      </c>
      <c r="R790" s="2">
        <f t="shared" si="418"/>
        <v>0</v>
      </c>
      <c r="S790" s="2">
        <f t="shared" si="418"/>
        <v>0</v>
      </c>
      <c r="T790" s="2">
        <f t="shared" si="418"/>
        <v>0</v>
      </c>
      <c r="U790" s="2">
        <f t="shared" si="418"/>
        <v>0</v>
      </c>
    </row>
    <row r="791" spans="1:22" ht="21.95" customHeight="1" x14ac:dyDescent="0.25">
      <c r="A791" s="40" t="s">
        <v>1024</v>
      </c>
      <c r="B791" s="41" t="s">
        <v>19</v>
      </c>
      <c r="C791" s="2">
        <f t="shared" ref="C791:C852" si="419">D791+L791+N791+P791+R791+S791+T791+U791</f>
        <v>5197500</v>
      </c>
      <c r="D791" s="3">
        <f t="shared" ref="D791:D792" si="420">SUM(E791:J791)</f>
        <v>0</v>
      </c>
      <c r="E791" s="3">
        <v>0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4">
        <v>0</v>
      </c>
      <c r="L791" s="3">
        <v>0</v>
      </c>
      <c r="M791" s="3">
        <v>945</v>
      </c>
      <c r="N791" s="3">
        <f t="shared" ref="N791:N792" si="421">M791*5500</f>
        <v>5197500</v>
      </c>
      <c r="O791" s="3">
        <v>0</v>
      </c>
      <c r="P791" s="3">
        <v>0</v>
      </c>
      <c r="Q791" s="3">
        <v>0</v>
      </c>
      <c r="R791" s="3">
        <f t="shared" ref="R791:R792" si="422">Q791*3000</f>
        <v>0</v>
      </c>
      <c r="S791" s="3">
        <v>0</v>
      </c>
      <c r="T791" s="3">
        <v>0</v>
      </c>
      <c r="U791" s="3">
        <v>0</v>
      </c>
      <c r="V791" s="6">
        <f t="shared" ref="V791:V792" si="423">N791/M791</f>
        <v>5500</v>
      </c>
    </row>
    <row r="792" spans="1:22" ht="21.95" customHeight="1" x14ac:dyDescent="0.25">
      <c r="A792" s="40" t="s">
        <v>1025</v>
      </c>
      <c r="B792" s="41" t="s">
        <v>24</v>
      </c>
      <c r="C792" s="2">
        <f t="shared" si="419"/>
        <v>4642000</v>
      </c>
      <c r="D792" s="3">
        <f t="shared" si="420"/>
        <v>0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4">
        <v>0</v>
      </c>
      <c r="L792" s="3">
        <v>0</v>
      </c>
      <c r="M792" s="3">
        <v>844</v>
      </c>
      <c r="N792" s="3">
        <f t="shared" si="421"/>
        <v>4642000</v>
      </c>
      <c r="O792" s="3">
        <v>0</v>
      </c>
      <c r="P792" s="3">
        <v>0</v>
      </c>
      <c r="Q792" s="3">
        <v>0</v>
      </c>
      <c r="R792" s="3">
        <f t="shared" si="422"/>
        <v>0</v>
      </c>
      <c r="S792" s="3">
        <v>0</v>
      </c>
      <c r="T792" s="3">
        <v>0</v>
      </c>
      <c r="U792" s="3">
        <v>0</v>
      </c>
      <c r="V792" s="6">
        <f t="shared" si="423"/>
        <v>5500</v>
      </c>
    </row>
    <row r="793" spans="1:22" ht="45" customHeight="1" x14ac:dyDescent="0.25">
      <c r="A793" s="51" t="s">
        <v>0</v>
      </c>
      <c r="B793" s="51"/>
      <c r="C793" s="2">
        <f>SUM(C794:C812)</f>
        <v>122005701.80000001</v>
      </c>
      <c r="D793" s="2">
        <f t="shared" ref="D793:U793" si="424">SUM(D794:D812)</f>
        <v>19333351.5</v>
      </c>
      <c r="E793" s="2">
        <f t="shared" si="424"/>
        <v>3574095</v>
      </c>
      <c r="F793" s="2">
        <f t="shared" si="424"/>
        <v>10142821.5</v>
      </c>
      <c r="G793" s="2">
        <f t="shared" si="424"/>
        <v>3063510</v>
      </c>
      <c r="H793" s="2">
        <f t="shared" si="424"/>
        <v>0</v>
      </c>
      <c r="I793" s="2">
        <f t="shared" si="424"/>
        <v>2552925</v>
      </c>
      <c r="J793" s="2">
        <f t="shared" si="424"/>
        <v>0</v>
      </c>
      <c r="K793" s="14">
        <f t="shared" si="424"/>
        <v>0</v>
      </c>
      <c r="L793" s="2">
        <f t="shared" si="424"/>
        <v>0</v>
      </c>
      <c r="M793" s="2">
        <f t="shared" si="424"/>
        <v>16981.579999999998</v>
      </c>
      <c r="N793" s="2">
        <f t="shared" si="424"/>
        <v>82544530.299999997</v>
      </c>
      <c r="O793" s="2">
        <f t="shared" si="424"/>
        <v>0</v>
      </c>
      <c r="P793" s="2">
        <f t="shared" si="424"/>
        <v>0</v>
      </c>
      <c r="Q793" s="2">
        <f t="shared" si="424"/>
        <v>6575.94</v>
      </c>
      <c r="R793" s="2">
        <f t="shared" si="424"/>
        <v>19727820</v>
      </c>
      <c r="S793" s="2">
        <f t="shared" si="424"/>
        <v>0</v>
      </c>
      <c r="T793" s="2">
        <f t="shared" si="424"/>
        <v>0</v>
      </c>
      <c r="U793" s="2">
        <f t="shared" si="424"/>
        <v>400000</v>
      </c>
    </row>
    <row r="794" spans="1:22" ht="20.100000000000001" customHeight="1" x14ac:dyDescent="0.25">
      <c r="A794" s="40" t="s">
        <v>1026</v>
      </c>
      <c r="B794" s="8" t="s">
        <v>1349</v>
      </c>
      <c r="C794" s="2">
        <f t="shared" si="419"/>
        <v>12359158</v>
      </c>
      <c r="D794" s="3">
        <f t="shared" ref="D794:D812" si="425">SUM(E794:J794)</f>
        <v>0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11">
        <v>0</v>
      </c>
      <c r="L794" s="5">
        <v>0</v>
      </c>
      <c r="M794" s="5">
        <v>3353</v>
      </c>
      <c r="N794" s="3">
        <f>M794*3686</f>
        <v>12359158</v>
      </c>
      <c r="O794" s="5">
        <v>0</v>
      </c>
      <c r="P794" s="5">
        <v>0</v>
      </c>
      <c r="Q794" s="5">
        <v>0</v>
      </c>
      <c r="R794" s="3">
        <f t="shared" ref="R794:R812" si="426">Q794*3000</f>
        <v>0</v>
      </c>
      <c r="S794" s="5">
        <v>0</v>
      </c>
      <c r="T794" s="5">
        <v>0</v>
      </c>
      <c r="U794" s="5">
        <v>0</v>
      </c>
      <c r="V794" s="6">
        <f t="shared" ref="V794:V812" si="427">N794/M794</f>
        <v>3686</v>
      </c>
    </row>
    <row r="795" spans="1:22" ht="20.100000000000001" customHeight="1" x14ac:dyDescent="0.25">
      <c r="A795" s="40" t="s">
        <v>1027</v>
      </c>
      <c r="B795" s="8" t="s">
        <v>46</v>
      </c>
      <c r="C795" s="2">
        <f t="shared" si="419"/>
        <v>2827500</v>
      </c>
      <c r="D795" s="3">
        <f t="shared" si="425"/>
        <v>0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4">
        <v>0</v>
      </c>
      <c r="L795" s="3">
        <v>0</v>
      </c>
      <c r="M795" s="3">
        <v>0</v>
      </c>
      <c r="N795" s="20">
        <v>0</v>
      </c>
      <c r="O795" s="3">
        <v>0</v>
      </c>
      <c r="P795" s="3">
        <v>0</v>
      </c>
      <c r="Q795" s="3">
        <v>942.5</v>
      </c>
      <c r="R795" s="3">
        <f t="shared" si="426"/>
        <v>2827500</v>
      </c>
      <c r="S795" s="3">
        <v>0</v>
      </c>
      <c r="T795" s="5">
        <v>0</v>
      </c>
      <c r="U795" s="3">
        <v>0</v>
      </c>
      <c r="V795" s="6" t="e">
        <f t="shared" si="427"/>
        <v>#DIV/0!</v>
      </c>
    </row>
    <row r="796" spans="1:22" ht="20.100000000000001" customHeight="1" x14ac:dyDescent="0.25">
      <c r="A796" s="40" t="s">
        <v>1028</v>
      </c>
      <c r="B796" s="8" t="s">
        <v>49</v>
      </c>
      <c r="C796" s="2">
        <f t="shared" si="419"/>
        <v>10386860</v>
      </c>
      <c r="D796" s="3">
        <f t="shared" si="425"/>
        <v>0</v>
      </c>
      <c r="E796" s="3">
        <v>0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4">
        <v>0</v>
      </c>
      <c r="L796" s="3">
        <v>0</v>
      </c>
      <c r="M796" s="3">
        <v>946.28</v>
      </c>
      <c r="N796" s="3">
        <f t="shared" ref="N796" si="428">M796*5500</f>
        <v>5204540</v>
      </c>
      <c r="O796" s="3">
        <v>0</v>
      </c>
      <c r="P796" s="3">
        <v>0</v>
      </c>
      <c r="Q796" s="3">
        <v>1727.44</v>
      </c>
      <c r="R796" s="3">
        <f t="shared" si="426"/>
        <v>5182320</v>
      </c>
      <c r="S796" s="3">
        <v>0</v>
      </c>
      <c r="T796" s="5">
        <v>0</v>
      </c>
      <c r="U796" s="3">
        <v>0</v>
      </c>
      <c r="V796" s="6">
        <f t="shared" si="427"/>
        <v>5500</v>
      </c>
    </row>
    <row r="797" spans="1:22" ht="20.100000000000001" customHeight="1" x14ac:dyDescent="0.25">
      <c r="A797" s="40" t="s">
        <v>1029</v>
      </c>
      <c r="B797" s="8" t="s">
        <v>1350</v>
      </c>
      <c r="C797" s="2">
        <f t="shared" si="419"/>
        <v>7825276</v>
      </c>
      <c r="D797" s="3">
        <f t="shared" si="425"/>
        <v>7725276</v>
      </c>
      <c r="E797" s="3">
        <f>350*3961.68</f>
        <v>1386588</v>
      </c>
      <c r="F797" s="3">
        <f>1050*3961.68</f>
        <v>4159764</v>
      </c>
      <c r="G797" s="3">
        <f>300*3961.68</f>
        <v>1188504</v>
      </c>
      <c r="H797" s="3">
        <f>400*0</f>
        <v>0</v>
      </c>
      <c r="I797" s="3">
        <f>250*3961.68</f>
        <v>990420</v>
      </c>
      <c r="J797" s="3">
        <v>0</v>
      </c>
      <c r="K797" s="4">
        <v>0</v>
      </c>
      <c r="L797" s="3">
        <v>0</v>
      </c>
      <c r="M797" s="3">
        <v>0</v>
      </c>
      <c r="N797" s="20">
        <v>0</v>
      </c>
      <c r="O797" s="3">
        <v>0</v>
      </c>
      <c r="P797" s="3">
        <v>0</v>
      </c>
      <c r="Q797" s="3">
        <v>0</v>
      </c>
      <c r="R797" s="3">
        <f t="shared" si="426"/>
        <v>0</v>
      </c>
      <c r="S797" s="3">
        <v>0</v>
      </c>
      <c r="T797" s="5">
        <v>0</v>
      </c>
      <c r="U797" s="3">
        <v>100000</v>
      </c>
      <c r="V797" s="6" t="e">
        <f t="shared" si="427"/>
        <v>#DIV/0!</v>
      </c>
    </row>
    <row r="798" spans="1:22" ht="20.100000000000001" customHeight="1" x14ac:dyDescent="0.25">
      <c r="A798" s="40" t="s">
        <v>1030</v>
      </c>
      <c r="B798" s="8" t="s">
        <v>1353</v>
      </c>
      <c r="C798" s="2">
        <f t="shared" si="419"/>
        <v>21934000</v>
      </c>
      <c r="D798" s="3">
        <f t="shared" si="425"/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4">
        <v>0</v>
      </c>
      <c r="L798" s="3">
        <v>0</v>
      </c>
      <c r="M798" s="3">
        <v>3137.2</v>
      </c>
      <c r="N798" s="3">
        <f t="shared" ref="N798" si="429">M798*5500</f>
        <v>17254600</v>
      </c>
      <c r="O798" s="3">
        <v>0</v>
      </c>
      <c r="P798" s="3">
        <v>0</v>
      </c>
      <c r="Q798" s="3">
        <v>1559.8</v>
      </c>
      <c r="R798" s="3">
        <f t="shared" si="426"/>
        <v>4679400</v>
      </c>
      <c r="S798" s="3">
        <v>0</v>
      </c>
      <c r="T798" s="5">
        <v>0</v>
      </c>
      <c r="U798" s="3">
        <v>0</v>
      </c>
      <c r="V798" s="6">
        <f t="shared" si="427"/>
        <v>5500</v>
      </c>
    </row>
    <row r="799" spans="1:22" ht="20.100000000000001" customHeight="1" x14ac:dyDescent="0.25">
      <c r="A799" s="40" t="s">
        <v>1031</v>
      </c>
      <c r="B799" s="8" t="s">
        <v>11</v>
      </c>
      <c r="C799" s="2">
        <f t="shared" si="419"/>
        <v>2629500</v>
      </c>
      <c r="D799" s="3">
        <f t="shared" si="425"/>
        <v>0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v>0</v>
      </c>
      <c r="K799" s="4">
        <v>0</v>
      </c>
      <c r="L799" s="3">
        <v>0</v>
      </c>
      <c r="M799" s="3">
        <v>0</v>
      </c>
      <c r="N799" s="20">
        <v>0</v>
      </c>
      <c r="O799" s="3">
        <v>0</v>
      </c>
      <c r="P799" s="3">
        <v>0</v>
      </c>
      <c r="Q799" s="3">
        <v>876.5</v>
      </c>
      <c r="R799" s="3">
        <f t="shared" si="426"/>
        <v>2629500</v>
      </c>
      <c r="S799" s="3">
        <v>0</v>
      </c>
      <c r="T799" s="5">
        <v>0</v>
      </c>
      <c r="U799" s="3">
        <v>0</v>
      </c>
      <c r="V799" s="6" t="e">
        <f t="shared" si="427"/>
        <v>#DIV/0!</v>
      </c>
    </row>
    <row r="800" spans="1:22" ht="20.100000000000001" customHeight="1" x14ac:dyDescent="0.25">
      <c r="A800" s="40" t="s">
        <v>1032</v>
      </c>
      <c r="B800" s="19" t="s">
        <v>59</v>
      </c>
      <c r="C800" s="2">
        <f t="shared" si="419"/>
        <v>3300444.4</v>
      </c>
      <c r="D800" s="3">
        <f t="shared" si="425"/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4">
        <v>0</v>
      </c>
      <c r="L800" s="3">
        <v>0</v>
      </c>
      <c r="M800" s="3">
        <v>895.4</v>
      </c>
      <c r="N800" s="3">
        <f>M800*3686</f>
        <v>3300444.4</v>
      </c>
      <c r="O800" s="3">
        <v>0</v>
      </c>
      <c r="P800" s="3">
        <v>0</v>
      </c>
      <c r="Q800" s="3">
        <v>0</v>
      </c>
      <c r="R800" s="3">
        <f t="shared" si="426"/>
        <v>0</v>
      </c>
      <c r="S800" s="3">
        <v>0</v>
      </c>
      <c r="T800" s="5">
        <v>0</v>
      </c>
      <c r="U800" s="3">
        <v>0</v>
      </c>
      <c r="V800" s="6">
        <f t="shared" si="427"/>
        <v>3686</v>
      </c>
    </row>
    <row r="801" spans="1:22" ht="20.100000000000001" customHeight="1" x14ac:dyDescent="0.25">
      <c r="A801" s="40" t="s">
        <v>1562</v>
      </c>
      <c r="B801" s="47" t="s">
        <v>62</v>
      </c>
      <c r="C801" s="2">
        <f t="shared" si="419"/>
        <v>5281650</v>
      </c>
      <c r="D801" s="3">
        <f t="shared" si="425"/>
        <v>0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4">
        <v>0</v>
      </c>
      <c r="L801" s="3">
        <v>0</v>
      </c>
      <c r="M801" s="3">
        <v>960.3</v>
      </c>
      <c r="N801" s="3">
        <f t="shared" ref="N801" si="430">M801*5500</f>
        <v>5281650</v>
      </c>
      <c r="O801" s="3">
        <v>0</v>
      </c>
      <c r="P801" s="3">
        <v>0</v>
      </c>
      <c r="Q801" s="3">
        <v>0</v>
      </c>
      <c r="R801" s="3">
        <f t="shared" si="426"/>
        <v>0</v>
      </c>
      <c r="S801" s="3">
        <v>0</v>
      </c>
      <c r="T801" s="5">
        <v>0</v>
      </c>
      <c r="U801" s="3">
        <v>0</v>
      </c>
      <c r="V801" s="6">
        <f t="shared" si="427"/>
        <v>5500</v>
      </c>
    </row>
    <row r="802" spans="1:22" ht="20.100000000000001" customHeight="1" x14ac:dyDescent="0.25">
      <c r="A802" s="40" t="s">
        <v>1033</v>
      </c>
      <c r="B802" s="48" t="s">
        <v>63</v>
      </c>
      <c r="C802" s="2">
        <f t="shared" si="419"/>
        <v>3763406</v>
      </c>
      <c r="D802" s="3">
        <f t="shared" si="425"/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4">
        <v>0</v>
      </c>
      <c r="L802" s="3">
        <v>0</v>
      </c>
      <c r="M802" s="3">
        <v>1021</v>
      </c>
      <c r="N802" s="3">
        <f>M802*3686</f>
        <v>3763406</v>
      </c>
      <c r="O802" s="3">
        <v>0</v>
      </c>
      <c r="P802" s="3">
        <v>0</v>
      </c>
      <c r="Q802" s="3">
        <v>0</v>
      </c>
      <c r="R802" s="3">
        <f t="shared" si="426"/>
        <v>0</v>
      </c>
      <c r="S802" s="3">
        <v>0</v>
      </c>
      <c r="T802" s="5">
        <v>0</v>
      </c>
      <c r="U802" s="3">
        <v>0</v>
      </c>
      <c r="V802" s="6">
        <f t="shared" si="427"/>
        <v>3686</v>
      </c>
    </row>
    <row r="803" spans="1:22" ht="20.100000000000001" customHeight="1" x14ac:dyDescent="0.25">
      <c r="A803" s="40" t="s">
        <v>1034</v>
      </c>
      <c r="B803" s="8" t="s">
        <v>35</v>
      </c>
      <c r="C803" s="2">
        <f t="shared" si="419"/>
        <v>24807951</v>
      </c>
      <c r="D803" s="3">
        <f t="shared" si="425"/>
        <v>8982051</v>
      </c>
      <c r="E803" s="3">
        <f>350*4606.18</f>
        <v>1612163</v>
      </c>
      <c r="F803" s="3">
        <f>1050*4606.18</f>
        <v>4836489</v>
      </c>
      <c r="G803" s="3">
        <f>300*4606.18</f>
        <v>1381854</v>
      </c>
      <c r="H803" s="3">
        <f>400*0</f>
        <v>0</v>
      </c>
      <c r="I803" s="3">
        <f>250*4606.18</f>
        <v>1151545</v>
      </c>
      <c r="J803" s="3">
        <v>0</v>
      </c>
      <c r="K803" s="4">
        <v>0</v>
      </c>
      <c r="L803" s="3">
        <v>0</v>
      </c>
      <c r="M803" s="3">
        <v>2057.6</v>
      </c>
      <c r="N803" s="3">
        <f t="shared" ref="N803:N805" si="431">M803*5500</f>
        <v>11316800</v>
      </c>
      <c r="O803" s="3">
        <v>0</v>
      </c>
      <c r="P803" s="3">
        <v>0</v>
      </c>
      <c r="Q803" s="3">
        <v>1469.7</v>
      </c>
      <c r="R803" s="3">
        <f t="shared" si="426"/>
        <v>4409100</v>
      </c>
      <c r="S803" s="3">
        <v>0</v>
      </c>
      <c r="T803" s="5">
        <v>0</v>
      </c>
      <c r="U803" s="3">
        <v>100000</v>
      </c>
      <c r="V803" s="6">
        <f t="shared" si="427"/>
        <v>5500</v>
      </c>
    </row>
    <row r="804" spans="1:22" ht="20.100000000000001" customHeight="1" x14ac:dyDescent="0.25">
      <c r="A804" s="40" t="s">
        <v>1035</v>
      </c>
      <c r="B804" s="8" t="s">
        <v>65</v>
      </c>
      <c r="C804" s="2">
        <f t="shared" si="419"/>
        <v>3395700</v>
      </c>
      <c r="D804" s="3">
        <f t="shared" si="425"/>
        <v>0</v>
      </c>
      <c r="E804" s="3">
        <v>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4">
        <v>0</v>
      </c>
      <c r="L804" s="3">
        <v>0</v>
      </c>
      <c r="M804" s="3">
        <v>617.4</v>
      </c>
      <c r="N804" s="3">
        <f t="shared" si="431"/>
        <v>3395700</v>
      </c>
      <c r="O804" s="3">
        <v>0</v>
      </c>
      <c r="P804" s="3">
        <v>0</v>
      </c>
      <c r="Q804" s="3">
        <v>0</v>
      </c>
      <c r="R804" s="3">
        <f t="shared" si="426"/>
        <v>0</v>
      </c>
      <c r="S804" s="3">
        <v>0</v>
      </c>
      <c r="T804" s="5">
        <v>0</v>
      </c>
      <c r="U804" s="3">
        <v>0</v>
      </c>
      <c r="V804" s="6">
        <f t="shared" si="427"/>
        <v>5500</v>
      </c>
    </row>
    <row r="805" spans="1:22" ht="20.100000000000001" customHeight="1" x14ac:dyDescent="0.25">
      <c r="A805" s="40" t="s">
        <v>1036</v>
      </c>
      <c r="B805" s="8" t="s">
        <v>1351</v>
      </c>
      <c r="C805" s="2">
        <f t="shared" si="419"/>
        <v>4224000</v>
      </c>
      <c r="D805" s="3">
        <f t="shared" si="425"/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4">
        <v>0</v>
      </c>
      <c r="L805" s="3">
        <v>0</v>
      </c>
      <c r="M805" s="3">
        <v>768</v>
      </c>
      <c r="N805" s="3">
        <f t="shared" si="431"/>
        <v>4224000</v>
      </c>
      <c r="O805" s="3">
        <v>0</v>
      </c>
      <c r="P805" s="3">
        <v>0</v>
      </c>
      <c r="Q805" s="3">
        <v>0</v>
      </c>
      <c r="R805" s="3">
        <f t="shared" si="426"/>
        <v>0</v>
      </c>
      <c r="S805" s="3">
        <v>0</v>
      </c>
      <c r="T805" s="5">
        <v>0</v>
      </c>
      <c r="U805" s="3">
        <v>0</v>
      </c>
      <c r="V805" s="6">
        <f t="shared" si="427"/>
        <v>5500</v>
      </c>
    </row>
    <row r="806" spans="1:22" ht="20.100000000000001" customHeight="1" x14ac:dyDescent="0.25">
      <c r="A806" s="40" t="s">
        <v>1037</v>
      </c>
      <c r="B806" s="8" t="s">
        <v>66</v>
      </c>
      <c r="C806" s="2">
        <f t="shared" si="419"/>
        <v>2632356.9</v>
      </c>
      <c r="D806" s="3">
        <f t="shared" si="425"/>
        <v>0</v>
      </c>
      <c r="E806" s="3">
        <v>0</v>
      </c>
      <c r="F806" s="3">
        <v>0</v>
      </c>
      <c r="G806" s="3">
        <v>0</v>
      </c>
      <c r="H806" s="3">
        <v>0</v>
      </c>
      <c r="I806" s="3">
        <v>0</v>
      </c>
      <c r="J806" s="3">
        <v>0</v>
      </c>
      <c r="K806" s="4">
        <v>0</v>
      </c>
      <c r="L806" s="3">
        <v>0</v>
      </c>
      <c r="M806" s="3">
        <v>714.15</v>
      </c>
      <c r="N806" s="3">
        <f>M806*3686</f>
        <v>2632356.9</v>
      </c>
      <c r="O806" s="3">
        <v>0</v>
      </c>
      <c r="P806" s="3">
        <v>0</v>
      </c>
      <c r="Q806" s="3">
        <v>0</v>
      </c>
      <c r="R806" s="3">
        <f t="shared" si="426"/>
        <v>0</v>
      </c>
      <c r="S806" s="3">
        <v>0</v>
      </c>
      <c r="T806" s="5">
        <v>0</v>
      </c>
      <c r="U806" s="3">
        <v>0</v>
      </c>
      <c r="V806" s="6">
        <f t="shared" si="427"/>
        <v>3686</v>
      </c>
    </row>
    <row r="807" spans="1:22" ht="20.100000000000001" customHeight="1" x14ac:dyDescent="0.25">
      <c r="A807" s="40" t="s">
        <v>1038</v>
      </c>
      <c r="B807" s="8" t="s">
        <v>69</v>
      </c>
      <c r="C807" s="2">
        <f>D807+L807+N807+P807+R807+S807+T807+U807</f>
        <v>1453650</v>
      </c>
      <c r="D807" s="3">
        <f>SUM(E807:J807)</f>
        <v>0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4">
        <v>0</v>
      </c>
      <c r="L807" s="3">
        <v>0</v>
      </c>
      <c r="M807" s="3">
        <v>264.3</v>
      </c>
      <c r="N807" s="3">
        <f>M807*5500</f>
        <v>1453650</v>
      </c>
      <c r="O807" s="3">
        <v>0</v>
      </c>
      <c r="P807" s="3">
        <v>0</v>
      </c>
      <c r="Q807" s="3">
        <v>0</v>
      </c>
      <c r="R807" s="3">
        <f>Q807*3000</f>
        <v>0</v>
      </c>
      <c r="S807" s="3">
        <v>0</v>
      </c>
      <c r="T807" s="5">
        <v>0</v>
      </c>
      <c r="U807" s="3">
        <v>0</v>
      </c>
      <c r="V807" s="6">
        <f>N807/M807</f>
        <v>5500</v>
      </c>
    </row>
    <row r="808" spans="1:22" ht="20.100000000000001" customHeight="1" x14ac:dyDescent="0.25">
      <c r="A808" s="40" t="s">
        <v>1039</v>
      </c>
      <c r="B808" s="8" t="s">
        <v>67</v>
      </c>
      <c r="C808" s="2">
        <f t="shared" si="419"/>
        <v>2229341.5</v>
      </c>
      <c r="D808" s="3">
        <f t="shared" si="425"/>
        <v>2129341.5</v>
      </c>
      <c r="E808" s="3">
        <f>350*1091.97</f>
        <v>382189.5</v>
      </c>
      <c r="F808" s="3">
        <f>1050*1091.97</f>
        <v>1146568.5</v>
      </c>
      <c r="G808" s="3">
        <f>300*1091.97</f>
        <v>327591</v>
      </c>
      <c r="H808" s="3">
        <f>400*0</f>
        <v>0</v>
      </c>
      <c r="I808" s="3">
        <f>250*1091.97</f>
        <v>272992.5</v>
      </c>
      <c r="J808" s="3">
        <v>0</v>
      </c>
      <c r="K808" s="4">
        <v>0</v>
      </c>
      <c r="L808" s="3">
        <v>0</v>
      </c>
      <c r="M808" s="3">
        <v>0</v>
      </c>
      <c r="N808" s="20">
        <v>0</v>
      </c>
      <c r="O808" s="3">
        <v>0</v>
      </c>
      <c r="P808" s="3">
        <v>0</v>
      </c>
      <c r="Q808" s="3">
        <v>0</v>
      </c>
      <c r="R808" s="3">
        <f t="shared" si="426"/>
        <v>0</v>
      </c>
      <c r="S808" s="3">
        <v>0</v>
      </c>
      <c r="T808" s="5">
        <v>0</v>
      </c>
      <c r="U808" s="3">
        <v>100000</v>
      </c>
      <c r="V808" s="6" t="e">
        <f t="shared" si="427"/>
        <v>#DIV/0!</v>
      </c>
    </row>
    <row r="809" spans="1:22" ht="20.100000000000001" customHeight="1" x14ac:dyDescent="0.25">
      <c r="A809" s="40" t="s">
        <v>1040</v>
      </c>
      <c r="B809" s="8" t="s">
        <v>68</v>
      </c>
      <c r="C809" s="2">
        <f t="shared" si="419"/>
        <v>3314783</v>
      </c>
      <c r="D809" s="3">
        <f t="shared" si="425"/>
        <v>496683</v>
      </c>
      <c r="E809" s="3">
        <f>350*551.87</f>
        <v>193154.5</v>
      </c>
      <c r="F809" s="3">
        <f>1050*0</f>
        <v>0</v>
      </c>
      <c r="G809" s="3">
        <f>300*551.87</f>
        <v>165561</v>
      </c>
      <c r="H809" s="3">
        <f>500*0</f>
        <v>0</v>
      </c>
      <c r="I809" s="3">
        <f>250*551.87</f>
        <v>137967.5</v>
      </c>
      <c r="J809" s="3">
        <v>0</v>
      </c>
      <c r="K809" s="4">
        <v>0</v>
      </c>
      <c r="L809" s="3">
        <v>0</v>
      </c>
      <c r="M809" s="3">
        <v>494.2</v>
      </c>
      <c r="N809" s="3">
        <f t="shared" ref="N809:N812" si="432">M809*5500</f>
        <v>2718100</v>
      </c>
      <c r="O809" s="3">
        <v>0</v>
      </c>
      <c r="P809" s="3">
        <v>0</v>
      </c>
      <c r="Q809" s="3">
        <v>0</v>
      </c>
      <c r="R809" s="3">
        <f t="shared" si="426"/>
        <v>0</v>
      </c>
      <c r="S809" s="3">
        <v>0</v>
      </c>
      <c r="T809" s="5">
        <v>0</v>
      </c>
      <c r="U809" s="3">
        <v>100000</v>
      </c>
      <c r="V809" s="6">
        <f t="shared" si="427"/>
        <v>5500</v>
      </c>
    </row>
    <row r="810" spans="1:22" ht="20.100000000000001" customHeight="1" x14ac:dyDescent="0.25">
      <c r="A810" s="40" t="s">
        <v>1041</v>
      </c>
      <c r="B810" s="8" t="s">
        <v>70</v>
      </c>
      <c r="C810" s="2">
        <f t="shared" si="419"/>
        <v>1509199.9999999998</v>
      </c>
      <c r="D810" s="3">
        <f t="shared" si="425"/>
        <v>0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v>0</v>
      </c>
      <c r="K810" s="4">
        <v>0</v>
      </c>
      <c r="L810" s="3">
        <v>0</v>
      </c>
      <c r="M810" s="3">
        <v>274.39999999999998</v>
      </c>
      <c r="N810" s="3">
        <f t="shared" si="432"/>
        <v>1509199.9999999998</v>
      </c>
      <c r="O810" s="3">
        <v>0</v>
      </c>
      <c r="P810" s="3">
        <v>0</v>
      </c>
      <c r="Q810" s="3">
        <v>0</v>
      </c>
      <c r="R810" s="3">
        <f t="shared" si="426"/>
        <v>0</v>
      </c>
      <c r="S810" s="3">
        <v>0</v>
      </c>
      <c r="T810" s="5">
        <v>0</v>
      </c>
      <c r="U810" s="3">
        <v>0</v>
      </c>
      <c r="V810" s="6">
        <f t="shared" si="427"/>
        <v>5500</v>
      </c>
    </row>
    <row r="811" spans="1:22" ht="20.100000000000001" customHeight="1" x14ac:dyDescent="0.25">
      <c r="A811" s="40" t="s">
        <v>1042</v>
      </c>
      <c r="B811" s="8" t="s">
        <v>71</v>
      </c>
      <c r="C811" s="2">
        <f t="shared" si="419"/>
        <v>1464265</v>
      </c>
      <c r="D811" s="3">
        <f t="shared" si="425"/>
        <v>0</v>
      </c>
      <c r="E811" s="3">
        <v>0</v>
      </c>
      <c r="F811" s="3">
        <v>0</v>
      </c>
      <c r="G811" s="3">
        <v>0</v>
      </c>
      <c r="H811" s="3">
        <v>0</v>
      </c>
      <c r="I811" s="3">
        <v>0</v>
      </c>
      <c r="J811" s="3">
        <v>0</v>
      </c>
      <c r="K811" s="4">
        <v>0</v>
      </c>
      <c r="L811" s="3">
        <v>0</v>
      </c>
      <c r="M811" s="3">
        <v>266.23</v>
      </c>
      <c r="N811" s="3">
        <f t="shared" si="432"/>
        <v>1464265</v>
      </c>
      <c r="O811" s="3">
        <v>0</v>
      </c>
      <c r="P811" s="3">
        <v>0</v>
      </c>
      <c r="Q811" s="3">
        <v>0</v>
      </c>
      <c r="R811" s="3">
        <f t="shared" si="426"/>
        <v>0</v>
      </c>
      <c r="S811" s="3">
        <v>0</v>
      </c>
      <c r="T811" s="5">
        <v>0</v>
      </c>
      <c r="U811" s="3">
        <v>0</v>
      </c>
      <c r="V811" s="6">
        <f t="shared" si="427"/>
        <v>5500</v>
      </c>
    </row>
    <row r="812" spans="1:22" ht="20.100000000000001" customHeight="1" x14ac:dyDescent="0.25">
      <c r="A812" s="40" t="s">
        <v>1043</v>
      </c>
      <c r="B812" s="8" t="s">
        <v>1180</v>
      </c>
      <c r="C812" s="2">
        <f t="shared" si="419"/>
        <v>6666659.9999999991</v>
      </c>
      <c r="D812" s="3">
        <f t="shared" si="425"/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4">
        <v>0</v>
      </c>
      <c r="L812" s="3">
        <v>0</v>
      </c>
      <c r="M812" s="3">
        <v>1212.1199999999999</v>
      </c>
      <c r="N812" s="3">
        <f t="shared" si="432"/>
        <v>6666659.9999999991</v>
      </c>
      <c r="O812" s="3">
        <v>0</v>
      </c>
      <c r="P812" s="3">
        <v>0</v>
      </c>
      <c r="Q812" s="3">
        <v>0</v>
      </c>
      <c r="R812" s="3">
        <f t="shared" si="426"/>
        <v>0</v>
      </c>
      <c r="S812" s="3">
        <v>0</v>
      </c>
      <c r="T812" s="5">
        <v>0</v>
      </c>
      <c r="U812" s="3">
        <v>0</v>
      </c>
      <c r="V812" s="6">
        <f t="shared" si="427"/>
        <v>5500</v>
      </c>
    </row>
    <row r="813" spans="1:22" ht="45" customHeight="1" x14ac:dyDescent="0.25">
      <c r="A813" s="51" t="s">
        <v>28</v>
      </c>
      <c r="B813" s="51"/>
      <c r="C813" s="2">
        <f>SUM(C814:C815)</f>
        <v>6794924</v>
      </c>
      <c r="D813" s="2">
        <f t="shared" ref="D813:U813" si="433">SUM(D814:D815)</f>
        <v>293104</v>
      </c>
      <c r="E813" s="2">
        <f t="shared" si="433"/>
        <v>293104</v>
      </c>
      <c r="F813" s="2">
        <f t="shared" si="433"/>
        <v>0</v>
      </c>
      <c r="G813" s="2">
        <f t="shared" si="433"/>
        <v>0</v>
      </c>
      <c r="H813" s="2">
        <f t="shared" si="433"/>
        <v>0</v>
      </c>
      <c r="I813" s="2">
        <f t="shared" si="433"/>
        <v>0</v>
      </c>
      <c r="J813" s="2">
        <f t="shared" si="433"/>
        <v>0</v>
      </c>
      <c r="K813" s="14">
        <f t="shared" si="433"/>
        <v>0</v>
      </c>
      <c r="L813" s="2">
        <f t="shared" si="433"/>
        <v>0</v>
      </c>
      <c r="M813" s="2">
        <f t="shared" si="433"/>
        <v>746</v>
      </c>
      <c r="N813" s="2">
        <f t="shared" si="433"/>
        <v>4103000</v>
      </c>
      <c r="O813" s="2">
        <f t="shared" si="433"/>
        <v>0</v>
      </c>
      <c r="P813" s="2">
        <f t="shared" si="433"/>
        <v>0</v>
      </c>
      <c r="Q813" s="2">
        <f t="shared" si="433"/>
        <v>506</v>
      </c>
      <c r="R813" s="2">
        <f t="shared" si="433"/>
        <v>1518000</v>
      </c>
      <c r="S813" s="2">
        <f t="shared" si="433"/>
        <v>680820</v>
      </c>
      <c r="T813" s="2">
        <f t="shared" si="433"/>
        <v>0</v>
      </c>
      <c r="U813" s="2">
        <f t="shared" si="433"/>
        <v>200000</v>
      </c>
      <c r="V813" s="18">
        <f>C813</f>
        <v>6794924</v>
      </c>
    </row>
    <row r="814" spans="1:22" ht="21.95" customHeight="1" x14ac:dyDescent="0.25">
      <c r="A814" s="40" t="s">
        <v>1044</v>
      </c>
      <c r="B814" s="8" t="s">
        <v>29</v>
      </c>
      <c r="C814" s="2">
        <f t="shared" si="419"/>
        <v>1890047.5</v>
      </c>
      <c r="D814" s="3">
        <f t="shared" ref="D814:D815" si="434">SUM(E814:J814)</f>
        <v>107047.50000000001</v>
      </c>
      <c r="E814" s="3">
        <f>350*305.85</f>
        <v>107047.50000000001</v>
      </c>
      <c r="F814" s="3">
        <f>1050*0</f>
        <v>0</v>
      </c>
      <c r="G814" s="3">
        <f>350*0</f>
        <v>0</v>
      </c>
      <c r="H814" s="3">
        <f>400*0</f>
        <v>0</v>
      </c>
      <c r="I814" s="3">
        <f>250*0</f>
        <v>0</v>
      </c>
      <c r="J814" s="3">
        <v>0</v>
      </c>
      <c r="K814" s="4">
        <v>0</v>
      </c>
      <c r="L814" s="3">
        <v>0</v>
      </c>
      <c r="M814" s="3">
        <v>306</v>
      </c>
      <c r="N814" s="3">
        <f t="shared" ref="N814:N815" si="435">M814*5500</f>
        <v>1683000</v>
      </c>
      <c r="O814" s="3">
        <v>0</v>
      </c>
      <c r="P814" s="3">
        <v>0</v>
      </c>
      <c r="Q814" s="3">
        <v>0</v>
      </c>
      <c r="R814" s="3">
        <f t="shared" ref="R814:R815" si="436">Q814*3000</f>
        <v>0</v>
      </c>
      <c r="S814" s="3">
        <v>0</v>
      </c>
      <c r="T814" s="3">
        <v>0</v>
      </c>
      <c r="U814" s="3">
        <v>100000</v>
      </c>
      <c r="V814" s="6">
        <f t="shared" ref="V814:V815" si="437">N814/M814</f>
        <v>5500</v>
      </c>
    </row>
    <row r="815" spans="1:22" ht="21.95" customHeight="1" x14ac:dyDescent="0.25">
      <c r="A815" s="40" t="s">
        <v>1045</v>
      </c>
      <c r="B815" s="8" t="s">
        <v>1354</v>
      </c>
      <c r="C815" s="2">
        <f t="shared" si="419"/>
        <v>4904876.5</v>
      </c>
      <c r="D815" s="3">
        <f t="shared" si="434"/>
        <v>186056.5</v>
      </c>
      <c r="E815" s="3">
        <f>350*531.59</f>
        <v>186056.5</v>
      </c>
      <c r="F815" s="3">
        <f>1050*0</f>
        <v>0</v>
      </c>
      <c r="G815" s="3">
        <f>350*0</f>
        <v>0</v>
      </c>
      <c r="H815" s="3">
        <f>500*0</f>
        <v>0</v>
      </c>
      <c r="I815" s="3">
        <f>250*0</f>
        <v>0</v>
      </c>
      <c r="J815" s="3">
        <v>0</v>
      </c>
      <c r="K815" s="4">
        <v>0</v>
      </c>
      <c r="L815" s="3">
        <v>0</v>
      </c>
      <c r="M815" s="3">
        <v>440</v>
      </c>
      <c r="N815" s="3">
        <f t="shared" si="435"/>
        <v>2420000</v>
      </c>
      <c r="O815" s="3">
        <v>0</v>
      </c>
      <c r="P815" s="3">
        <v>0</v>
      </c>
      <c r="Q815" s="3">
        <v>506</v>
      </c>
      <c r="R815" s="3">
        <f t="shared" si="436"/>
        <v>1518000</v>
      </c>
      <c r="S815" s="3">
        <v>680820</v>
      </c>
      <c r="T815" s="3">
        <v>0</v>
      </c>
      <c r="U815" s="3">
        <v>100000</v>
      </c>
      <c r="V815" s="6">
        <f t="shared" si="437"/>
        <v>5500</v>
      </c>
    </row>
    <row r="816" spans="1:22" ht="45" customHeight="1" x14ac:dyDescent="0.25">
      <c r="A816" s="51" t="s">
        <v>74</v>
      </c>
      <c r="B816" s="51"/>
      <c r="C816" s="2">
        <f>SUM(C817:C819)</f>
        <v>15415895</v>
      </c>
      <c r="D816" s="2">
        <f t="shared" ref="D816:U816" si="438">SUM(D817:D819)</f>
        <v>0</v>
      </c>
      <c r="E816" s="2">
        <f t="shared" si="438"/>
        <v>0</v>
      </c>
      <c r="F816" s="2">
        <f t="shared" si="438"/>
        <v>0</v>
      </c>
      <c r="G816" s="2">
        <f t="shared" si="438"/>
        <v>0</v>
      </c>
      <c r="H816" s="2">
        <f t="shared" si="438"/>
        <v>0</v>
      </c>
      <c r="I816" s="2">
        <f t="shared" si="438"/>
        <v>0</v>
      </c>
      <c r="J816" s="2">
        <f t="shared" si="438"/>
        <v>0</v>
      </c>
      <c r="K816" s="14">
        <f t="shared" si="438"/>
        <v>0</v>
      </c>
      <c r="L816" s="2">
        <f t="shared" si="438"/>
        <v>0</v>
      </c>
      <c r="M816" s="2">
        <f t="shared" si="438"/>
        <v>1091.1500000000001</v>
      </c>
      <c r="N816" s="2">
        <f t="shared" si="438"/>
        <v>6001325</v>
      </c>
      <c r="O816" s="2">
        <f t="shared" si="438"/>
        <v>0</v>
      </c>
      <c r="P816" s="2">
        <f t="shared" si="438"/>
        <v>0</v>
      </c>
      <c r="Q816" s="2">
        <f t="shared" si="438"/>
        <v>3138.19</v>
      </c>
      <c r="R816" s="2">
        <f t="shared" si="438"/>
        <v>9414570</v>
      </c>
      <c r="S816" s="2">
        <f t="shared" si="438"/>
        <v>0</v>
      </c>
      <c r="T816" s="2">
        <f t="shared" si="438"/>
        <v>0</v>
      </c>
      <c r="U816" s="2">
        <f t="shared" si="438"/>
        <v>0</v>
      </c>
    </row>
    <row r="817" spans="1:258" ht="21.95" customHeight="1" x14ac:dyDescent="0.25">
      <c r="A817" s="39" t="s">
        <v>1046</v>
      </c>
      <c r="B817" s="8" t="s">
        <v>1176</v>
      </c>
      <c r="C817" s="2">
        <f t="shared" si="419"/>
        <v>9414570</v>
      </c>
      <c r="D817" s="3">
        <f t="shared" ref="D817:D819" si="439">SUM(E817:J817)</f>
        <v>0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11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3138.19</v>
      </c>
      <c r="R817" s="3">
        <f t="shared" ref="R817:R819" si="440">Q817*3000</f>
        <v>9414570</v>
      </c>
      <c r="S817" s="5">
        <v>0</v>
      </c>
      <c r="T817" s="5">
        <v>0</v>
      </c>
      <c r="U817" s="5">
        <v>0</v>
      </c>
      <c r="V817" s="6" t="e">
        <f t="shared" ref="V817:V819" si="441">N817/M817</f>
        <v>#DIV/0!</v>
      </c>
    </row>
    <row r="818" spans="1:258" s="6" customFormat="1" ht="21.95" customHeight="1" x14ac:dyDescent="0.25">
      <c r="A818" s="39" t="s">
        <v>1047</v>
      </c>
      <c r="B818" s="8" t="s">
        <v>72</v>
      </c>
      <c r="C818" s="2">
        <f t="shared" si="419"/>
        <v>3658325</v>
      </c>
      <c r="D818" s="3">
        <f t="shared" si="439"/>
        <v>0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v>0</v>
      </c>
      <c r="K818" s="11">
        <v>0</v>
      </c>
      <c r="L818" s="5">
        <v>0</v>
      </c>
      <c r="M818" s="5">
        <v>665.15</v>
      </c>
      <c r="N818" s="3">
        <f t="shared" ref="N818:N819" si="442">M818*5500</f>
        <v>3658325</v>
      </c>
      <c r="O818" s="5">
        <v>0</v>
      </c>
      <c r="P818" s="5">
        <v>0</v>
      </c>
      <c r="Q818" s="5">
        <v>0</v>
      </c>
      <c r="R818" s="3">
        <f t="shared" si="440"/>
        <v>0</v>
      </c>
      <c r="S818" s="5">
        <v>0</v>
      </c>
      <c r="T818" s="5">
        <v>0</v>
      </c>
      <c r="U818" s="5">
        <v>0</v>
      </c>
      <c r="V818" s="6">
        <f t="shared" si="441"/>
        <v>5500</v>
      </c>
    </row>
    <row r="819" spans="1:258" s="6" customFormat="1" ht="21.95" customHeight="1" x14ac:dyDescent="0.25">
      <c r="A819" s="39" t="s">
        <v>1048</v>
      </c>
      <c r="B819" s="8" t="s">
        <v>1344</v>
      </c>
      <c r="C819" s="2">
        <f t="shared" si="419"/>
        <v>2343000</v>
      </c>
      <c r="D819" s="3">
        <f t="shared" si="439"/>
        <v>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11">
        <v>0</v>
      </c>
      <c r="L819" s="5">
        <v>0</v>
      </c>
      <c r="M819" s="5">
        <v>426</v>
      </c>
      <c r="N819" s="3">
        <f t="shared" si="442"/>
        <v>2343000</v>
      </c>
      <c r="O819" s="5">
        <v>0</v>
      </c>
      <c r="P819" s="5">
        <v>0</v>
      </c>
      <c r="Q819" s="5">
        <v>0</v>
      </c>
      <c r="R819" s="3">
        <f t="shared" si="440"/>
        <v>0</v>
      </c>
      <c r="S819" s="5">
        <v>0</v>
      </c>
      <c r="T819" s="5">
        <v>0</v>
      </c>
      <c r="U819" s="5">
        <v>0</v>
      </c>
      <c r="V819" s="6">
        <f t="shared" si="441"/>
        <v>5500</v>
      </c>
    </row>
    <row r="820" spans="1:258" ht="45" customHeight="1" x14ac:dyDescent="0.25">
      <c r="A820" s="51" t="s">
        <v>2</v>
      </c>
      <c r="B820" s="51"/>
      <c r="C820" s="2">
        <f>SUM(C821:C822)</f>
        <v>2465025</v>
      </c>
      <c r="D820" s="2">
        <f t="shared" ref="D820:U820" si="443">SUM(D821:D822)</f>
        <v>2265025</v>
      </c>
      <c r="E820" s="2">
        <f t="shared" si="443"/>
        <v>535010</v>
      </c>
      <c r="F820" s="2">
        <f t="shared" si="443"/>
        <v>643965</v>
      </c>
      <c r="G820" s="2">
        <f t="shared" si="443"/>
        <v>458580</v>
      </c>
      <c r="H820" s="2">
        <f t="shared" si="443"/>
        <v>245319.99999999997</v>
      </c>
      <c r="I820" s="2">
        <f t="shared" si="443"/>
        <v>382150</v>
      </c>
      <c r="J820" s="2">
        <f t="shared" si="443"/>
        <v>0</v>
      </c>
      <c r="K820" s="14">
        <f t="shared" si="443"/>
        <v>0</v>
      </c>
      <c r="L820" s="2">
        <f t="shared" si="443"/>
        <v>0</v>
      </c>
      <c r="M820" s="2">
        <f t="shared" si="443"/>
        <v>0</v>
      </c>
      <c r="N820" s="2">
        <f t="shared" si="443"/>
        <v>0</v>
      </c>
      <c r="O820" s="2">
        <f t="shared" si="443"/>
        <v>0</v>
      </c>
      <c r="P820" s="2">
        <f t="shared" si="443"/>
        <v>0</v>
      </c>
      <c r="Q820" s="2">
        <f t="shared" si="443"/>
        <v>0</v>
      </c>
      <c r="R820" s="2">
        <f t="shared" si="443"/>
        <v>0</v>
      </c>
      <c r="S820" s="2">
        <f t="shared" si="443"/>
        <v>0</v>
      </c>
      <c r="T820" s="2">
        <f t="shared" si="443"/>
        <v>0</v>
      </c>
      <c r="U820" s="2">
        <f t="shared" si="443"/>
        <v>200000</v>
      </c>
    </row>
    <row r="821" spans="1:258" s="17" customFormat="1" ht="21.95" customHeight="1" x14ac:dyDescent="0.25">
      <c r="A821" s="39" t="s">
        <v>1049</v>
      </c>
      <c r="B821" s="8" t="s">
        <v>75</v>
      </c>
      <c r="C821" s="2">
        <f t="shared" si="419"/>
        <v>923770</v>
      </c>
      <c r="D821" s="3">
        <f t="shared" ref="D821:D822" si="444">SUM(E821:J821)</f>
        <v>823770</v>
      </c>
      <c r="E821" s="3">
        <f>350*915.3</f>
        <v>320355</v>
      </c>
      <c r="F821" s="3">
        <f>1050*0</f>
        <v>0</v>
      </c>
      <c r="G821" s="3">
        <f>300*915.3</f>
        <v>274590</v>
      </c>
      <c r="H821" s="3">
        <f>400*0</f>
        <v>0</v>
      </c>
      <c r="I821" s="3">
        <f>250*915.3</f>
        <v>228825</v>
      </c>
      <c r="J821" s="3">
        <f>350*0</f>
        <v>0</v>
      </c>
      <c r="K821" s="4">
        <v>0</v>
      </c>
      <c r="L821" s="3">
        <v>0</v>
      </c>
      <c r="M821" s="5">
        <v>0</v>
      </c>
      <c r="N821" s="5">
        <v>0</v>
      </c>
      <c r="O821" s="3">
        <v>0</v>
      </c>
      <c r="P821" s="3">
        <v>0</v>
      </c>
      <c r="Q821" s="3">
        <v>0</v>
      </c>
      <c r="R821" s="3">
        <f t="shared" ref="R821:R822" si="445">Q821*3000</f>
        <v>0</v>
      </c>
      <c r="S821" s="3">
        <v>0</v>
      </c>
      <c r="T821" s="3">
        <v>0</v>
      </c>
      <c r="U821" s="3">
        <v>100000</v>
      </c>
      <c r="V821" s="6" t="e">
        <f t="shared" ref="V821:V822" si="446">N821/M821</f>
        <v>#DIV/0!</v>
      </c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  <c r="CJ821" s="7"/>
      <c r="CK821" s="7"/>
      <c r="CL821" s="7"/>
      <c r="CM821" s="7"/>
      <c r="CN821" s="7"/>
      <c r="CO821" s="7"/>
      <c r="CP821" s="7"/>
      <c r="CQ821" s="7"/>
      <c r="CR821" s="7"/>
      <c r="CS821" s="7"/>
      <c r="CT821" s="7"/>
      <c r="CU821" s="7"/>
      <c r="CV821" s="7"/>
      <c r="CW821" s="7"/>
      <c r="CX821" s="7"/>
      <c r="CY821" s="7"/>
      <c r="CZ821" s="7"/>
      <c r="DA821" s="7"/>
      <c r="DB821" s="7"/>
      <c r="DC821" s="7"/>
      <c r="DD821" s="7"/>
      <c r="DE821" s="7"/>
      <c r="DF821" s="7"/>
      <c r="DG821" s="7"/>
      <c r="DH821" s="7"/>
      <c r="DI821" s="7"/>
      <c r="DJ821" s="7"/>
      <c r="DK821" s="7"/>
      <c r="DL821" s="7"/>
      <c r="DM821" s="7"/>
      <c r="DN821" s="7"/>
      <c r="DO821" s="7"/>
      <c r="DP821" s="7"/>
      <c r="DQ821" s="7"/>
      <c r="DR821" s="7"/>
      <c r="DS821" s="7"/>
      <c r="DT821" s="7"/>
      <c r="DU821" s="7"/>
      <c r="DV821" s="7"/>
      <c r="DW821" s="7"/>
      <c r="DX821" s="7"/>
      <c r="DY821" s="7"/>
      <c r="DZ821" s="7"/>
      <c r="EA821" s="7"/>
      <c r="EB821" s="7"/>
      <c r="EC821" s="7"/>
      <c r="ED821" s="7"/>
      <c r="EE821" s="7"/>
      <c r="EF821" s="7"/>
      <c r="EG821" s="7"/>
      <c r="EH821" s="7"/>
      <c r="EI821" s="7"/>
      <c r="EJ821" s="7"/>
      <c r="EK821" s="7"/>
      <c r="EL821" s="7"/>
      <c r="EM821" s="7"/>
      <c r="EN821" s="7"/>
      <c r="EO821" s="7"/>
      <c r="EP821" s="7"/>
      <c r="EQ821" s="7"/>
      <c r="ER821" s="7"/>
      <c r="ES821" s="7"/>
      <c r="ET821" s="7"/>
      <c r="EU821" s="7"/>
      <c r="EV821" s="7"/>
      <c r="EW821" s="7"/>
      <c r="EX821" s="7"/>
      <c r="EY821" s="7"/>
      <c r="EZ821" s="7"/>
      <c r="FA821" s="7"/>
      <c r="FB821" s="7"/>
      <c r="FC821" s="7"/>
      <c r="FD821" s="7"/>
      <c r="FE821" s="7"/>
      <c r="FF821" s="7"/>
      <c r="FG821" s="7"/>
      <c r="FH821" s="7"/>
      <c r="FI821" s="7"/>
      <c r="FJ821" s="7"/>
      <c r="FK821" s="7"/>
      <c r="FL821" s="7"/>
      <c r="FM821" s="7"/>
      <c r="FN821" s="7"/>
      <c r="FO821" s="7"/>
      <c r="FP821" s="7"/>
      <c r="FQ821" s="7"/>
      <c r="FR821" s="7"/>
      <c r="FS821" s="7"/>
      <c r="FT821" s="7"/>
      <c r="FU821" s="7"/>
      <c r="FV821" s="7"/>
      <c r="FW821" s="7"/>
      <c r="FX821" s="7"/>
      <c r="FY821" s="7"/>
      <c r="FZ821" s="7"/>
      <c r="GA821" s="7"/>
      <c r="GB821" s="7"/>
      <c r="GC821" s="7"/>
      <c r="GD821" s="7"/>
      <c r="GE821" s="7"/>
      <c r="GF821" s="7"/>
      <c r="GG821" s="7"/>
      <c r="GH821" s="7"/>
      <c r="GI821" s="7"/>
      <c r="GJ821" s="7"/>
      <c r="GK821" s="7"/>
      <c r="GL821" s="7"/>
      <c r="GM821" s="7"/>
      <c r="GN821" s="7"/>
      <c r="GO821" s="7"/>
      <c r="GP821" s="7"/>
      <c r="GQ821" s="7"/>
      <c r="GR821" s="7"/>
      <c r="GS821" s="7"/>
      <c r="GT821" s="7"/>
      <c r="GU821" s="7"/>
      <c r="GV821" s="7"/>
      <c r="GW821" s="7"/>
      <c r="GX821" s="7"/>
      <c r="GY821" s="7"/>
      <c r="GZ821" s="7"/>
      <c r="HA821" s="7"/>
      <c r="HB821" s="7"/>
      <c r="HC821" s="7"/>
      <c r="HD821" s="7"/>
      <c r="HE821" s="7"/>
      <c r="HF821" s="7"/>
      <c r="HG821" s="7"/>
      <c r="HH821" s="7"/>
      <c r="HI821" s="7"/>
      <c r="HJ821" s="7"/>
      <c r="HK821" s="7"/>
      <c r="HL821" s="7"/>
      <c r="HM821" s="7"/>
      <c r="HN821" s="7"/>
      <c r="HO821" s="7"/>
      <c r="HP821" s="7"/>
      <c r="HQ821" s="7"/>
      <c r="HR821" s="7"/>
      <c r="HS821" s="7"/>
      <c r="HT821" s="7"/>
      <c r="HU821" s="7"/>
      <c r="HV821" s="7"/>
      <c r="HW821" s="7"/>
      <c r="HX821" s="7"/>
      <c r="HY821" s="7"/>
      <c r="HZ821" s="7"/>
      <c r="IA821" s="7"/>
      <c r="IB821" s="7"/>
      <c r="IC821" s="7"/>
      <c r="ID821" s="7"/>
      <c r="IE821" s="7"/>
      <c r="IF821" s="7"/>
      <c r="IG821" s="7"/>
      <c r="IH821" s="7"/>
      <c r="II821" s="7"/>
      <c r="IJ821" s="7"/>
      <c r="IK821" s="7"/>
      <c r="IL821" s="7"/>
      <c r="IM821" s="7"/>
      <c r="IN821" s="7"/>
      <c r="IO821" s="7"/>
      <c r="IP821" s="7"/>
      <c r="IQ821" s="7"/>
      <c r="IR821" s="7"/>
      <c r="IS821" s="7"/>
      <c r="IT821" s="7"/>
      <c r="IU821" s="7"/>
      <c r="IV821" s="7"/>
      <c r="IW821" s="7"/>
      <c r="IX821" s="7"/>
    </row>
    <row r="822" spans="1:258" ht="21.95" customHeight="1" x14ac:dyDescent="0.25">
      <c r="A822" s="39" t="s">
        <v>1050</v>
      </c>
      <c r="B822" s="8" t="s">
        <v>76</v>
      </c>
      <c r="C822" s="2">
        <f t="shared" si="419"/>
        <v>1541255</v>
      </c>
      <c r="D822" s="3">
        <f t="shared" si="444"/>
        <v>1441255</v>
      </c>
      <c r="E822" s="3">
        <f>350*613.3</f>
        <v>214654.99999999997</v>
      </c>
      <c r="F822" s="3">
        <f>1050*613.3</f>
        <v>643965</v>
      </c>
      <c r="G822" s="3">
        <f>300*613.3</f>
        <v>183990</v>
      </c>
      <c r="H822" s="3">
        <f>400*613.3</f>
        <v>245319.99999999997</v>
      </c>
      <c r="I822" s="3">
        <f>250*613.3</f>
        <v>153325</v>
      </c>
      <c r="J822" s="3">
        <f>350*0</f>
        <v>0</v>
      </c>
      <c r="K822" s="11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3">
        <f t="shared" si="445"/>
        <v>0</v>
      </c>
      <c r="S822" s="5">
        <v>0</v>
      </c>
      <c r="T822" s="3">
        <v>0</v>
      </c>
      <c r="U822" s="5">
        <v>100000</v>
      </c>
      <c r="V822" s="6" t="e">
        <f t="shared" si="446"/>
        <v>#DIV/0!</v>
      </c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  <c r="CH822" s="6"/>
      <c r="CI822" s="6"/>
      <c r="CJ822" s="6"/>
      <c r="CK822" s="6"/>
      <c r="CL822" s="6"/>
      <c r="CM822" s="6"/>
      <c r="CN822" s="6"/>
      <c r="CO822" s="6"/>
      <c r="CP822" s="6"/>
      <c r="CQ822" s="6"/>
      <c r="CR822" s="6"/>
      <c r="CS822" s="6"/>
      <c r="CT822" s="6"/>
      <c r="CU822" s="6"/>
      <c r="CV822" s="6"/>
      <c r="CW822" s="6"/>
      <c r="CX822" s="6"/>
      <c r="CY822" s="6"/>
      <c r="CZ822" s="6"/>
      <c r="DA822" s="6"/>
      <c r="DB822" s="6"/>
      <c r="DC822" s="6"/>
      <c r="DD822" s="6"/>
      <c r="DE822" s="6"/>
      <c r="DF822" s="6"/>
      <c r="DG822" s="6"/>
      <c r="DH822" s="6"/>
      <c r="DI822" s="6"/>
      <c r="DJ822" s="6"/>
      <c r="DK822" s="6"/>
      <c r="DL822" s="6"/>
      <c r="DM822" s="6"/>
      <c r="DN822" s="6"/>
      <c r="DO822" s="6"/>
      <c r="DP822" s="6"/>
      <c r="DQ822" s="6"/>
      <c r="DR822" s="6"/>
      <c r="DS822" s="6"/>
      <c r="DT822" s="6"/>
      <c r="DU822" s="6"/>
      <c r="DV822" s="6"/>
      <c r="DW822" s="6"/>
      <c r="DX822" s="6"/>
      <c r="DY822" s="6"/>
      <c r="DZ822" s="6"/>
      <c r="EA822" s="6"/>
      <c r="EB822" s="6"/>
      <c r="EC822" s="6"/>
      <c r="ED822" s="6"/>
      <c r="EE822" s="6"/>
      <c r="EF822" s="6"/>
      <c r="EG822" s="6"/>
      <c r="EH822" s="6"/>
      <c r="EI822" s="6"/>
      <c r="EJ822" s="6"/>
      <c r="EK822" s="6"/>
      <c r="EL822" s="6"/>
      <c r="EM822" s="6"/>
      <c r="EN822" s="6"/>
      <c r="EO822" s="6"/>
      <c r="EP822" s="6"/>
      <c r="EQ822" s="6"/>
      <c r="ER822" s="6"/>
      <c r="ES822" s="6"/>
      <c r="ET822" s="6"/>
      <c r="EU822" s="6"/>
      <c r="EV822" s="6"/>
      <c r="EW822" s="6"/>
      <c r="EX822" s="6"/>
      <c r="EY822" s="6"/>
      <c r="EZ822" s="6"/>
      <c r="FA822" s="6"/>
      <c r="FB822" s="6"/>
      <c r="FC822" s="6"/>
      <c r="FD822" s="6"/>
      <c r="FE822" s="6"/>
      <c r="FF822" s="6"/>
      <c r="FG822" s="6"/>
      <c r="FH822" s="6"/>
      <c r="FI822" s="6"/>
      <c r="FJ822" s="6"/>
      <c r="FK822" s="6"/>
      <c r="FL822" s="6"/>
      <c r="FM822" s="6"/>
      <c r="FN822" s="6"/>
      <c r="FO822" s="6"/>
      <c r="FP822" s="6"/>
      <c r="FQ822" s="6"/>
      <c r="FR822" s="6"/>
      <c r="FS822" s="6"/>
      <c r="FT822" s="6"/>
      <c r="FU822" s="6"/>
      <c r="FV822" s="6"/>
      <c r="FW822" s="6"/>
      <c r="FX822" s="6"/>
      <c r="FY822" s="6"/>
      <c r="FZ822" s="6"/>
      <c r="GA822" s="6"/>
      <c r="GB822" s="6"/>
      <c r="GC822" s="6"/>
      <c r="GD822" s="6"/>
      <c r="GE822" s="6"/>
      <c r="GF822" s="6"/>
      <c r="GG822" s="6"/>
      <c r="GH822" s="6"/>
      <c r="GI822" s="6"/>
      <c r="GJ822" s="6"/>
      <c r="GK822" s="6"/>
      <c r="GL822" s="6"/>
      <c r="GM822" s="6"/>
      <c r="GN822" s="6"/>
      <c r="GO822" s="6"/>
      <c r="GP822" s="6"/>
      <c r="GQ822" s="6"/>
      <c r="GR822" s="6"/>
      <c r="GS822" s="6"/>
      <c r="GT822" s="6"/>
      <c r="GU822" s="6"/>
      <c r="GV822" s="6"/>
      <c r="GW822" s="6"/>
      <c r="GX822" s="6"/>
      <c r="GY822" s="6"/>
      <c r="GZ822" s="6"/>
      <c r="HA822" s="6"/>
      <c r="HB822" s="6"/>
      <c r="HC822" s="6"/>
      <c r="HD822" s="6"/>
      <c r="HE822" s="6"/>
      <c r="HF822" s="6"/>
      <c r="HG822" s="6"/>
      <c r="HH822" s="6"/>
      <c r="HI822" s="6"/>
      <c r="HJ822" s="6"/>
      <c r="HK822" s="6"/>
      <c r="HL822" s="6"/>
      <c r="HM822" s="6"/>
      <c r="HN822" s="6"/>
      <c r="HO822" s="6"/>
      <c r="HP822" s="6"/>
      <c r="HQ822" s="6"/>
      <c r="HR822" s="6"/>
      <c r="HS822" s="6"/>
      <c r="HT822" s="6"/>
      <c r="HU822" s="6"/>
      <c r="HV822" s="6"/>
      <c r="HW822" s="6"/>
      <c r="HX822" s="6"/>
      <c r="HY822" s="6"/>
      <c r="HZ822" s="6"/>
      <c r="IA822" s="6"/>
      <c r="IB822" s="6"/>
      <c r="IC822" s="6"/>
      <c r="ID822" s="6"/>
      <c r="IE822" s="6"/>
      <c r="IF822" s="6"/>
      <c r="IG822" s="6"/>
      <c r="IH822" s="6"/>
      <c r="II822" s="6"/>
      <c r="IJ822" s="6"/>
      <c r="IK822" s="6"/>
      <c r="IL822" s="6"/>
      <c r="IM822" s="6"/>
      <c r="IN822" s="6"/>
      <c r="IO822" s="6"/>
      <c r="IP822" s="6"/>
      <c r="IQ822" s="6"/>
      <c r="IR822" s="6"/>
      <c r="IS822" s="6"/>
      <c r="IT822" s="6"/>
      <c r="IU822" s="6"/>
      <c r="IV822" s="6"/>
      <c r="IW822" s="6"/>
      <c r="IX822" s="6"/>
    </row>
    <row r="823" spans="1:258" ht="45" customHeight="1" x14ac:dyDescent="0.25">
      <c r="A823" s="51" t="s">
        <v>81</v>
      </c>
      <c r="B823" s="51"/>
      <c r="C823" s="2">
        <f>SUM(C824:C825)</f>
        <v>2060850</v>
      </c>
      <c r="D823" s="2">
        <f t="shared" ref="D823:U823" si="447">SUM(D824:D825)</f>
        <v>0</v>
      </c>
      <c r="E823" s="2">
        <f t="shared" si="447"/>
        <v>0</v>
      </c>
      <c r="F823" s="2">
        <f t="shared" si="447"/>
        <v>0</v>
      </c>
      <c r="G823" s="2">
        <f t="shared" si="447"/>
        <v>0</v>
      </c>
      <c r="H823" s="2">
        <f t="shared" si="447"/>
        <v>0</v>
      </c>
      <c r="I823" s="2">
        <f t="shared" si="447"/>
        <v>0</v>
      </c>
      <c r="J823" s="2">
        <f t="shared" si="447"/>
        <v>0</v>
      </c>
      <c r="K823" s="14">
        <f t="shared" si="447"/>
        <v>0</v>
      </c>
      <c r="L823" s="2">
        <f t="shared" si="447"/>
        <v>0</v>
      </c>
      <c r="M823" s="2">
        <f t="shared" si="447"/>
        <v>374.7</v>
      </c>
      <c r="N823" s="2">
        <f t="shared" si="447"/>
        <v>2060850</v>
      </c>
      <c r="O823" s="2">
        <f t="shared" si="447"/>
        <v>0</v>
      </c>
      <c r="P823" s="2">
        <f t="shared" si="447"/>
        <v>0</v>
      </c>
      <c r="Q823" s="2">
        <f t="shared" si="447"/>
        <v>0</v>
      </c>
      <c r="R823" s="2">
        <f t="shared" si="447"/>
        <v>0</v>
      </c>
      <c r="S823" s="2">
        <f t="shared" si="447"/>
        <v>0</v>
      </c>
      <c r="T823" s="2">
        <f t="shared" si="447"/>
        <v>0</v>
      </c>
      <c r="U823" s="2">
        <f t="shared" si="447"/>
        <v>0</v>
      </c>
    </row>
    <row r="824" spans="1:258" ht="21.95" customHeight="1" x14ac:dyDescent="0.25">
      <c r="A824" s="40" t="s">
        <v>1051</v>
      </c>
      <c r="B824" s="1" t="s">
        <v>82</v>
      </c>
      <c r="C824" s="2">
        <f t="shared" si="419"/>
        <v>1015849.9999999999</v>
      </c>
      <c r="D824" s="3">
        <f t="shared" ref="D824:D825" si="448">SUM(E824:J824)</f>
        <v>0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0</v>
      </c>
      <c r="K824" s="4">
        <v>0</v>
      </c>
      <c r="L824" s="3">
        <v>0</v>
      </c>
      <c r="M824" s="3">
        <v>184.7</v>
      </c>
      <c r="N824" s="3">
        <f t="shared" ref="N824:N825" si="449">M824*5500</f>
        <v>1015849.9999999999</v>
      </c>
      <c r="O824" s="3">
        <v>0</v>
      </c>
      <c r="P824" s="3">
        <v>0</v>
      </c>
      <c r="Q824" s="3">
        <v>0</v>
      </c>
      <c r="R824" s="3">
        <f t="shared" ref="R824:R825" si="450">Q824*3000</f>
        <v>0</v>
      </c>
      <c r="S824" s="3">
        <v>0</v>
      </c>
      <c r="T824" s="3">
        <v>0</v>
      </c>
      <c r="U824" s="3">
        <v>0</v>
      </c>
      <c r="V824" s="6">
        <f t="shared" ref="V824:V825" si="451">N824/M824</f>
        <v>5500</v>
      </c>
    </row>
    <row r="825" spans="1:258" s="17" customFormat="1" ht="21.95" customHeight="1" x14ac:dyDescent="0.25">
      <c r="A825" s="40" t="s">
        <v>1052</v>
      </c>
      <c r="B825" s="1" t="s">
        <v>83</v>
      </c>
      <c r="C825" s="2">
        <f t="shared" si="419"/>
        <v>1045000</v>
      </c>
      <c r="D825" s="3">
        <f t="shared" si="448"/>
        <v>0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  <c r="J825" s="3">
        <v>0</v>
      </c>
      <c r="K825" s="4">
        <v>0</v>
      </c>
      <c r="L825" s="3">
        <v>0</v>
      </c>
      <c r="M825" s="3">
        <v>190</v>
      </c>
      <c r="N825" s="3">
        <f t="shared" si="449"/>
        <v>1045000</v>
      </c>
      <c r="O825" s="3">
        <v>0</v>
      </c>
      <c r="P825" s="3">
        <v>0</v>
      </c>
      <c r="Q825" s="3">
        <v>0</v>
      </c>
      <c r="R825" s="3">
        <f t="shared" si="450"/>
        <v>0</v>
      </c>
      <c r="S825" s="3">
        <v>0</v>
      </c>
      <c r="T825" s="3">
        <v>0</v>
      </c>
      <c r="U825" s="3">
        <v>0</v>
      </c>
      <c r="V825" s="6">
        <f t="shared" si="451"/>
        <v>5500</v>
      </c>
    </row>
    <row r="826" spans="1:258" ht="45" customHeight="1" x14ac:dyDescent="0.25">
      <c r="A826" s="51" t="s">
        <v>832</v>
      </c>
      <c r="B826" s="51"/>
      <c r="C826" s="2">
        <f>SUM(C827:C829)</f>
        <v>11442633</v>
      </c>
      <c r="D826" s="2">
        <f t="shared" ref="D826:U826" si="452">SUM(D827:D829)</f>
        <v>3267333</v>
      </c>
      <c r="E826" s="2">
        <f t="shared" si="452"/>
        <v>571193</v>
      </c>
      <c r="F826" s="2">
        <f t="shared" si="452"/>
        <v>1302399</v>
      </c>
      <c r="G826" s="2">
        <f t="shared" si="452"/>
        <v>489594</v>
      </c>
      <c r="H826" s="2">
        <f t="shared" si="452"/>
        <v>496152</v>
      </c>
      <c r="I826" s="2">
        <f t="shared" si="452"/>
        <v>407995</v>
      </c>
      <c r="J826" s="2">
        <f t="shared" si="452"/>
        <v>0</v>
      </c>
      <c r="K826" s="14">
        <f t="shared" si="452"/>
        <v>0</v>
      </c>
      <c r="L826" s="2">
        <f t="shared" si="452"/>
        <v>0</v>
      </c>
      <c r="M826" s="2">
        <f t="shared" si="452"/>
        <v>1128.5999999999999</v>
      </c>
      <c r="N826" s="2">
        <f t="shared" si="452"/>
        <v>6207300</v>
      </c>
      <c r="O826" s="2">
        <f t="shared" si="452"/>
        <v>0</v>
      </c>
      <c r="P826" s="2">
        <f t="shared" si="452"/>
        <v>0</v>
      </c>
      <c r="Q826" s="2">
        <f t="shared" si="452"/>
        <v>556</v>
      </c>
      <c r="R826" s="2">
        <f t="shared" si="452"/>
        <v>1668000</v>
      </c>
      <c r="S826" s="2">
        <f t="shared" si="452"/>
        <v>0</v>
      </c>
      <c r="T826" s="2">
        <f t="shared" si="452"/>
        <v>0</v>
      </c>
      <c r="U826" s="2">
        <f t="shared" si="452"/>
        <v>300000</v>
      </c>
    </row>
    <row r="827" spans="1:258" ht="21.95" customHeight="1" x14ac:dyDescent="0.25">
      <c r="A827" s="40" t="s">
        <v>1053</v>
      </c>
      <c r="B827" s="8" t="s">
        <v>85</v>
      </c>
      <c r="C827" s="2">
        <f t="shared" si="419"/>
        <v>2055139.9999999998</v>
      </c>
      <c r="D827" s="3">
        <f t="shared" ref="D827:D829" si="453">SUM(E827:J827)</f>
        <v>352440</v>
      </c>
      <c r="E827" s="3">
        <f>350*391.6</f>
        <v>137060</v>
      </c>
      <c r="F827" s="3">
        <v>0</v>
      </c>
      <c r="G827" s="3">
        <f>300*391.6</f>
        <v>117480</v>
      </c>
      <c r="H827" s="3">
        <v>0</v>
      </c>
      <c r="I827" s="3">
        <f>250*391.6</f>
        <v>97900</v>
      </c>
      <c r="J827" s="3">
        <f>350*0</f>
        <v>0</v>
      </c>
      <c r="K827" s="4">
        <v>0</v>
      </c>
      <c r="L827" s="3">
        <v>0</v>
      </c>
      <c r="M827" s="5">
        <v>291.39999999999998</v>
      </c>
      <c r="N827" s="3">
        <f t="shared" ref="N827:N829" si="454">M827*5500</f>
        <v>1602699.9999999998</v>
      </c>
      <c r="O827" s="3">
        <v>0</v>
      </c>
      <c r="P827" s="3">
        <v>0</v>
      </c>
      <c r="Q827" s="3">
        <v>0</v>
      </c>
      <c r="R827" s="3">
        <f t="shared" ref="R827:R829" si="455">Q827*3000</f>
        <v>0</v>
      </c>
      <c r="S827" s="3">
        <v>0</v>
      </c>
      <c r="T827" s="3">
        <v>0</v>
      </c>
      <c r="U827" s="3">
        <v>100000</v>
      </c>
      <c r="V827" s="6">
        <f t="shared" ref="V827:V829" si="456">N827/M827</f>
        <v>5500</v>
      </c>
    </row>
    <row r="828" spans="1:258" ht="21.95" customHeight="1" x14ac:dyDescent="0.25">
      <c r="A828" s="40" t="s">
        <v>1054</v>
      </c>
      <c r="B828" s="8" t="s">
        <v>1343</v>
      </c>
      <c r="C828" s="2">
        <f t="shared" si="419"/>
        <v>6294980</v>
      </c>
      <c r="D828" s="3">
        <f t="shared" si="453"/>
        <v>1754980</v>
      </c>
      <c r="E828" s="3">
        <f>350*746.8</f>
        <v>261379.99999999997</v>
      </c>
      <c r="F828" s="3">
        <f>1050*746.8</f>
        <v>784140</v>
      </c>
      <c r="G828" s="3">
        <f>300*746.8</f>
        <v>224040</v>
      </c>
      <c r="H828" s="3">
        <f>400*746.8</f>
        <v>298720</v>
      </c>
      <c r="I828" s="3">
        <f>250*746.8</f>
        <v>186700</v>
      </c>
      <c r="J828" s="3">
        <v>0</v>
      </c>
      <c r="K828" s="4">
        <v>0</v>
      </c>
      <c r="L828" s="3">
        <v>0</v>
      </c>
      <c r="M828" s="5">
        <v>504</v>
      </c>
      <c r="N828" s="3">
        <f t="shared" si="454"/>
        <v>2772000</v>
      </c>
      <c r="O828" s="3">
        <v>0</v>
      </c>
      <c r="P828" s="3">
        <v>0</v>
      </c>
      <c r="Q828" s="3">
        <v>556</v>
      </c>
      <c r="R828" s="3">
        <f t="shared" si="455"/>
        <v>1668000</v>
      </c>
      <c r="S828" s="3">
        <v>0</v>
      </c>
      <c r="T828" s="3">
        <v>0</v>
      </c>
      <c r="U828" s="3">
        <v>100000</v>
      </c>
      <c r="V828" s="6">
        <f t="shared" si="456"/>
        <v>5500</v>
      </c>
    </row>
    <row r="829" spans="1:258" ht="21.95" customHeight="1" x14ac:dyDescent="0.25">
      <c r="A829" s="40" t="s">
        <v>1055</v>
      </c>
      <c r="B829" s="8" t="s">
        <v>86</v>
      </c>
      <c r="C829" s="2">
        <f t="shared" si="419"/>
        <v>3092513</v>
      </c>
      <c r="D829" s="3">
        <f t="shared" si="453"/>
        <v>1159913</v>
      </c>
      <c r="E829" s="3">
        <f>350*493.58</f>
        <v>172753</v>
      </c>
      <c r="F829" s="3">
        <f>1050*493.58</f>
        <v>518259</v>
      </c>
      <c r="G829" s="3">
        <f>300*493.58</f>
        <v>148074</v>
      </c>
      <c r="H829" s="3">
        <f>400*493.58</f>
        <v>197432</v>
      </c>
      <c r="I829" s="3">
        <f>250*493.58</f>
        <v>123395</v>
      </c>
      <c r="J829" s="3">
        <v>0</v>
      </c>
      <c r="K829" s="4">
        <v>0</v>
      </c>
      <c r="L829" s="3">
        <v>0</v>
      </c>
      <c r="M829" s="5">
        <v>333.2</v>
      </c>
      <c r="N829" s="3">
        <f t="shared" si="454"/>
        <v>1832600</v>
      </c>
      <c r="O829" s="3">
        <v>0</v>
      </c>
      <c r="P829" s="3">
        <v>0</v>
      </c>
      <c r="Q829" s="3">
        <v>0</v>
      </c>
      <c r="R829" s="3">
        <f t="shared" si="455"/>
        <v>0</v>
      </c>
      <c r="S829" s="3">
        <v>0</v>
      </c>
      <c r="T829" s="3">
        <v>0</v>
      </c>
      <c r="U829" s="3">
        <v>100000</v>
      </c>
      <c r="V829" s="6">
        <f t="shared" si="456"/>
        <v>5500</v>
      </c>
    </row>
    <row r="830" spans="1:258" ht="45" customHeight="1" x14ac:dyDescent="0.25">
      <c r="A830" s="51" t="s">
        <v>1161</v>
      </c>
      <c r="B830" s="51"/>
      <c r="C830" s="2">
        <f>SUM(C831)</f>
        <v>3873617.4000000004</v>
      </c>
      <c r="D830" s="2">
        <f t="shared" ref="D830:U830" si="457">SUM(D831)</f>
        <v>0</v>
      </c>
      <c r="E830" s="2">
        <f t="shared" si="457"/>
        <v>0</v>
      </c>
      <c r="F830" s="2">
        <f t="shared" si="457"/>
        <v>0</v>
      </c>
      <c r="G830" s="2">
        <f t="shared" si="457"/>
        <v>0</v>
      </c>
      <c r="H830" s="2">
        <f t="shared" si="457"/>
        <v>0</v>
      </c>
      <c r="I830" s="2">
        <f t="shared" si="457"/>
        <v>0</v>
      </c>
      <c r="J830" s="2">
        <f t="shared" si="457"/>
        <v>0</v>
      </c>
      <c r="K830" s="14">
        <f t="shared" si="457"/>
        <v>0</v>
      </c>
      <c r="L830" s="2">
        <f t="shared" si="457"/>
        <v>0</v>
      </c>
      <c r="M830" s="2">
        <f t="shared" si="457"/>
        <v>1050.9000000000001</v>
      </c>
      <c r="N830" s="2">
        <f t="shared" si="457"/>
        <v>3873617.4000000004</v>
      </c>
      <c r="O830" s="2">
        <f t="shared" si="457"/>
        <v>0</v>
      </c>
      <c r="P830" s="2">
        <f t="shared" si="457"/>
        <v>0</v>
      </c>
      <c r="Q830" s="2">
        <f t="shared" si="457"/>
        <v>0</v>
      </c>
      <c r="R830" s="2">
        <f t="shared" si="457"/>
        <v>0</v>
      </c>
      <c r="S830" s="2">
        <f t="shared" si="457"/>
        <v>0</v>
      </c>
      <c r="T830" s="2">
        <f t="shared" si="457"/>
        <v>0</v>
      </c>
      <c r="U830" s="2">
        <f t="shared" si="457"/>
        <v>0</v>
      </c>
      <c r="V830" s="18">
        <f>C830</f>
        <v>3873617.4000000004</v>
      </c>
    </row>
    <row r="831" spans="1:258" ht="21.95" customHeight="1" x14ac:dyDescent="0.25">
      <c r="A831" s="40" t="s">
        <v>1632</v>
      </c>
      <c r="B831" s="8" t="s">
        <v>1162</v>
      </c>
      <c r="C831" s="2">
        <f t="shared" si="419"/>
        <v>3873617.4000000004</v>
      </c>
      <c r="D831" s="3">
        <f t="shared" ref="D831" si="458">SUM(E831:J831)</f>
        <v>0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  <c r="K831" s="4">
        <v>0</v>
      </c>
      <c r="L831" s="3">
        <v>0</v>
      </c>
      <c r="M831" s="5">
        <v>1050.9000000000001</v>
      </c>
      <c r="N831" s="3">
        <f>M831*3686</f>
        <v>3873617.4000000004</v>
      </c>
      <c r="O831" s="3">
        <v>0</v>
      </c>
      <c r="P831" s="3">
        <v>0</v>
      </c>
      <c r="Q831" s="3">
        <v>0</v>
      </c>
      <c r="R831" s="3">
        <f>Q831*3000</f>
        <v>0</v>
      </c>
      <c r="S831" s="3">
        <v>0</v>
      </c>
      <c r="T831" s="3">
        <v>0</v>
      </c>
      <c r="U831" s="3">
        <v>0</v>
      </c>
      <c r="V831" s="6">
        <f t="shared" ref="V831" si="459">N831/M831</f>
        <v>3686</v>
      </c>
    </row>
    <row r="832" spans="1:258" ht="45" customHeight="1" x14ac:dyDescent="0.25">
      <c r="A832" s="51" t="s">
        <v>93</v>
      </c>
      <c r="B832" s="51"/>
      <c r="C832" s="2">
        <f>SUM(C833:C834)</f>
        <v>5000000</v>
      </c>
      <c r="D832" s="2">
        <f t="shared" ref="D832:U832" si="460">SUM(D833:D834)</f>
        <v>0</v>
      </c>
      <c r="E832" s="2">
        <f t="shared" si="460"/>
        <v>0</v>
      </c>
      <c r="F832" s="2">
        <f t="shared" si="460"/>
        <v>0</v>
      </c>
      <c r="G832" s="2">
        <f t="shared" si="460"/>
        <v>0</v>
      </c>
      <c r="H832" s="2">
        <f t="shared" si="460"/>
        <v>0</v>
      </c>
      <c r="I832" s="2">
        <f t="shared" si="460"/>
        <v>0</v>
      </c>
      <c r="J832" s="2">
        <f t="shared" si="460"/>
        <v>0</v>
      </c>
      <c r="K832" s="14">
        <f t="shared" si="460"/>
        <v>2</v>
      </c>
      <c r="L832" s="2">
        <f t="shared" si="460"/>
        <v>4600000</v>
      </c>
      <c r="M832" s="2">
        <f t="shared" si="460"/>
        <v>0</v>
      </c>
      <c r="N832" s="2">
        <f t="shared" si="460"/>
        <v>0</v>
      </c>
      <c r="O832" s="2">
        <f t="shared" si="460"/>
        <v>0</v>
      </c>
      <c r="P832" s="2">
        <f t="shared" si="460"/>
        <v>0</v>
      </c>
      <c r="Q832" s="2">
        <f t="shared" si="460"/>
        <v>0</v>
      </c>
      <c r="R832" s="2">
        <f t="shared" si="460"/>
        <v>0</v>
      </c>
      <c r="S832" s="2">
        <f t="shared" si="460"/>
        <v>0</v>
      </c>
      <c r="T832" s="2">
        <f t="shared" si="460"/>
        <v>0</v>
      </c>
      <c r="U832" s="2">
        <f t="shared" si="460"/>
        <v>400000</v>
      </c>
    </row>
    <row r="833" spans="1:22" ht="21.95" customHeight="1" x14ac:dyDescent="0.25">
      <c r="A833" s="40" t="s">
        <v>1056</v>
      </c>
      <c r="B833" s="8" t="s">
        <v>97</v>
      </c>
      <c r="C833" s="2">
        <f t="shared" si="419"/>
        <v>2500000</v>
      </c>
      <c r="D833" s="3">
        <f t="shared" ref="D833:D834" si="461">SUM(E833:J833)</f>
        <v>0</v>
      </c>
      <c r="E833" s="3">
        <v>0</v>
      </c>
      <c r="F833" s="3">
        <v>0</v>
      </c>
      <c r="G833" s="3">
        <v>0</v>
      </c>
      <c r="H833" s="3">
        <v>0</v>
      </c>
      <c r="I833" s="3">
        <v>0</v>
      </c>
      <c r="J833" s="3">
        <v>0</v>
      </c>
      <c r="K833" s="4">
        <v>1</v>
      </c>
      <c r="L833" s="3">
        <v>2300000</v>
      </c>
      <c r="M833" s="5">
        <v>0</v>
      </c>
      <c r="N833" s="5">
        <v>0</v>
      </c>
      <c r="O833" s="3">
        <v>0</v>
      </c>
      <c r="P833" s="3">
        <v>0</v>
      </c>
      <c r="Q833" s="3">
        <v>0</v>
      </c>
      <c r="R833" s="3">
        <f t="shared" ref="R833:R834" si="462">Q833*3000</f>
        <v>0</v>
      </c>
      <c r="S833" s="3">
        <v>0</v>
      </c>
      <c r="T833" s="3">
        <v>0</v>
      </c>
      <c r="U833" s="3">
        <v>200000</v>
      </c>
      <c r="V833" s="6" t="e">
        <f t="shared" ref="V833:V834" si="463">N833/M833</f>
        <v>#DIV/0!</v>
      </c>
    </row>
    <row r="834" spans="1:22" ht="21.95" customHeight="1" x14ac:dyDescent="0.25">
      <c r="A834" s="40" t="s">
        <v>1633</v>
      </c>
      <c r="B834" s="8" t="s">
        <v>101</v>
      </c>
      <c r="C834" s="2">
        <f t="shared" si="419"/>
        <v>2500000</v>
      </c>
      <c r="D834" s="3">
        <f t="shared" si="461"/>
        <v>0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0</v>
      </c>
      <c r="K834" s="4">
        <v>1</v>
      </c>
      <c r="L834" s="3">
        <v>2300000</v>
      </c>
      <c r="M834" s="5">
        <v>0</v>
      </c>
      <c r="N834" s="5">
        <v>0</v>
      </c>
      <c r="O834" s="3">
        <v>0</v>
      </c>
      <c r="P834" s="3">
        <v>0</v>
      </c>
      <c r="Q834" s="3">
        <v>0</v>
      </c>
      <c r="R834" s="3">
        <f t="shared" si="462"/>
        <v>0</v>
      </c>
      <c r="S834" s="3">
        <v>0</v>
      </c>
      <c r="T834" s="3">
        <v>0</v>
      </c>
      <c r="U834" s="3">
        <v>200000</v>
      </c>
      <c r="V834" s="6" t="e">
        <f t="shared" si="463"/>
        <v>#DIV/0!</v>
      </c>
    </row>
    <row r="835" spans="1:22" ht="45" customHeight="1" x14ac:dyDescent="0.25">
      <c r="A835" s="51" t="s">
        <v>102</v>
      </c>
      <c r="B835" s="51"/>
      <c r="C835" s="2">
        <f>SUM(C836:C839)</f>
        <v>11245600</v>
      </c>
      <c r="D835" s="2">
        <f t="shared" ref="D835:U835" si="464">SUM(D836:D839)</f>
        <v>0</v>
      </c>
      <c r="E835" s="2">
        <f t="shared" si="464"/>
        <v>0</v>
      </c>
      <c r="F835" s="2">
        <f t="shared" si="464"/>
        <v>0</v>
      </c>
      <c r="G835" s="2">
        <f t="shared" si="464"/>
        <v>0</v>
      </c>
      <c r="H835" s="2">
        <f t="shared" si="464"/>
        <v>0</v>
      </c>
      <c r="I835" s="2">
        <f t="shared" si="464"/>
        <v>0</v>
      </c>
      <c r="J835" s="2">
        <f t="shared" si="464"/>
        <v>0</v>
      </c>
      <c r="K835" s="14">
        <f t="shared" si="464"/>
        <v>0</v>
      </c>
      <c r="L835" s="2">
        <f t="shared" si="464"/>
        <v>0</v>
      </c>
      <c r="M835" s="2">
        <f t="shared" si="464"/>
        <v>2325</v>
      </c>
      <c r="N835" s="2">
        <f t="shared" si="464"/>
        <v>11245600</v>
      </c>
      <c r="O835" s="2">
        <f t="shared" si="464"/>
        <v>0</v>
      </c>
      <c r="P835" s="2">
        <f t="shared" si="464"/>
        <v>0</v>
      </c>
      <c r="Q835" s="2">
        <f t="shared" si="464"/>
        <v>0</v>
      </c>
      <c r="R835" s="2">
        <f t="shared" si="464"/>
        <v>0</v>
      </c>
      <c r="S835" s="2">
        <f t="shared" si="464"/>
        <v>0</v>
      </c>
      <c r="T835" s="2">
        <f t="shared" si="464"/>
        <v>0</v>
      </c>
      <c r="U835" s="2">
        <f t="shared" si="464"/>
        <v>0</v>
      </c>
    </row>
    <row r="836" spans="1:22" ht="21" customHeight="1" x14ac:dyDescent="0.25">
      <c r="A836" s="40" t="s">
        <v>1057</v>
      </c>
      <c r="B836" s="8" t="s">
        <v>104</v>
      </c>
      <c r="C836" s="2">
        <f t="shared" si="419"/>
        <v>2480500</v>
      </c>
      <c r="D836" s="3">
        <f t="shared" ref="D836:D839" si="465">SUM(E836:J836)</f>
        <v>0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4">
        <v>0</v>
      </c>
      <c r="L836" s="3">
        <v>0</v>
      </c>
      <c r="M836" s="5">
        <v>451</v>
      </c>
      <c r="N836" s="3">
        <f t="shared" ref="N836:N837" si="466">M836*5500</f>
        <v>2480500</v>
      </c>
      <c r="O836" s="3">
        <v>0</v>
      </c>
      <c r="P836" s="3">
        <v>0</v>
      </c>
      <c r="Q836" s="3">
        <v>0</v>
      </c>
      <c r="R836" s="3">
        <f t="shared" ref="R836:R839" si="467">Q836*3000</f>
        <v>0</v>
      </c>
      <c r="S836" s="3">
        <v>0</v>
      </c>
      <c r="T836" s="3">
        <v>0</v>
      </c>
      <c r="U836" s="3">
        <v>0</v>
      </c>
      <c r="V836" s="6">
        <f t="shared" ref="V836:V839" si="468">N836/M836</f>
        <v>5500</v>
      </c>
    </row>
    <row r="837" spans="1:22" ht="21" customHeight="1" x14ac:dyDescent="0.25">
      <c r="A837" s="40" t="s">
        <v>1058</v>
      </c>
      <c r="B837" s="8" t="s">
        <v>106</v>
      </c>
      <c r="C837" s="2">
        <f t="shared" si="419"/>
        <v>3250500</v>
      </c>
      <c r="D837" s="3">
        <f t="shared" si="465"/>
        <v>0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4">
        <v>0</v>
      </c>
      <c r="L837" s="3">
        <v>0</v>
      </c>
      <c r="M837" s="5">
        <v>591</v>
      </c>
      <c r="N837" s="3">
        <f t="shared" si="466"/>
        <v>3250500</v>
      </c>
      <c r="O837" s="3">
        <v>0</v>
      </c>
      <c r="P837" s="3">
        <v>0</v>
      </c>
      <c r="Q837" s="3">
        <v>0</v>
      </c>
      <c r="R837" s="3">
        <f t="shared" si="467"/>
        <v>0</v>
      </c>
      <c r="S837" s="3">
        <v>0</v>
      </c>
      <c r="T837" s="3">
        <v>0</v>
      </c>
      <c r="U837" s="3">
        <v>0</v>
      </c>
      <c r="V837" s="6">
        <f t="shared" si="468"/>
        <v>5500</v>
      </c>
    </row>
    <row r="838" spans="1:22" ht="21" customHeight="1" x14ac:dyDescent="0.25">
      <c r="A838" s="40" t="s">
        <v>1059</v>
      </c>
      <c r="B838" s="8" t="s">
        <v>107</v>
      </c>
      <c r="C838" s="2">
        <f t="shared" si="419"/>
        <v>3133100</v>
      </c>
      <c r="D838" s="3">
        <f t="shared" si="465"/>
        <v>0</v>
      </c>
      <c r="E838" s="3">
        <v>0</v>
      </c>
      <c r="F838" s="3">
        <v>0</v>
      </c>
      <c r="G838" s="3">
        <v>0</v>
      </c>
      <c r="H838" s="3">
        <v>0</v>
      </c>
      <c r="I838" s="3">
        <v>0</v>
      </c>
      <c r="J838" s="3">
        <v>0</v>
      </c>
      <c r="K838" s="4">
        <v>0</v>
      </c>
      <c r="L838" s="3">
        <v>0</v>
      </c>
      <c r="M838" s="5">
        <v>850</v>
      </c>
      <c r="N838" s="3">
        <f>M838*3686</f>
        <v>3133100</v>
      </c>
      <c r="O838" s="3">
        <v>0</v>
      </c>
      <c r="P838" s="3">
        <v>0</v>
      </c>
      <c r="Q838" s="3">
        <v>0</v>
      </c>
      <c r="R838" s="3">
        <f t="shared" si="467"/>
        <v>0</v>
      </c>
      <c r="S838" s="3">
        <v>0</v>
      </c>
      <c r="T838" s="3">
        <v>0</v>
      </c>
      <c r="U838" s="3">
        <v>0</v>
      </c>
      <c r="V838" s="6">
        <f t="shared" si="468"/>
        <v>3686</v>
      </c>
    </row>
    <row r="839" spans="1:22" ht="21" customHeight="1" x14ac:dyDescent="0.25">
      <c r="A839" s="40" t="s">
        <v>1060</v>
      </c>
      <c r="B839" s="8" t="s">
        <v>109</v>
      </c>
      <c r="C839" s="2">
        <f t="shared" si="419"/>
        <v>2381500</v>
      </c>
      <c r="D839" s="3">
        <f t="shared" si="465"/>
        <v>0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4">
        <v>0</v>
      </c>
      <c r="L839" s="3">
        <v>0</v>
      </c>
      <c r="M839" s="5">
        <v>433</v>
      </c>
      <c r="N839" s="3">
        <f t="shared" ref="N839" si="469">M839*5500</f>
        <v>2381500</v>
      </c>
      <c r="O839" s="3">
        <v>0</v>
      </c>
      <c r="P839" s="3">
        <v>0</v>
      </c>
      <c r="Q839" s="3">
        <v>0</v>
      </c>
      <c r="R839" s="3">
        <f t="shared" si="467"/>
        <v>0</v>
      </c>
      <c r="S839" s="3">
        <v>0</v>
      </c>
      <c r="T839" s="3">
        <v>0</v>
      </c>
      <c r="U839" s="3">
        <v>0</v>
      </c>
      <c r="V839" s="6">
        <f t="shared" si="468"/>
        <v>5500</v>
      </c>
    </row>
    <row r="840" spans="1:22" ht="45" customHeight="1" x14ac:dyDescent="0.25">
      <c r="A840" s="51" t="s">
        <v>116</v>
      </c>
      <c r="B840" s="51"/>
      <c r="C840" s="2">
        <f>SUM(C841)</f>
        <v>1276000</v>
      </c>
      <c r="D840" s="2">
        <f t="shared" ref="D840:U840" si="470">SUM(D841)</f>
        <v>0</v>
      </c>
      <c r="E840" s="2">
        <f t="shared" si="470"/>
        <v>0</v>
      </c>
      <c r="F840" s="2">
        <f t="shared" si="470"/>
        <v>0</v>
      </c>
      <c r="G840" s="2">
        <f t="shared" si="470"/>
        <v>0</v>
      </c>
      <c r="H840" s="2">
        <f t="shared" si="470"/>
        <v>0</v>
      </c>
      <c r="I840" s="2">
        <f t="shared" si="470"/>
        <v>0</v>
      </c>
      <c r="J840" s="2">
        <f t="shared" si="470"/>
        <v>0</v>
      </c>
      <c r="K840" s="14">
        <f t="shared" si="470"/>
        <v>0</v>
      </c>
      <c r="L840" s="2">
        <f t="shared" si="470"/>
        <v>0</v>
      </c>
      <c r="M840" s="2">
        <f t="shared" si="470"/>
        <v>232</v>
      </c>
      <c r="N840" s="2">
        <f t="shared" si="470"/>
        <v>1276000</v>
      </c>
      <c r="O840" s="2">
        <f t="shared" si="470"/>
        <v>0</v>
      </c>
      <c r="P840" s="2">
        <f t="shared" si="470"/>
        <v>0</v>
      </c>
      <c r="Q840" s="2">
        <f t="shared" si="470"/>
        <v>0</v>
      </c>
      <c r="R840" s="2">
        <f t="shared" si="470"/>
        <v>0</v>
      </c>
      <c r="S840" s="2">
        <f t="shared" si="470"/>
        <v>0</v>
      </c>
      <c r="T840" s="2">
        <f t="shared" si="470"/>
        <v>0</v>
      </c>
      <c r="U840" s="2">
        <f t="shared" si="470"/>
        <v>0</v>
      </c>
    </row>
    <row r="841" spans="1:22" ht="21.95" customHeight="1" x14ac:dyDescent="0.25">
      <c r="A841" s="39" t="s">
        <v>1061</v>
      </c>
      <c r="B841" s="8" t="s">
        <v>117</v>
      </c>
      <c r="C841" s="2">
        <f t="shared" si="419"/>
        <v>1276000</v>
      </c>
      <c r="D841" s="3">
        <f t="shared" ref="D841" si="471">SUM(E841:J841)</f>
        <v>0</v>
      </c>
      <c r="E841" s="3">
        <v>0</v>
      </c>
      <c r="F841" s="3">
        <v>0</v>
      </c>
      <c r="G841" s="3">
        <v>0</v>
      </c>
      <c r="H841" s="3">
        <v>0</v>
      </c>
      <c r="I841" s="3">
        <v>0</v>
      </c>
      <c r="J841" s="3">
        <v>0</v>
      </c>
      <c r="K841" s="11">
        <v>0</v>
      </c>
      <c r="L841" s="5">
        <v>0</v>
      </c>
      <c r="M841" s="5">
        <v>232</v>
      </c>
      <c r="N841" s="3">
        <f t="shared" ref="N841" si="472">M841*5500</f>
        <v>1276000</v>
      </c>
      <c r="O841" s="5">
        <v>0</v>
      </c>
      <c r="P841" s="5">
        <v>0</v>
      </c>
      <c r="Q841" s="5">
        <v>0</v>
      </c>
      <c r="R841" s="3">
        <f>Q841*3000</f>
        <v>0</v>
      </c>
      <c r="S841" s="5">
        <v>0</v>
      </c>
      <c r="T841" s="5">
        <v>0</v>
      </c>
      <c r="U841" s="5">
        <v>0</v>
      </c>
      <c r="V841" s="6">
        <f t="shared" ref="V841" si="473">N841/M841</f>
        <v>5500</v>
      </c>
    </row>
    <row r="842" spans="1:22" ht="45" customHeight="1" x14ac:dyDescent="0.25">
      <c r="A842" s="51" t="s">
        <v>1541</v>
      </c>
      <c r="B842" s="51"/>
      <c r="C842" s="2">
        <f>SUM(C843:C847)</f>
        <v>20922169.800000001</v>
      </c>
      <c r="D842" s="2">
        <f t="shared" ref="D842:U842" si="474">SUM(D843:D847)</f>
        <v>2193020</v>
      </c>
      <c r="E842" s="2">
        <f t="shared" si="474"/>
        <v>326620</v>
      </c>
      <c r="F842" s="2">
        <f t="shared" si="474"/>
        <v>979860</v>
      </c>
      <c r="G842" s="2">
        <f t="shared" si="474"/>
        <v>279960</v>
      </c>
      <c r="H842" s="2">
        <f t="shared" si="474"/>
        <v>373280</v>
      </c>
      <c r="I842" s="2">
        <f t="shared" si="474"/>
        <v>233300</v>
      </c>
      <c r="J842" s="2">
        <f t="shared" si="474"/>
        <v>0</v>
      </c>
      <c r="K842" s="14">
        <f t="shared" si="474"/>
        <v>0</v>
      </c>
      <c r="L842" s="2">
        <f t="shared" si="474"/>
        <v>0</v>
      </c>
      <c r="M842" s="2">
        <f t="shared" si="474"/>
        <v>4724.3</v>
      </c>
      <c r="N842" s="2">
        <f t="shared" si="474"/>
        <v>18629149.800000001</v>
      </c>
      <c r="O842" s="2">
        <f t="shared" si="474"/>
        <v>0</v>
      </c>
      <c r="P842" s="2">
        <f t="shared" si="474"/>
        <v>0</v>
      </c>
      <c r="Q842" s="2">
        <f t="shared" si="474"/>
        <v>0</v>
      </c>
      <c r="R842" s="2">
        <f t="shared" si="474"/>
        <v>0</v>
      </c>
      <c r="S842" s="2">
        <f t="shared" si="474"/>
        <v>0</v>
      </c>
      <c r="T842" s="2">
        <f t="shared" si="474"/>
        <v>0</v>
      </c>
      <c r="U842" s="2">
        <f t="shared" si="474"/>
        <v>100000</v>
      </c>
      <c r="V842" s="18">
        <f>C842+C1276</f>
        <v>20922169.800000001</v>
      </c>
    </row>
    <row r="843" spans="1:22" ht="21.95" customHeight="1" x14ac:dyDescent="0.25">
      <c r="A843" s="40" t="s">
        <v>1062</v>
      </c>
      <c r="B843" s="8" t="s">
        <v>1542</v>
      </c>
      <c r="C843" s="2">
        <f t="shared" si="419"/>
        <v>5053506</v>
      </c>
      <c r="D843" s="3">
        <f t="shared" ref="D843:D847" si="475">SUM(E843:J843)</f>
        <v>0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4">
        <v>0</v>
      </c>
      <c r="L843" s="3">
        <v>0</v>
      </c>
      <c r="M843" s="5">
        <v>1371</v>
      </c>
      <c r="N843" s="5">
        <f>M843*3686</f>
        <v>5053506</v>
      </c>
      <c r="O843" s="5">
        <v>0</v>
      </c>
      <c r="P843" s="5">
        <v>0</v>
      </c>
      <c r="Q843" s="5">
        <v>0</v>
      </c>
      <c r="R843" s="3">
        <f t="shared" ref="R843:R847" si="476">Q843*3000</f>
        <v>0</v>
      </c>
      <c r="S843" s="5">
        <v>0</v>
      </c>
      <c r="T843" s="5">
        <v>0</v>
      </c>
      <c r="U843" s="5">
        <v>0</v>
      </c>
      <c r="V843" s="6">
        <f t="shared" ref="V843:V847" si="477">N843/M843</f>
        <v>3686</v>
      </c>
    </row>
    <row r="844" spans="1:22" ht="21.95" customHeight="1" x14ac:dyDescent="0.25">
      <c r="A844" s="40" t="s">
        <v>1063</v>
      </c>
      <c r="B844" s="8" t="s">
        <v>1641</v>
      </c>
      <c r="C844" s="2">
        <f t="shared" ref="C844" si="478">D844+L844+N844+P844+R844+S844+T844+U844</f>
        <v>3685000</v>
      </c>
      <c r="D844" s="3">
        <f t="shared" ref="D844" si="479">SUM(E844:J844)</f>
        <v>0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4">
        <v>0</v>
      </c>
      <c r="L844" s="3">
        <v>0</v>
      </c>
      <c r="M844" s="5">
        <v>670</v>
      </c>
      <c r="N844" s="5">
        <f>M844*5500</f>
        <v>3685000</v>
      </c>
      <c r="O844" s="5">
        <v>0</v>
      </c>
      <c r="P844" s="5">
        <v>0</v>
      </c>
      <c r="Q844" s="5">
        <v>0</v>
      </c>
      <c r="R844" s="3">
        <v>0</v>
      </c>
      <c r="S844" s="5">
        <v>0</v>
      </c>
      <c r="T844" s="5">
        <v>0</v>
      </c>
      <c r="U844" s="5">
        <v>0</v>
      </c>
    </row>
    <row r="845" spans="1:22" ht="21.95" customHeight="1" x14ac:dyDescent="0.25">
      <c r="A845" s="40" t="s">
        <v>1064</v>
      </c>
      <c r="B845" s="8" t="s">
        <v>1642</v>
      </c>
      <c r="C845" s="2">
        <f t="shared" ref="C845" si="480">D845+L845+N845+P845+R845+S845+T845+U845</f>
        <v>2293020</v>
      </c>
      <c r="D845" s="3">
        <f t="shared" ref="D845" si="481">SUM(E845:J845)</f>
        <v>2193020</v>
      </c>
      <c r="E845" s="3">
        <f>350*933.2</f>
        <v>326620</v>
      </c>
      <c r="F845" s="3">
        <f>1050*933.2</f>
        <v>979860</v>
      </c>
      <c r="G845" s="3">
        <f>300*933.2</f>
        <v>279960</v>
      </c>
      <c r="H845" s="3">
        <f>400*933.2</f>
        <v>373280</v>
      </c>
      <c r="I845" s="3">
        <f>250*933.2</f>
        <v>233300</v>
      </c>
      <c r="J845" s="3">
        <v>0</v>
      </c>
      <c r="K845" s="4">
        <v>0</v>
      </c>
      <c r="L845" s="3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3">
        <v>0</v>
      </c>
      <c r="S845" s="5">
        <v>0</v>
      </c>
      <c r="T845" s="5">
        <v>0</v>
      </c>
      <c r="U845" s="5">
        <v>100000</v>
      </c>
    </row>
    <row r="846" spans="1:22" ht="21.95" customHeight="1" x14ac:dyDescent="0.25">
      <c r="A846" s="40" t="s">
        <v>1065</v>
      </c>
      <c r="B846" s="8" t="s">
        <v>1543</v>
      </c>
      <c r="C846" s="2">
        <f t="shared" si="419"/>
        <v>4542257.8</v>
      </c>
      <c r="D846" s="3">
        <f t="shared" si="475"/>
        <v>0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  <c r="K846" s="4">
        <v>0</v>
      </c>
      <c r="L846" s="3">
        <v>0</v>
      </c>
      <c r="M846" s="5">
        <v>1232.3</v>
      </c>
      <c r="N846" s="5">
        <f>M846*3686</f>
        <v>4542257.8</v>
      </c>
      <c r="O846" s="5">
        <v>0</v>
      </c>
      <c r="P846" s="5">
        <v>0</v>
      </c>
      <c r="Q846" s="5">
        <v>0</v>
      </c>
      <c r="R846" s="3">
        <f t="shared" si="476"/>
        <v>0</v>
      </c>
      <c r="S846" s="5">
        <v>0</v>
      </c>
      <c r="T846" s="5">
        <v>0</v>
      </c>
      <c r="U846" s="5">
        <v>0</v>
      </c>
      <c r="V846" s="6">
        <f t="shared" si="477"/>
        <v>3686</v>
      </c>
    </row>
    <row r="847" spans="1:22" ht="21.95" customHeight="1" x14ac:dyDescent="0.25">
      <c r="A847" s="40" t="s">
        <v>1066</v>
      </c>
      <c r="B847" s="8" t="s">
        <v>1544</v>
      </c>
      <c r="C847" s="2">
        <f t="shared" si="419"/>
        <v>5348386</v>
      </c>
      <c r="D847" s="3">
        <f t="shared" si="475"/>
        <v>0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4">
        <v>0</v>
      </c>
      <c r="L847" s="3">
        <v>0</v>
      </c>
      <c r="M847" s="5">
        <v>1451</v>
      </c>
      <c r="N847" s="5">
        <f>M847*3686</f>
        <v>5348386</v>
      </c>
      <c r="O847" s="5">
        <v>0</v>
      </c>
      <c r="P847" s="5">
        <v>0</v>
      </c>
      <c r="Q847" s="5">
        <v>0</v>
      </c>
      <c r="R847" s="3">
        <f t="shared" si="476"/>
        <v>0</v>
      </c>
      <c r="S847" s="5">
        <v>0</v>
      </c>
      <c r="T847" s="5">
        <v>0</v>
      </c>
      <c r="U847" s="5">
        <v>0</v>
      </c>
      <c r="V847" s="6">
        <f t="shared" si="477"/>
        <v>3686</v>
      </c>
    </row>
    <row r="848" spans="1:22" ht="45" customHeight="1" x14ac:dyDescent="0.25">
      <c r="A848" s="51" t="s">
        <v>1539</v>
      </c>
      <c r="B848" s="51"/>
      <c r="C848" s="2">
        <f>SUM(C849)</f>
        <v>271026</v>
      </c>
      <c r="D848" s="2">
        <f t="shared" ref="D848:U848" si="482">SUM(D849)</f>
        <v>271026</v>
      </c>
      <c r="E848" s="2">
        <f t="shared" si="482"/>
        <v>150570</v>
      </c>
      <c r="F848" s="2">
        <f t="shared" si="482"/>
        <v>0</v>
      </c>
      <c r="G848" s="2">
        <f t="shared" si="482"/>
        <v>12906</v>
      </c>
      <c r="H848" s="2">
        <f t="shared" si="482"/>
        <v>0</v>
      </c>
      <c r="I848" s="2">
        <f t="shared" si="482"/>
        <v>107550</v>
      </c>
      <c r="J848" s="2">
        <f t="shared" si="482"/>
        <v>0</v>
      </c>
      <c r="K848" s="14">
        <f t="shared" si="482"/>
        <v>0</v>
      </c>
      <c r="L848" s="2">
        <f t="shared" si="482"/>
        <v>0</v>
      </c>
      <c r="M848" s="2">
        <f t="shared" si="482"/>
        <v>0</v>
      </c>
      <c r="N848" s="2">
        <f t="shared" si="482"/>
        <v>0</v>
      </c>
      <c r="O848" s="2">
        <f t="shared" si="482"/>
        <v>0</v>
      </c>
      <c r="P848" s="2">
        <f t="shared" si="482"/>
        <v>0</v>
      </c>
      <c r="Q848" s="2">
        <f t="shared" si="482"/>
        <v>0</v>
      </c>
      <c r="R848" s="2">
        <f t="shared" si="482"/>
        <v>0</v>
      </c>
      <c r="S848" s="2">
        <f t="shared" si="482"/>
        <v>0</v>
      </c>
      <c r="T848" s="2">
        <f t="shared" si="482"/>
        <v>0</v>
      </c>
      <c r="U848" s="2">
        <f t="shared" si="482"/>
        <v>0</v>
      </c>
      <c r="V848" s="18">
        <f>C848+C1274</f>
        <v>271026</v>
      </c>
    </row>
    <row r="849" spans="1:22" ht="21.95" customHeight="1" x14ac:dyDescent="0.25">
      <c r="A849" s="40" t="s">
        <v>1067</v>
      </c>
      <c r="B849" s="8" t="s">
        <v>1540</v>
      </c>
      <c r="C849" s="2">
        <f>D849+L849+N849+P849+R849+S849+T849+U849</f>
        <v>271026</v>
      </c>
      <c r="D849" s="3">
        <f t="shared" ref="D849" si="483">SUM(E849:J849)</f>
        <v>271026</v>
      </c>
      <c r="E849" s="3">
        <f>350*430.2</f>
        <v>150570</v>
      </c>
      <c r="F849" s="3">
        <v>0</v>
      </c>
      <c r="G849" s="3">
        <f>30*430.2</f>
        <v>12906</v>
      </c>
      <c r="H849" s="3">
        <v>0</v>
      </c>
      <c r="I849" s="3">
        <f>250*430.2</f>
        <v>107550</v>
      </c>
      <c r="J849" s="3">
        <v>0</v>
      </c>
      <c r="K849" s="4">
        <v>0</v>
      </c>
      <c r="L849" s="3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6" t="e">
        <f t="shared" ref="V849" si="484">N849/M849</f>
        <v>#DIV/0!</v>
      </c>
    </row>
    <row r="850" spans="1:22" ht="45" customHeight="1" x14ac:dyDescent="0.25">
      <c r="A850" s="51" t="s">
        <v>124</v>
      </c>
      <c r="B850" s="51"/>
      <c r="C850" s="2">
        <f>SUM(C851:C853)</f>
        <v>4748950</v>
      </c>
      <c r="D850" s="2">
        <f t="shared" ref="D850:U850" si="485">SUM(D851:D853)</f>
        <v>0</v>
      </c>
      <c r="E850" s="2">
        <f t="shared" si="485"/>
        <v>0</v>
      </c>
      <c r="F850" s="2">
        <f t="shared" si="485"/>
        <v>0</v>
      </c>
      <c r="G850" s="2">
        <f t="shared" si="485"/>
        <v>0</v>
      </c>
      <c r="H850" s="2">
        <f t="shared" si="485"/>
        <v>0</v>
      </c>
      <c r="I850" s="2">
        <f t="shared" si="485"/>
        <v>0</v>
      </c>
      <c r="J850" s="2">
        <f t="shared" si="485"/>
        <v>0</v>
      </c>
      <c r="K850" s="14">
        <f t="shared" si="485"/>
        <v>0</v>
      </c>
      <c r="L850" s="2">
        <f t="shared" si="485"/>
        <v>0</v>
      </c>
      <c r="M850" s="2">
        <f t="shared" si="485"/>
        <v>808.9</v>
      </c>
      <c r="N850" s="2">
        <f t="shared" si="485"/>
        <v>4448950</v>
      </c>
      <c r="O850" s="2">
        <f t="shared" si="485"/>
        <v>0</v>
      </c>
      <c r="P850" s="2">
        <f t="shared" si="485"/>
        <v>0</v>
      </c>
      <c r="Q850" s="2">
        <f t="shared" si="485"/>
        <v>0</v>
      </c>
      <c r="R850" s="2">
        <f t="shared" si="485"/>
        <v>0</v>
      </c>
      <c r="S850" s="2">
        <f t="shared" si="485"/>
        <v>0</v>
      </c>
      <c r="T850" s="2">
        <f t="shared" si="485"/>
        <v>0</v>
      </c>
      <c r="U850" s="2">
        <f t="shared" si="485"/>
        <v>300000</v>
      </c>
    </row>
    <row r="851" spans="1:22" ht="21.95" customHeight="1" x14ac:dyDescent="0.25">
      <c r="A851" s="40" t="s">
        <v>1068</v>
      </c>
      <c r="B851" s="1" t="s">
        <v>119</v>
      </c>
      <c r="C851" s="2">
        <f t="shared" si="419"/>
        <v>3073950</v>
      </c>
      <c r="D851" s="3">
        <f t="shared" ref="D851:D852" si="486">SUM(E851:J851)</f>
        <v>0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4">
        <v>0</v>
      </c>
      <c r="L851" s="3">
        <v>0</v>
      </c>
      <c r="M851" s="5">
        <v>558.9</v>
      </c>
      <c r="N851" s="3">
        <f t="shared" ref="N851:N852" si="487">M851*5500</f>
        <v>3073950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0</v>
      </c>
      <c r="V851" s="6">
        <f t="shared" ref="V851:V852" si="488">N851/M851</f>
        <v>5500</v>
      </c>
    </row>
    <row r="852" spans="1:22" ht="21.95" customHeight="1" x14ac:dyDescent="0.25">
      <c r="A852" s="40" t="s">
        <v>1069</v>
      </c>
      <c r="B852" s="1" t="s">
        <v>120</v>
      </c>
      <c r="C852" s="2">
        <f t="shared" si="419"/>
        <v>1375000</v>
      </c>
      <c r="D852" s="3">
        <f t="shared" si="486"/>
        <v>0</v>
      </c>
      <c r="E852" s="3">
        <v>0</v>
      </c>
      <c r="F852" s="3">
        <v>0</v>
      </c>
      <c r="G852" s="3">
        <v>0</v>
      </c>
      <c r="H852" s="3">
        <v>0</v>
      </c>
      <c r="I852" s="3">
        <v>0</v>
      </c>
      <c r="J852" s="3">
        <v>0</v>
      </c>
      <c r="K852" s="4">
        <v>0</v>
      </c>
      <c r="L852" s="3">
        <v>0</v>
      </c>
      <c r="M852" s="5">
        <v>250</v>
      </c>
      <c r="N852" s="3">
        <f t="shared" si="487"/>
        <v>1375000</v>
      </c>
      <c r="O852" s="3">
        <v>0</v>
      </c>
      <c r="P852" s="3">
        <v>0</v>
      </c>
      <c r="Q852" s="3">
        <v>0</v>
      </c>
      <c r="R852" s="3">
        <v>0</v>
      </c>
      <c r="S852" s="3">
        <v>0</v>
      </c>
      <c r="T852" s="3">
        <v>0</v>
      </c>
      <c r="U852" s="3">
        <v>0</v>
      </c>
      <c r="V852" s="6">
        <f t="shared" si="488"/>
        <v>5500</v>
      </c>
    </row>
    <row r="853" spans="1:22" ht="21.95" customHeight="1" x14ac:dyDescent="0.25">
      <c r="A853" s="40" t="s">
        <v>1070</v>
      </c>
      <c r="B853" s="1" t="s">
        <v>1645</v>
      </c>
      <c r="C853" s="2">
        <f t="shared" ref="C853" si="489">D853+L853+N853+P853+R853+S853+T853+U853</f>
        <v>300000</v>
      </c>
      <c r="D853" s="3">
        <f t="shared" ref="D853" si="490">SUM(E853:J853)</f>
        <v>0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4">
        <v>0</v>
      </c>
      <c r="L853" s="3">
        <v>0</v>
      </c>
      <c r="M853" s="5">
        <v>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300000</v>
      </c>
    </row>
    <row r="854" spans="1:22" ht="45" customHeight="1" x14ac:dyDescent="0.25">
      <c r="A854" s="51" t="s">
        <v>127</v>
      </c>
      <c r="B854" s="51"/>
      <c r="C854" s="2">
        <f>SUM(C855)</f>
        <v>1870000</v>
      </c>
      <c r="D854" s="2">
        <f t="shared" ref="D854:U854" si="491">SUM(D855)</f>
        <v>0</v>
      </c>
      <c r="E854" s="2">
        <f t="shared" si="491"/>
        <v>0</v>
      </c>
      <c r="F854" s="2">
        <f t="shared" si="491"/>
        <v>0</v>
      </c>
      <c r="G854" s="2">
        <f t="shared" si="491"/>
        <v>0</v>
      </c>
      <c r="H854" s="2">
        <f t="shared" si="491"/>
        <v>0</v>
      </c>
      <c r="I854" s="2">
        <f t="shared" si="491"/>
        <v>0</v>
      </c>
      <c r="J854" s="2">
        <f t="shared" si="491"/>
        <v>0</v>
      </c>
      <c r="K854" s="14">
        <f t="shared" si="491"/>
        <v>0</v>
      </c>
      <c r="L854" s="2">
        <f t="shared" si="491"/>
        <v>0</v>
      </c>
      <c r="M854" s="2">
        <f t="shared" si="491"/>
        <v>340</v>
      </c>
      <c r="N854" s="2">
        <f t="shared" si="491"/>
        <v>1870000</v>
      </c>
      <c r="O854" s="2">
        <f t="shared" si="491"/>
        <v>0</v>
      </c>
      <c r="P854" s="2">
        <f t="shared" si="491"/>
        <v>0</v>
      </c>
      <c r="Q854" s="2">
        <f t="shared" si="491"/>
        <v>0</v>
      </c>
      <c r="R854" s="2">
        <f t="shared" si="491"/>
        <v>0</v>
      </c>
      <c r="S854" s="2">
        <f t="shared" si="491"/>
        <v>0</v>
      </c>
      <c r="T854" s="2">
        <f t="shared" si="491"/>
        <v>0</v>
      </c>
      <c r="U854" s="2">
        <f t="shared" si="491"/>
        <v>0</v>
      </c>
    </row>
    <row r="855" spans="1:22" ht="21.95" customHeight="1" x14ac:dyDescent="0.25">
      <c r="A855" s="40" t="s">
        <v>1071</v>
      </c>
      <c r="B855" s="24" t="s">
        <v>126</v>
      </c>
      <c r="C855" s="2">
        <f t="shared" ref="C855:C917" si="492">D855+L855+N855+P855+R855+S855+T855+U855</f>
        <v>1870000</v>
      </c>
      <c r="D855" s="3">
        <f t="shared" ref="D855" si="493">SUM(E855:J855)</f>
        <v>0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4">
        <v>0</v>
      </c>
      <c r="L855" s="3">
        <v>0</v>
      </c>
      <c r="M855" s="3">
        <v>340</v>
      </c>
      <c r="N855" s="3">
        <f t="shared" ref="N855" si="494">M855*5500</f>
        <v>1870000</v>
      </c>
      <c r="O855" s="3">
        <v>0</v>
      </c>
      <c r="P855" s="3">
        <v>0</v>
      </c>
      <c r="Q855" s="3">
        <v>0</v>
      </c>
      <c r="R855" s="5">
        <v>0</v>
      </c>
      <c r="S855" s="3">
        <v>0</v>
      </c>
      <c r="T855" s="3">
        <v>0</v>
      </c>
      <c r="U855" s="3">
        <v>0</v>
      </c>
      <c r="V855" s="6">
        <f t="shared" ref="V855" si="495">N855/M855</f>
        <v>5500</v>
      </c>
    </row>
    <row r="856" spans="1:22" ht="45" customHeight="1" x14ac:dyDescent="0.25">
      <c r="A856" s="51" t="s">
        <v>1362</v>
      </c>
      <c r="B856" s="51"/>
      <c r="C856" s="2">
        <f>SUM(C857)</f>
        <v>10265805</v>
      </c>
      <c r="D856" s="2">
        <f t="shared" ref="D856:U856" si="496">SUM(D857)</f>
        <v>2316865</v>
      </c>
      <c r="E856" s="2">
        <f t="shared" si="496"/>
        <v>345065</v>
      </c>
      <c r="F856" s="2">
        <f t="shared" si="496"/>
        <v>1035195</v>
      </c>
      <c r="G856" s="2">
        <f t="shared" si="496"/>
        <v>295770</v>
      </c>
      <c r="H856" s="2">
        <f t="shared" si="496"/>
        <v>394360</v>
      </c>
      <c r="I856" s="2">
        <f t="shared" si="496"/>
        <v>246475</v>
      </c>
      <c r="J856" s="2">
        <f t="shared" si="496"/>
        <v>0</v>
      </c>
      <c r="K856" s="14">
        <f t="shared" si="496"/>
        <v>0</v>
      </c>
      <c r="L856" s="2">
        <f t="shared" si="496"/>
        <v>0</v>
      </c>
      <c r="M856" s="2">
        <f t="shared" si="496"/>
        <v>1072</v>
      </c>
      <c r="N856" s="2">
        <f t="shared" si="496"/>
        <v>5896000</v>
      </c>
      <c r="O856" s="2">
        <f t="shared" si="496"/>
        <v>0</v>
      </c>
      <c r="P856" s="2">
        <f t="shared" si="496"/>
        <v>0</v>
      </c>
      <c r="Q856" s="2">
        <f t="shared" si="496"/>
        <v>514.5</v>
      </c>
      <c r="R856" s="2">
        <f t="shared" si="496"/>
        <v>1543500</v>
      </c>
      <c r="S856" s="2">
        <f t="shared" si="496"/>
        <v>409440</v>
      </c>
      <c r="T856" s="2">
        <f t="shared" si="496"/>
        <v>0</v>
      </c>
      <c r="U856" s="2">
        <f t="shared" si="496"/>
        <v>100000</v>
      </c>
      <c r="V856" s="18">
        <f>C856</f>
        <v>10265805</v>
      </c>
    </row>
    <row r="857" spans="1:22" ht="21" customHeight="1" x14ac:dyDescent="0.25">
      <c r="A857" s="40" t="s">
        <v>1072</v>
      </c>
      <c r="B857" s="8" t="s">
        <v>1363</v>
      </c>
      <c r="C857" s="2">
        <f t="shared" si="492"/>
        <v>10265805</v>
      </c>
      <c r="D857" s="3">
        <f t="shared" ref="D857" si="497">SUM(E857:J857)</f>
        <v>2316865</v>
      </c>
      <c r="E857" s="3">
        <f>350*985.9</f>
        <v>345065</v>
      </c>
      <c r="F857" s="3">
        <f>1050*985.9</f>
        <v>1035195</v>
      </c>
      <c r="G857" s="3">
        <f>300*985.9</f>
        <v>295770</v>
      </c>
      <c r="H857" s="3">
        <f>400*985.9</f>
        <v>394360</v>
      </c>
      <c r="I857" s="3">
        <f>250*985.9</f>
        <v>246475</v>
      </c>
      <c r="J857" s="3">
        <v>0</v>
      </c>
      <c r="K857" s="4">
        <v>0</v>
      </c>
      <c r="L857" s="3">
        <v>0</v>
      </c>
      <c r="M857" s="3">
        <v>1072</v>
      </c>
      <c r="N857" s="3">
        <f t="shared" ref="N857" si="498">M857*5500</f>
        <v>5896000</v>
      </c>
      <c r="O857" s="3">
        <v>0</v>
      </c>
      <c r="P857" s="3">
        <v>0</v>
      </c>
      <c r="Q857" s="3">
        <v>514.5</v>
      </c>
      <c r="R857" s="3">
        <f>Q857*3000</f>
        <v>1543500</v>
      </c>
      <c r="S857" s="3">
        <v>409440</v>
      </c>
      <c r="T857" s="3">
        <v>0</v>
      </c>
      <c r="U857" s="3">
        <v>100000</v>
      </c>
      <c r="V857" s="6">
        <f t="shared" ref="V857" si="499">N857/M857</f>
        <v>5500</v>
      </c>
    </row>
    <row r="858" spans="1:22" ht="45" customHeight="1" x14ac:dyDescent="0.25">
      <c r="A858" s="51" t="s">
        <v>1550</v>
      </c>
      <c r="B858" s="51"/>
      <c r="C858" s="2">
        <f>SUM(C859)</f>
        <v>2523950</v>
      </c>
      <c r="D858" s="2">
        <f t="shared" ref="D858:U858" si="500">SUM(D859)</f>
        <v>0</v>
      </c>
      <c r="E858" s="2">
        <f t="shared" si="500"/>
        <v>0</v>
      </c>
      <c r="F858" s="2">
        <f t="shared" si="500"/>
        <v>0</v>
      </c>
      <c r="G858" s="2">
        <f t="shared" si="500"/>
        <v>0</v>
      </c>
      <c r="H858" s="2">
        <f t="shared" si="500"/>
        <v>0</v>
      </c>
      <c r="I858" s="2">
        <f t="shared" si="500"/>
        <v>0</v>
      </c>
      <c r="J858" s="2">
        <f t="shared" si="500"/>
        <v>0</v>
      </c>
      <c r="K858" s="14">
        <f t="shared" si="500"/>
        <v>0</v>
      </c>
      <c r="L858" s="2">
        <f t="shared" si="500"/>
        <v>0</v>
      </c>
      <c r="M858" s="2">
        <f t="shared" si="500"/>
        <v>458.9</v>
      </c>
      <c r="N858" s="2">
        <f t="shared" si="500"/>
        <v>2523950</v>
      </c>
      <c r="O858" s="2">
        <f t="shared" si="500"/>
        <v>0</v>
      </c>
      <c r="P858" s="2">
        <f t="shared" si="500"/>
        <v>0</v>
      </c>
      <c r="Q858" s="2">
        <f t="shared" si="500"/>
        <v>0</v>
      </c>
      <c r="R858" s="2">
        <f t="shared" si="500"/>
        <v>0</v>
      </c>
      <c r="S858" s="2">
        <f t="shared" si="500"/>
        <v>0</v>
      </c>
      <c r="T858" s="2">
        <f t="shared" si="500"/>
        <v>0</v>
      </c>
      <c r="U858" s="2">
        <f t="shared" si="500"/>
        <v>0</v>
      </c>
      <c r="V858" s="18">
        <f>C858</f>
        <v>2523950</v>
      </c>
    </row>
    <row r="859" spans="1:22" ht="21" customHeight="1" x14ac:dyDescent="0.25">
      <c r="A859" s="40" t="s">
        <v>1073</v>
      </c>
      <c r="B859" s="8" t="s">
        <v>130</v>
      </c>
      <c r="C859" s="2">
        <f t="shared" si="492"/>
        <v>2523950</v>
      </c>
      <c r="D859" s="3">
        <f t="shared" ref="D859" si="501">SUM(E859:J859)</f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4">
        <v>0</v>
      </c>
      <c r="L859" s="3">
        <v>0</v>
      </c>
      <c r="M859" s="3">
        <v>458.9</v>
      </c>
      <c r="N859" s="3">
        <f t="shared" ref="N859" si="502">M859*5500</f>
        <v>2523950</v>
      </c>
      <c r="O859" s="3">
        <v>0</v>
      </c>
      <c r="P859" s="3">
        <v>0</v>
      </c>
      <c r="Q859" s="3">
        <v>0</v>
      </c>
      <c r="R859" s="5">
        <v>0</v>
      </c>
      <c r="S859" s="3">
        <v>0</v>
      </c>
      <c r="T859" s="3">
        <v>0</v>
      </c>
      <c r="U859" s="3">
        <v>0</v>
      </c>
      <c r="V859" s="6">
        <f t="shared" ref="V859" si="503">N859/M859</f>
        <v>5500</v>
      </c>
    </row>
    <row r="860" spans="1:22" ht="45" customHeight="1" x14ac:dyDescent="0.25">
      <c r="A860" s="51" t="s">
        <v>146</v>
      </c>
      <c r="B860" s="51"/>
      <c r="C860" s="2">
        <f>SUM(C861)</f>
        <v>3401179.5</v>
      </c>
      <c r="D860" s="2">
        <f t="shared" ref="D860:U860" si="504">SUM(D861)</f>
        <v>111779.5</v>
      </c>
      <c r="E860" s="2">
        <f t="shared" si="504"/>
        <v>111779.5</v>
      </c>
      <c r="F860" s="2">
        <f t="shared" si="504"/>
        <v>0</v>
      </c>
      <c r="G860" s="2">
        <f t="shared" si="504"/>
        <v>0</v>
      </c>
      <c r="H860" s="2">
        <f t="shared" si="504"/>
        <v>0</v>
      </c>
      <c r="I860" s="2">
        <f t="shared" si="504"/>
        <v>0</v>
      </c>
      <c r="J860" s="2">
        <f t="shared" si="504"/>
        <v>0</v>
      </c>
      <c r="K860" s="14">
        <f t="shared" si="504"/>
        <v>0</v>
      </c>
      <c r="L860" s="2">
        <f t="shared" si="504"/>
        <v>0</v>
      </c>
      <c r="M860" s="2">
        <f t="shared" si="504"/>
        <v>283</v>
      </c>
      <c r="N860" s="2">
        <f t="shared" si="504"/>
        <v>1556500</v>
      </c>
      <c r="O860" s="2">
        <f t="shared" si="504"/>
        <v>126.2</v>
      </c>
      <c r="P860" s="2">
        <f t="shared" si="504"/>
        <v>151440</v>
      </c>
      <c r="Q860" s="2">
        <f t="shared" si="504"/>
        <v>493.82</v>
      </c>
      <c r="R860" s="2">
        <f t="shared" si="504"/>
        <v>1481460</v>
      </c>
      <c r="S860" s="2">
        <f t="shared" si="504"/>
        <v>0</v>
      </c>
      <c r="T860" s="2">
        <f t="shared" si="504"/>
        <v>0</v>
      </c>
      <c r="U860" s="2">
        <f t="shared" si="504"/>
        <v>100000</v>
      </c>
      <c r="V860" s="18">
        <f>C860</f>
        <v>3401179.5</v>
      </c>
    </row>
    <row r="861" spans="1:22" ht="21" customHeight="1" x14ac:dyDescent="0.25">
      <c r="A861" s="40" t="s">
        <v>1074</v>
      </c>
      <c r="B861" s="46" t="s">
        <v>147</v>
      </c>
      <c r="C861" s="2">
        <f t="shared" si="492"/>
        <v>3401179.5</v>
      </c>
      <c r="D861" s="3">
        <f t="shared" ref="D861" si="505">SUM(E861:J861)</f>
        <v>111779.5</v>
      </c>
      <c r="E861" s="3">
        <f>350*319.37</f>
        <v>111779.5</v>
      </c>
      <c r="F861" s="3">
        <f>1050*0</f>
        <v>0</v>
      </c>
      <c r="G861" s="3">
        <f>300*0</f>
        <v>0</v>
      </c>
      <c r="H861" s="3">
        <f>400*0</f>
        <v>0</v>
      </c>
      <c r="I861" s="3">
        <f>250*0</f>
        <v>0</v>
      </c>
      <c r="J861" s="3">
        <v>0</v>
      </c>
      <c r="K861" s="4">
        <v>0</v>
      </c>
      <c r="L861" s="3">
        <v>0</v>
      </c>
      <c r="M861" s="3">
        <v>283</v>
      </c>
      <c r="N861" s="3">
        <f t="shared" ref="N861" si="506">M861*5500</f>
        <v>1556500</v>
      </c>
      <c r="O861" s="3">
        <v>126.2</v>
      </c>
      <c r="P861" s="3">
        <v>151440</v>
      </c>
      <c r="Q861" s="3">
        <v>493.82</v>
      </c>
      <c r="R861" s="3">
        <f>Q861*3000</f>
        <v>1481460</v>
      </c>
      <c r="S861" s="3">
        <v>0</v>
      </c>
      <c r="T861" s="3">
        <v>0</v>
      </c>
      <c r="U861" s="3">
        <v>100000</v>
      </c>
      <c r="V861" s="6">
        <f t="shared" ref="V861" si="507">N861/M861</f>
        <v>5500</v>
      </c>
    </row>
    <row r="862" spans="1:22" ht="45" customHeight="1" x14ac:dyDescent="0.25">
      <c r="A862" s="51" t="s">
        <v>148</v>
      </c>
      <c r="B862" s="51"/>
      <c r="C862" s="2">
        <f>SUM(C863:C866)</f>
        <v>11100350</v>
      </c>
      <c r="D862" s="2">
        <f t="shared" ref="D862:U862" si="508">SUM(D863:D866)</f>
        <v>1005615</v>
      </c>
      <c r="E862" s="2">
        <f t="shared" si="508"/>
        <v>180495.00000000003</v>
      </c>
      <c r="F862" s="2">
        <f t="shared" si="508"/>
        <v>541485</v>
      </c>
      <c r="G862" s="2">
        <f t="shared" si="508"/>
        <v>154710</v>
      </c>
      <c r="H862" s="2">
        <f t="shared" si="508"/>
        <v>0</v>
      </c>
      <c r="I862" s="2">
        <f t="shared" si="508"/>
        <v>128925.00000000001</v>
      </c>
      <c r="J862" s="2">
        <f t="shared" si="508"/>
        <v>0</v>
      </c>
      <c r="K862" s="14">
        <f t="shared" si="508"/>
        <v>0</v>
      </c>
      <c r="L862" s="2">
        <f t="shared" si="508"/>
        <v>0</v>
      </c>
      <c r="M862" s="2">
        <f t="shared" si="508"/>
        <v>1071.1300000000001</v>
      </c>
      <c r="N862" s="2">
        <f t="shared" si="508"/>
        <v>5891215</v>
      </c>
      <c r="O862" s="2">
        <f t="shared" si="508"/>
        <v>0</v>
      </c>
      <c r="P862" s="2">
        <f t="shared" si="508"/>
        <v>0</v>
      </c>
      <c r="Q862" s="2">
        <f t="shared" si="508"/>
        <v>1367.84</v>
      </c>
      <c r="R862" s="2">
        <f t="shared" si="508"/>
        <v>4103519.9999999995</v>
      </c>
      <c r="S862" s="2">
        <f t="shared" si="508"/>
        <v>0</v>
      </c>
      <c r="T862" s="2">
        <f t="shared" si="508"/>
        <v>0</v>
      </c>
      <c r="U862" s="2">
        <f t="shared" si="508"/>
        <v>100000</v>
      </c>
    </row>
    <row r="863" spans="1:22" ht="21" customHeight="1" x14ac:dyDescent="0.25">
      <c r="A863" s="40" t="s">
        <v>1075</v>
      </c>
      <c r="B863" s="8" t="s">
        <v>152</v>
      </c>
      <c r="C863" s="2">
        <f t="shared" si="492"/>
        <v>7289340</v>
      </c>
      <c r="D863" s="3">
        <f t="shared" ref="D863:D866" si="509">SUM(E863:J863)</f>
        <v>0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4">
        <v>0</v>
      </c>
      <c r="L863" s="3">
        <v>0</v>
      </c>
      <c r="M863" s="3">
        <v>579.24</v>
      </c>
      <c r="N863" s="3">
        <f t="shared" ref="N863:N864" si="510">M863*5500</f>
        <v>3185820</v>
      </c>
      <c r="O863" s="3">
        <v>0</v>
      </c>
      <c r="P863" s="3">
        <v>0</v>
      </c>
      <c r="Q863" s="3">
        <v>1367.84</v>
      </c>
      <c r="R863" s="3">
        <f>Q863*3000</f>
        <v>4103519.9999999995</v>
      </c>
      <c r="S863" s="3">
        <v>0</v>
      </c>
      <c r="T863" s="3">
        <v>0</v>
      </c>
      <c r="U863" s="3">
        <v>0</v>
      </c>
      <c r="V863" s="6">
        <f t="shared" ref="V863:V866" si="511">N863/M863</f>
        <v>5500</v>
      </c>
    </row>
    <row r="864" spans="1:22" ht="21" customHeight="1" x14ac:dyDescent="0.25">
      <c r="A864" s="40" t="s">
        <v>1076</v>
      </c>
      <c r="B864" s="8" t="s">
        <v>154</v>
      </c>
      <c r="C864" s="2">
        <f t="shared" si="492"/>
        <v>1306140</v>
      </c>
      <c r="D864" s="3">
        <f t="shared" si="509"/>
        <v>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4">
        <v>0</v>
      </c>
      <c r="L864" s="3">
        <v>0</v>
      </c>
      <c r="M864" s="3">
        <v>237.48</v>
      </c>
      <c r="N864" s="3">
        <f t="shared" si="510"/>
        <v>1306140</v>
      </c>
      <c r="O864" s="3">
        <v>0</v>
      </c>
      <c r="P864" s="3">
        <v>0</v>
      </c>
      <c r="Q864" s="3">
        <v>0</v>
      </c>
      <c r="R864" s="5">
        <v>0</v>
      </c>
      <c r="S864" s="3">
        <v>0</v>
      </c>
      <c r="T864" s="3">
        <v>0</v>
      </c>
      <c r="U864" s="3">
        <v>0</v>
      </c>
      <c r="V864" s="6">
        <f t="shared" si="511"/>
        <v>5500</v>
      </c>
    </row>
    <row r="865" spans="1:22" ht="21" customHeight="1" x14ac:dyDescent="0.25">
      <c r="A865" s="40" t="s">
        <v>1077</v>
      </c>
      <c r="B865" s="8" t="s">
        <v>155</v>
      </c>
      <c r="C865" s="2">
        <f t="shared" si="492"/>
        <v>1105615</v>
      </c>
      <c r="D865" s="3">
        <f t="shared" si="509"/>
        <v>1005615</v>
      </c>
      <c r="E865" s="3">
        <f>350*515.7</f>
        <v>180495.00000000003</v>
      </c>
      <c r="F865" s="3">
        <f>1050*515.7</f>
        <v>541485</v>
      </c>
      <c r="G865" s="3">
        <f>300*515.7</f>
        <v>154710</v>
      </c>
      <c r="H865" s="3">
        <f>400*0</f>
        <v>0</v>
      </c>
      <c r="I865" s="3">
        <f>250*515.7</f>
        <v>128925.00000000001</v>
      </c>
      <c r="J865" s="3">
        <v>0</v>
      </c>
      <c r="K865" s="4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5">
        <v>0</v>
      </c>
      <c r="S865" s="3">
        <v>0</v>
      </c>
      <c r="T865" s="3">
        <v>0</v>
      </c>
      <c r="U865" s="3">
        <v>100000</v>
      </c>
      <c r="V865" s="6" t="e">
        <f t="shared" si="511"/>
        <v>#DIV/0!</v>
      </c>
    </row>
    <row r="866" spans="1:22" ht="21" customHeight="1" x14ac:dyDescent="0.25">
      <c r="A866" s="40" t="s">
        <v>1078</v>
      </c>
      <c r="B866" s="8" t="s">
        <v>156</v>
      </c>
      <c r="C866" s="2">
        <f t="shared" si="492"/>
        <v>1399255</v>
      </c>
      <c r="D866" s="3">
        <f t="shared" si="509"/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4">
        <v>0</v>
      </c>
      <c r="L866" s="3">
        <v>0</v>
      </c>
      <c r="M866" s="3">
        <v>254.41</v>
      </c>
      <c r="N866" s="3">
        <f t="shared" ref="N866" si="512">M866*5500</f>
        <v>1399255</v>
      </c>
      <c r="O866" s="3">
        <v>0</v>
      </c>
      <c r="P866" s="3">
        <v>0</v>
      </c>
      <c r="Q866" s="3">
        <v>0</v>
      </c>
      <c r="R866" s="5">
        <v>0</v>
      </c>
      <c r="S866" s="3">
        <v>0</v>
      </c>
      <c r="T866" s="3">
        <v>0</v>
      </c>
      <c r="U866" s="3">
        <v>0</v>
      </c>
      <c r="V866" s="6">
        <f t="shared" si="511"/>
        <v>5500</v>
      </c>
    </row>
    <row r="867" spans="1:22" ht="45" customHeight="1" x14ac:dyDescent="0.25">
      <c r="A867" s="51" t="s">
        <v>1563</v>
      </c>
      <c r="B867" s="51"/>
      <c r="C867" s="2">
        <f>SUM(C868)</f>
        <v>1315270</v>
      </c>
      <c r="D867" s="2">
        <f t="shared" ref="D867:U867" si="513">SUM(D868)</f>
        <v>0</v>
      </c>
      <c r="E867" s="2">
        <f t="shared" si="513"/>
        <v>0</v>
      </c>
      <c r="F867" s="2">
        <f t="shared" si="513"/>
        <v>0</v>
      </c>
      <c r="G867" s="2">
        <f t="shared" si="513"/>
        <v>0</v>
      </c>
      <c r="H867" s="2">
        <f t="shared" si="513"/>
        <v>0</v>
      </c>
      <c r="I867" s="2">
        <f t="shared" si="513"/>
        <v>0</v>
      </c>
      <c r="J867" s="2">
        <f t="shared" si="513"/>
        <v>0</v>
      </c>
      <c r="K867" s="14">
        <f t="shared" si="513"/>
        <v>0</v>
      </c>
      <c r="L867" s="2">
        <f t="shared" si="513"/>
        <v>0</v>
      </c>
      <c r="M867" s="2">
        <f t="shared" si="513"/>
        <v>239.14</v>
      </c>
      <c r="N867" s="2">
        <f t="shared" si="513"/>
        <v>1315270</v>
      </c>
      <c r="O867" s="2">
        <f t="shared" si="513"/>
        <v>0</v>
      </c>
      <c r="P867" s="2">
        <f t="shared" si="513"/>
        <v>0</v>
      </c>
      <c r="Q867" s="2">
        <f t="shared" si="513"/>
        <v>0</v>
      </c>
      <c r="R867" s="2">
        <f t="shared" si="513"/>
        <v>0</v>
      </c>
      <c r="S867" s="2">
        <f t="shared" si="513"/>
        <v>0</v>
      </c>
      <c r="T867" s="2">
        <f t="shared" si="513"/>
        <v>0</v>
      </c>
      <c r="U867" s="2">
        <f t="shared" si="513"/>
        <v>0</v>
      </c>
    </row>
    <row r="868" spans="1:22" ht="21.95" customHeight="1" x14ac:dyDescent="0.25">
      <c r="A868" s="40" t="s">
        <v>1079</v>
      </c>
      <c r="B868" s="8" t="s">
        <v>160</v>
      </c>
      <c r="C868" s="2">
        <f t="shared" si="492"/>
        <v>1315270</v>
      </c>
      <c r="D868" s="3">
        <f t="shared" ref="D868" si="514">SUM(E868:J868)</f>
        <v>0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4">
        <v>0</v>
      </c>
      <c r="L868" s="3">
        <v>0</v>
      </c>
      <c r="M868" s="3">
        <v>239.14</v>
      </c>
      <c r="N868" s="3">
        <f t="shared" ref="N868" si="515">M868*5500</f>
        <v>1315270</v>
      </c>
      <c r="O868" s="3">
        <v>0</v>
      </c>
      <c r="P868" s="3">
        <v>0</v>
      </c>
      <c r="Q868" s="3">
        <v>0</v>
      </c>
      <c r="R868" s="5">
        <v>0</v>
      </c>
      <c r="S868" s="3">
        <v>0</v>
      </c>
      <c r="T868" s="3">
        <v>0</v>
      </c>
      <c r="U868" s="3">
        <v>0</v>
      </c>
      <c r="V868" s="6">
        <f t="shared" ref="V868" si="516">N868/M868</f>
        <v>5500</v>
      </c>
    </row>
    <row r="869" spans="1:22" ht="45" customHeight="1" x14ac:dyDescent="0.25">
      <c r="A869" s="51" t="s">
        <v>163</v>
      </c>
      <c r="B869" s="51"/>
      <c r="C869" s="2">
        <f>SUM(C870:C884)</f>
        <v>88036412.599999994</v>
      </c>
      <c r="D869" s="2">
        <f t="shared" ref="D869:U869" si="517">SUM(D870:D884)</f>
        <v>22923560</v>
      </c>
      <c r="E869" s="2">
        <f t="shared" si="517"/>
        <v>4633160</v>
      </c>
      <c r="F869" s="2">
        <f t="shared" si="517"/>
        <v>12003075</v>
      </c>
      <c r="G869" s="2">
        <f t="shared" si="517"/>
        <v>3429450</v>
      </c>
      <c r="H869" s="2">
        <f t="shared" si="517"/>
        <v>0</v>
      </c>
      <c r="I869" s="2">
        <f t="shared" si="517"/>
        <v>2857875</v>
      </c>
      <c r="J869" s="2">
        <f t="shared" si="517"/>
        <v>0</v>
      </c>
      <c r="K869" s="14">
        <f t="shared" si="517"/>
        <v>0</v>
      </c>
      <c r="L869" s="2">
        <f t="shared" si="517"/>
        <v>0</v>
      </c>
      <c r="M869" s="2">
        <f t="shared" si="517"/>
        <v>7297.6</v>
      </c>
      <c r="N869" s="2">
        <f t="shared" si="517"/>
        <v>38596532.600000001</v>
      </c>
      <c r="O869" s="2">
        <f t="shared" si="517"/>
        <v>507.1</v>
      </c>
      <c r="P869" s="2">
        <f t="shared" si="517"/>
        <v>608520</v>
      </c>
      <c r="Q869" s="2">
        <f t="shared" si="517"/>
        <v>8202.6</v>
      </c>
      <c r="R869" s="2">
        <f t="shared" si="517"/>
        <v>24607800</v>
      </c>
      <c r="S869" s="2">
        <f t="shared" si="517"/>
        <v>0</v>
      </c>
      <c r="T869" s="2">
        <f t="shared" si="517"/>
        <v>0</v>
      </c>
      <c r="U869" s="2">
        <f t="shared" si="517"/>
        <v>1300000</v>
      </c>
    </row>
    <row r="870" spans="1:22" ht="21.95" customHeight="1" x14ac:dyDescent="0.25">
      <c r="A870" s="40" t="s">
        <v>1080</v>
      </c>
      <c r="B870" s="1" t="s">
        <v>193</v>
      </c>
      <c r="C870" s="2">
        <f t="shared" si="492"/>
        <v>6017000</v>
      </c>
      <c r="D870" s="3">
        <f t="shared" ref="D870:D884" si="518">SUM(E870:J870)</f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735.8</v>
      </c>
      <c r="N870" s="3">
        <f t="shared" ref="N870:N877" si="519">M870*5500</f>
        <v>4046899.9999999995</v>
      </c>
      <c r="O870" s="3">
        <v>0</v>
      </c>
      <c r="P870" s="3">
        <f>O870*410</f>
        <v>0</v>
      </c>
      <c r="Q870" s="3">
        <v>656.7</v>
      </c>
      <c r="R870" s="3">
        <f t="shared" ref="R870:R884" si="520">Q870*3000</f>
        <v>1970100.0000000002</v>
      </c>
      <c r="S870" s="3">
        <f>S913</f>
        <v>0</v>
      </c>
      <c r="T870" s="3">
        <v>0</v>
      </c>
      <c r="U870" s="3">
        <v>0</v>
      </c>
      <c r="V870" s="6">
        <f t="shared" ref="V870:V884" si="521">N870/M870</f>
        <v>5500</v>
      </c>
    </row>
    <row r="871" spans="1:22" ht="21.95" customHeight="1" x14ac:dyDescent="0.25">
      <c r="A871" s="40" t="s">
        <v>1081</v>
      </c>
      <c r="B871" s="1" t="s">
        <v>194</v>
      </c>
      <c r="C871" s="2">
        <f t="shared" si="492"/>
        <v>5666190</v>
      </c>
      <c r="D871" s="3">
        <f t="shared" si="518"/>
        <v>1798290</v>
      </c>
      <c r="E871" s="3">
        <f>350*922.2</f>
        <v>322770</v>
      </c>
      <c r="F871" s="3">
        <f>1050*922.2</f>
        <v>968310</v>
      </c>
      <c r="G871" s="3">
        <f>300*922.2</f>
        <v>276660</v>
      </c>
      <c r="H871" s="3">
        <f>400*0</f>
        <v>0</v>
      </c>
      <c r="I871" s="3">
        <f>250*922.2</f>
        <v>230550</v>
      </c>
      <c r="J871" s="3">
        <v>0</v>
      </c>
      <c r="K871" s="4">
        <v>0</v>
      </c>
      <c r="L871" s="3">
        <v>0</v>
      </c>
      <c r="M871" s="3">
        <v>306.8</v>
      </c>
      <c r="N871" s="3">
        <f t="shared" si="519"/>
        <v>1687400</v>
      </c>
      <c r="O871" s="3">
        <v>0</v>
      </c>
      <c r="P871" s="3">
        <f>O871*410</f>
        <v>0</v>
      </c>
      <c r="Q871" s="3">
        <v>693.5</v>
      </c>
      <c r="R871" s="3">
        <f t="shared" si="520"/>
        <v>2080500</v>
      </c>
      <c r="S871" s="3">
        <f>S915</f>
        <v>0</v>
      </c>
      <c r="T871" s="3">
        <v>0</v>
      </c>
      <c r="U871" s="3">
        <v>100000</v>
      </c>
      <c r="V871" s="6">
        <f t="shared" si="521"/>
        <v>5500</v>
      </c>
    </row>
    <row r="872" spans="1:22" ht="21.95" customHeight="1" x14ac:dyDescent="0.25">
      <c r="A872" s="40" t="s">
        <v>1082</v>
      </c>
      <c r="B872" s="1" t="s">
        <v>195</v>
      </c>
      <c r="C872" s="2">
        <f t="shared" si="492"/>
        <v>6601640</v>
      </c>
      <c r="D872" s="3">
        <f t="shared" si="518"/>
        <v>519540.00000000006</v>
      </c>
      <c r="E872" s="3">
        <f>350*1484.4</f>
        <v>519540.00000000006</v>
      </c>
      <c r="F872" s="3">
        <f>1050*0</f>
        <v>0</v>
      </c>
      <c r="G872" s="3">
        <f>300*0</f>
        <v>0</v>
      </c>
      <c r="H872" s="3">
        <f>400*0</f>
        <v>0</v>
      </c>
      <c r="I872" s="3">
        <f>250*0</f>
        <v>0</v>
      </c>
      <c r="J872" s="3">
        <v>0</v>
      </c>
      <c r="K872" s="4">
        <v>0</v>
      </c>
      <c r="L872" s="3">
        <v>0</v>
      </c>
      <c r="M872" s="3">
        <v>688.6</v>
      </c>
      <c r="N872" s="3">
        <f t="shared" si="519"/>
        <v>3787300</v>
      </c>
      <c r="O872" s="3">
        <v>0</v>
      </c>
      <c r="P872" s="3">
        <f>O872*410</f>
        <v>0</v>
      </c>
      <c r="Q872" s="3">
        <v>731.6</v>
      </c>
      <c r="R872" s="3">
        <f t="shared" si="520"/>
        <v>2194800</v>
      </c>
      <c r="S872" s="3">
        <f t="shared" ref="S872:S876" si="522">S917</f>
        <v>0</v>
      </c>
      <c r="T872" s="3">
        <v>0</v>
      </c>
      <c r="U872" s="3">
        <v>100000</v>
      </c>
      <c r="V872" s="6">
        <f t="shared" si="521"/>
        <v>5500</v>
      </c>
    </row>
    <row r="873" spans="1:22" ht="21.95" customHeight="1" x14ac:dyDescent="0.25">
      <c r="A873" s="40" t="s">
        <v>1083</v>
      </c>
      <c r="B873" s="1" t="s">
        <v>196</v>
      </c>
      <c r="C873" s="2">
        <f t="shared" si="492"/>
        <v>6106100</v>
      </c>
      <c r="D873" s="3">
        <f t="shared" si="518"/>
        <v>2414100</v>
      </c>
      <c r="E873" s="3">
        <f>350*1238</f>
        <v>433300</v>
      </c>
      <c r="F873" s="3">
        <f>1050*1238</f>
        <v>1299900</v>
      </c>
      <c r="G873" s="3">
        <f>300*1238</f>
        <v>371400</v>
      </c>
      <c r="H873" s="3">
        <v>0</v>
      </c>
      <c r="I873" s="3">
        <f>250*1238</f>
        <v>309500</v>
      </c>
      <c r="J873" s="3">
        <f>350*0</f>
        <v>0</v>
      </c>
      <c r="K873" s="4">
        <v>0</v>
      </c>
      <c r="L873" s="3">
        <v>0</v>
      </c>
      <c r="M873" s="3">
        <v>476.2</v>
      </c>
      <c r="N873" s="3">
        <f t="shared" si="519"/>
        <v>2619100</v>
      </c>
      <c r="O873" s="3">
        <v>0</v>
      </c>
      <c r="P873" s="3">
        <f>O873*410</f>
        <v>0</v>
      </c>
      <c r="Q873" s="3">
        <v>324.3</v>
      </c>
      <c r="R873" s="3">
        <f t="shared" si="520"/>
        <v>972900</v>
      </c>
      <c r="S873" s="3">
        <f t="shared" si="522"/>
        <v>0</v>
      </c>
      <c r="T873" s="3">
        <v>0</v>
      </c>
      <c r="U873" s="3">
        <v>100000</v>
      </c>
      <c r="V873" s="6">
        <f t="shared" si="521"/>
        <v>5500</v>
      </c>
    </row>
    <row r="874" spans="1:22" ht="21.95" customHeight="1" x14ac:dyDescent="0.25">
      <c r="A874" s="40" t="s">
        <v>1084</v>
      </c>
      <c r="B874" s="1" t="s">
        <v>197</v>
      </c>
      <c r="C874" s="2">
        <f t="shared" si="492"/>
        <v>6597900</v>
      </c>
      <c r="D874" s="3">
        <f t="shared" si="518"/>
        <v>2554500</v>
      </c>
      <c r="E874" s="3">
        <f>350*1310</f>
        <v>458500</v>
      </c>
      <c r="F874" s="3">
        <f>1050*1310</f>
        <v>1375500</v>
      </c>
      <c r="G874" s="3">
        <f>300*1310</f>
        <v>393000</v>
      </c>
      <c r="H874" s="3">
        <v>0</v>
      </c>
      <c r="I874" s="3">
        <f>250*1310</f>
        <v>327500</v>
      </c>
      <c r="J874" s="3">
        <f>350*0</f>
        <v>0</v>
      </c>
      <c r="K874" s="4">
        <v>0</v>
      </c>
      <c r="L874" s="3">
        <v>0</v>
      </c>
      <c r="M874" s="3">
        <v>582.79999999999995</v>
      </c>
      <c r="N874" s="3">
        <f t="shared" si="519"/>
        <v>3205399.9999999995</v>
      </c>
      <c r="O874" s="3">
        <v>0</v>
      </c>
      <c r="P874" s="3">
        <f>O874*410</f>
        <v>0</v>
      </c>
      <c r="Q874" s="3">
        <v>246</v>
      </c>
      <c r="R874" s="3">
        <f t="shared" si="520"/>
        <v>738000</v>
      </c>
      <c r="S874" s="3">
        <f t="shared" si="522"/>
        <v>0</v>
      </c>
      <c r="T874" s="3">
        <v>0</v>
      </c>
      <c r="U874" s="3">
        <v>100000</v>
      </c>
      <c r="V874" s="6">
        <f t="shared" si="521"/>
        <v>5500</v>
      </c>
    </row>
    <row r="875" spans="1:22" ht="21.95" customHeight="1" x14ac:dyDescent="0.25">
      <c r="A875" s="40" t="s">
        <v>1085</v>
      </c>
      <c r="B875" s="1" t="s">
        <v>198</v>
      </c>
      <c r="C875" s="2">
        <f t="shared" si="492"/>
        <v>2099245</v>
      </c>
      <c r="D875" s="3">
        <f t="shared" si="518"/>
        <v>112595</v>
      </c>
      <c r="E875" s="3">
        <f>350*321.7</f>
        <v>112595</v>
      </c>
      <c r="F875" s="3">
        <f>1050*0</f>
        <v>0</v>
      </c>
      <c r="G875" s="3">
        <f>300*0</f>
        <v>0</v>
      </c>
      <c r="H875" s="3">
        <f>400*0</f>
        <v>0</v>
      </c>
      <c r="I875" s="3">
        <f>250*0</f>
        <v>0</v>
      </c>
      <c r="J875" s="3">
        <v>0</v>
      </c>
      <c r="K875" s="4">
        <v>0</v>
      </c>
      <c r="L875" s="3">
        <v>0</v>
      </c>
      <c r="M875" s="3">
        <v>176.5</v>
      </c>
      <c r="N875" s="3">
        <f t="shared" si="519"/>
        <v>970750</v>
      </c>
      <c r="O875" s="3">
        <v>0</v>
      </c>
      <c r="P875" s="3">
        <v>0</v>
      </c>
      <c r="Q875" s="3">
        <v>305.3</v>
      </c>
      <c r="R875" s="3">
        <f t="shared" si="520"/>
        <v>915900</v>
      </c>
      <c r="S875" s="3">
        <f t="shared" si="522"/>
        <v>0</v>
      </c>
      <c r="T875" s="3">
        <v>0</v>
      </c>
      <c r="U875" s="3">
        <v>100000</v>
      </c>
      <c r="V875" s="6">
        <f t="shared" si="521"/>
        <v>5500</v>
      </c>
    </row>
    <row r="876" spans="1:22" ht="21.95" customHeight="1" x14ac:dyDescent="0.25">
      <c r="A876" s="40" t="s">
        <v>1086</v>
      </c>
      <c r="B876" s="1" t="s">
        <v>199</v>
      </c>
      <c r="C876" s="2">
        <f t="shared" si="492"/>
        <v>11319415</v>
      </c>
      <c r="D876" s="3">
        <f t="shared" si="518"/>
        <v>4260165</v>
      </c>
      <c r="E876" s="3">
        <f>350*2184.7</f>
        <v>764644.99999999988</v>
      </c>
      <c r="F876" s="3">
        <f>1050*2184.7</f>
        <v>2293935</v>
      </c>
      <c r="G876" s="3">
        <f>300*2184.7</f>
        <v>655410</v>
      </c>
      <c r="H876" s="3">
        <f>400*0</f>
        <v>0</v>
      </c>
      <c r="I876" s="3">
        <f>250*2184.7</f>
        <v>546175</v>
      </c>
      <c r="J876" s="3">
        <v>0</v>
      </c>
      <c r="K876" s="4">
        <v>0</v>
      </c>
      <c r="L876" s="3">
        <v>0</v>
      </c>
      <c r="M876" s="3">
        <v>657.9</v>
      </c>
      <c r="N876" s="3">
        <f t="shared" si="519"/>
        <v>3618450</v>
      </c>
      <c r="O876" s="3">
        <v>0</v>
      </c>
      <c r="P876" s="3">
        <v>0</v>
      </c>
      <c r="Q876" s="3">
        <v>1113.5999999999999</v>
      </c>
      <c r="R876" s="3">
        <f t="shared" si="520"/>
        <v>3340799.9999999995</v>
      </c>
      <c r="S876" s="3">
        <f t="shared" si="522"/>
        <v>0</v>
      </c>
      <c r="T876" s="3">
        <v>0</v>
      </c>
      <c r="U876" s="3">
        <v>100000</v>
      </c>
      <c r="V876" s="6">
        <f t="shared" si="521"/>
        <v>5500</v>
      </c>
    </row>
    <row r="877" spans="1:22" ht="21.95" customHeight="1" x14ac:dyDescent="0.25">
      <c r="A877" s="40" t="s">
        <v>1087</v>
      </c>
      <c r="B877" s="1" t="s">
        <v>200</v>
      </c>
      <c r="C877" s="2">
        <f t="shared" si="492"/>
        <v>7035445</v>
      </c>
      <c r="D877" s="3">
        <f t="shared" si="518"/>
        <v>1896375</v>
      </c>
      <c r="E877" s="3">
        <f>350*972.5</f>
        <v>340375</v>
      </c>
      <c r="F877" s="3">
        <f>1050*972.5</f>
        <v>1021125</v>
      </c>
      <c r="G877" s="3">
        <f>300*972.5</f>
        <v>291750</v>
      </c>
      <c r="H877" s="3">
        <f>400*0</f>
        <v>0</v>
      </c>
      <c r="I877" s="3">
        <f>250*972.5</f>
        <v>243125</v>
      </c>
      <c r="J877" s="3">
        <v>0</v>
      </c>
      <c r="K877" s="4">
        <v>0</v>
      </c>
      <c r="L877" s="3">
        <v>0</v>
      </c>
      <c r="M877" s="3">
        <v>620.70000000000005</v>
      </c>
      <c r="N877" s="3">
        <f t="shared" si="519"/>
        <v>3413850.0000000005</v>
      </c>
      <c r="O877" s="3">
        <v>507.1</v>
      </c>
      <c r="P877" s="3">
        <f>O877*1200</f>
        <v>608520</v>
      </c>
      <c r="Q877" s="3">
        <v>338.9</v>
      </c>
      <c r="R877" s="3">
        <f t="shared" si="520"/>
        <v>1016699.9999999999</v>
      </c>
      <c r="S877" s="3">
        <v>0</v>
      </c>
      <c r="T877" s="3">
        <v>0</v>
      </c>
      <c r="U877" s="3">
        <v>100000</v>
      </c>
      <c r="V877" s="6">
        <f t="shared" si="521"/>
        <v>5500</v>
      </c>
    </row>
    <row r="878" spans="1:22" ht="21.95" customHeight="1" x14ac:dyDescent="0.25">
      <c r="A878" s="40" t="s">
        <v>1088</v>
      </c>
      <c r="B878" s="1" t="s">
        <v>201</v>
      </c>
      <c r="C878" s="2">
        <f t="shared" si="492"/>
        <v>200000</v>
      </c>
      <c r="D878" s="3">
        <f t="shared" si="518"/>
        <v>0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4">
        <v>0</v>
      </c>
      <c r="L878" s="3">
        <v>0</v>
      </c>
      <c r="M878" s="3">
        <v>0</v>
      </c>
      <c r="N878" s="3">
        <v>0</v>
      </c>
      <c r="O878" s="3">
        <v>0</v>
      </c>
      <c r="P878" s="3">
        <v>0</v>
      </c>
      <c r="Q878" s="3">
        <v>0</v>
      </c>
      <c r="R878" s="3">
        <f t="shared" si="520"/>
        <v>0</v>
      </c>
      <c r="S878" s="3">
        <v>0</v>
      </c>
      <c r="T878" s="3">
        <v>0</v>
      </c>
      <c r="U878" s="3">
        <v>200000</v>
      </c>
      <c r="V878" s="6" t="e">
        <f t="shared" si="521"/>
        <v>#DIV/0!</v>
      </c>
    </row>
    <row r="879" spans="1:22" ht="21.95" customHeight="1" x14ac:dyDescent="0.25">
      <c r="A879" s="40" t="s">
        <v>1089</v>
      </c>
      <c r="B879" s="1" t="s">
        <v>202</v>
      </c>
      <c r="C879" s="2">
        <f t="shared" si="492"/>
        <v>3129782.6</v>
      </c>
      <c r="D879" s="3">
        <f t="shared" si="518"/>
        <v>0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  <c r="K879" s="4">
        <v>0</v>
      </c>
      <c r="L879" s="3">
        <v>0</v>
      </c>
      <c r="M879" s="3">
        <v>849.1</v>
      </c>
      <c r="N879" s="3">
        <f>M879*3686</f>
        <v>3129782.6</v>
      </c>
      <c r="O879" s="3">
        <v>0</v>
      </c>
      <c r="P879" s="3">
        <v>0</v>
      </c>
      <c r="Q879" s="3">
        <v>0</v>
      </c>
      <c r="R879" s="3">
        <f t="shared" si="520"/>
        <v>0</v>
      </c>
      <c r="S879" s="3">
        <v>0</v>
      </c>
      <c r="T879" s="3">
        <v>0</v>
      </c>
      <c r="U879" s="3">
        <v>0</v>
      </c>
      <c r="V879" s="6">
        <f t="shared" si="521"/>
        <v>3686</v>
      </c>
    </row>
    <row r="880" spans="1:22" ht="21.95" customHeight="1" x14ac:dyDescent="0.25">
      <c r="A880" s="40" t="s">
        <v>1090</v>
      </c>
      <c r="B880" s="21" t="s">
        <v>203</v>
      </c>
      <c r="C880" s="2">
        <f t="shared" si="492"/>
        <v>15573195</v>
      </c>
      <c r="D880" s="3">
        <f t="shared" si="518"/>
        <v>5253495</v>
      </c>
      <c r="E880" s="3">
        <f>350*2694.1</f>
        <v>942935</v>
      </c>
      <c r="F880" s="3">
        <f>1050*2694.1</f>
        <v>2828805</v>
      </c>
      <c r="G880" s="3">
        <f>300*2694.1</f>
        <v>808230</v>
      </c>
      <c r="H880" s="3">
        <f>400*0</f>
        <v>0</v>
      </c>
      <c r="I880" s="3">
        <f>250*2694.1</f>
        <v>673525</v>
      </c>
      <c r="J880" s="3">
        <v>0</v>
      </c>
      <c r="K880" s="4">
        <v>0</v>
      </c>
      <c r="L880" s="3">
        <v>0</v>
      </c>
      <c r="M880" s="3">
        <v>781.4</v>
      </c>
      <c r="N880" s="3">
        <f t="shared" ref="N880:N884" si="523">M880*5500</f>
        <v>4297700</v>
      </c>
      <c r="O880" s="3">
        <v>0</v>
      </c>
      <c r="P880" s="3">
        <v>0</v>
      </c>
      <c r="Q880" s="3">
        <v>1974</v>
      </c>
      <c r="R880" s="3">
        <f t="shared" si="520"/>
        <v>5922000</v>
      </c>
      <c r="S880" s="3">
        <f t="shared" ref="S880:S883" si="524">S923</f>
        <v>0</v>
      </c>
      <c r="T880" s="3">
        <v>0</v>
      </c>
      <c r="U880" s="3">
        <v>100000</v>
      </c>
      <c r="V880" s="6">
        <f t="shared" si="521"/>
        <v>5500</v>
      </c>
    </row>
    <row r="881" spans="1:22" ht="21.95" customHeight="1" x14ac:dyDescent="0.25">
      <c r="A881" s="40" t="s">
        <v>1091</v>
      </c>
      <c r="B881" s="1" t="s">
        <v>207</v>
      </c>
      <c r="C881" s="2">
        <f t="shared" si="492"/>
        <v>3694900</v>
      </c>
      <c r="D881" s="3">
        <f t="shared" si="518"/>
        <v>0</v>
      </c>
      <c r="E881" s="3">
        <v>0</v>
      </c>
      <c r="F881" s="3">
        <v>0</v>
      </c>
      <c r="G881" s="3">
        <v>0</v>
      </c>
      <c r="H881" s="3">
        <v>0</v>
      </c>
      <c r="I881" s="3">
        <v>0</v>
      </c>
      <c r="J881" s="3">
        <v>0</v>
      </c>
      <c r="K881" s="4">
        <v>0</v>
      </c>
      <c r="L881" s="3">
        <v>0</v>
      </c>
      <c r="M881" s="3">
        <v>415</v>
      </c>
      <c r="N881" s="3">
        <f t="shared" si="523"/>
        <v>2282500</v>
      </c>
      <c r="O881" s="3">
        <v>0</v>
      </c>
      <c r="P881" s="3">
        <v>0</v>
      </c>
      <c r="Q881" s="3">
        <v>470.8</v>
      </c>
      <c r="R881" s="3">
        <f t="shared" si="520"/>
        <v>1412400</v>
      </c>
      <c r="S881" s="3">
        <f t="shared" si="524"/>
        <v>0</v>
      </c>
      <c r="T881" s="3">
        <v>0</v>
      </c>
      <c r="U881" s="3">
        <v>0</v>
      </c>
      <c r="V881" s="6">
        <f t="shared" si="521"/>
        <v>5500</v>
      </c>
    </row>
    <row r="882" spans="1:22" ht="21.95" customHeight="1" x14ac:dyDescent="0.25">
      <c r="A882" s="40" t="s">
        <v>1092</v>
      </c>
      <c r="B882" s="1" t="s">
        <v>204</v>
      </c>
      <c r="C882" s="2">
        <f t="shared" si="492"/>
        <v>4245065</v>
      </c>
      <c r="D882" s="3">
        <f t="shared" si="518"/>
        <v>1354665</v>
      </c>
      <c r="E882" s="3">
        <f>350*694.7</f>
        <v>243145.00000000003</v>
      </c>
      <c r="F882" s="3">
        <f>1050*694.7</f>
        <v>729435</v>
      </c>
      <c r="G882" s="3">
        <f>300*694.7</f>
        <v>208410</v>
      </c>
      <c r="H882" s="3">
        <f>400*0</f>
        <v>0</v>
      </c>
      <c r="I882" s="3">
        <f>250*694.7</f>
        <v>173675</v>
      </c>
      <c r="J882" s="3">
        <v>0</v>
      </c>
      <c r="K882" s="4">
        <v>0</v>
      </c>
      <c r="L882" s="3">
        <v>0</v>
      </c>
      <c r="M882" s="3">
        <v>254.8</v>
      </c>
      <c r="N882" s="3">
        <f t="shared" si="523"/>
        <v>1401400</v>
      </c>
      <c r="O882" s="3">
        <v>0</v>
      </c>
      <c r="P882" s="3">
        <v>0</v>
      </c>
      <c r="Q882" s="3">
        <v>463</v>
      </c>
      <c r="R882" s="3">
        <f t="shared" si="520"/>
        <v>1389000</v>
      </c>
      <c r="S882" s="3">
        <f t="shared" si="524"/>
        <v>0</v>
      </c>
      <c r="T882" s="3">
        <v>0</v>
      </c>
      <c r="U882" s="3">
        <v>100000</v>
      </c>
      <c r="V882" s="6">
        <f t="shared" si="521"/>
        <v>5500</v>
      </c>
    </row>
    <row r="883" spans="1:22" ht="21.95" customHeight="1" x14ac:dyDescent="0.25">
      <c r="A883" s="40" t="s">
        <v>1093</v>
      </c>
      <c r="B883" s="1" t="s">
        <v>205</v>
      </c>
      <c r="C883" s="2">
        <f t="shared" si="492"/>
        <v>4985375</v>
      </c>
      <c r="D883" s="3">
        <f t="shared" si="518"/>
        <v>1367925</v>
      </c>
      <c r="E883" s="3">
        <f>350*701.5</f>
        <v>245525</v>
      </c>
      <c r="F883" s="3">
        <f>1050*701.5</f>
        <v>736575</v>
      </c>
      <c r="G883" s="3">
        <f>300*701.5</f>
        <v>210450</v>
      </c>
      <c r="H883" s="3">
        <f>400*0</f>
        <v>0</v>
      </c>
      <c r="I883" s="3">
        <f>250*701.5</f>
        <v>175375</v>
      </c>
      <c r="J883" s="3">
        <v>0</v>
      </c>
      <c r="K883" s="4">
        <v>0</v>
      </c>
      <c r="L883" s="3">
        <v>0</v>
      </c>
      <c r="M883" s="3">
        <v>384.1</v>
      </c>
      <c r="N883" s="3">
        <f t="shared" si="523"/>
        <v>2112550</v>
      </c>
      <c r="O883" s="3">
        <v>0</v>
      </c>
      <c r="P883" s="3">
        <v>0</v>
      </c>
      <c r="Q883" s="3">
        <v>468.3</v>
      </c>
      <c r="R883" s="3">
        <f t="shared" si="520"/>
        <v>1404900</v>
      </c>
      <c r="S883" s="3">
        <f t="shared" si="524"/>
        <v>0</v>
      </c>
      <c r="T883" s="3">
        <v>0</v>
      </c>
      <c r="U883" s="3">
        <v>100000</v>
      </c>
      <c r="V883" s="6">
        <f t="shared" si="521"/>
        <v>5500</v>
      </c>
    </row>
    <row r="884" spans="1:22" ht="21.95" customHeight="1" x14ac:dyDescent="0.25">
      <c r="A884" s="40" t="s">
        <v>1094</v>
      </c>
      <c r="B884" s="1" t="s">
        <v>206</v>
      </c>
      <c r="C884" s="2">
        <f t="shared" si="492"/>
        <v>4765160</v>
      </c>
      <c r="D884" s="3">
        <f t="shared" si="518"/>
        <v>1391910</v>
      </c>
      <c r="E884" s="3">
        <f>350*713.8</f>
        <v>249829.99999999997</v>
      </c>
      <c r="F884" s="3">
        <f>1050*713.8</f>
        <v>749490</v>
      </c>
      <c r="G884" s="3">
        <f>300*713.8</f>
        <v>214140</v>
      </c>
      <c r="H884" s="3">
        <f>400*0</f>
        <v>0</v>
      </c>
      <c r="I884" s="3">
        <f>250*713.8</f>
        <v>178450</v>
      </c>
      <c r="J884" s="3">
        <v>0</v>
      </c>
      <c r="K884" s="4">
        <v>0</v>
      </c>
      <c r="L884" s="3">
        <v>0</v>
      </c>
      <c r="M884" s="3">
        <v>367.9</v>
      </c>
      <c r="N884" s="3">
        <f t="shared" si="523"/>
        <v>2023449.9999999998</v>
      </c>
      <c r="O884" s="3">
        <v>0</v>
      </c>
      <c r="P884" s="3">
        <v>0</v>
      </c>
      <c r="Q884" s="3">
        <v>416.6</v>
      </c>
      <c r="R884" s="3">
        <f t="shared" si="520"/>
        <v>1249800</v>
      </c>
      <c r="S884" s="3">
        <v>0</v>
      </c>
      <c r="T884" s="3">
        <v>0</v>
      </c>
      <c r="U884" s="3">
        <v>100000</v>
      </c>
      <c r="V884" s="6">
        <f t="shared" si="521"/>
        <v>5500</v>
      </c>
    </row>
    <row r="885" spans="1:22" ht="45" customHeight="1" x14ac:dyDescent="0.25">
      <c r="A885" s="51" t="s">
        <v>222</v>
      </c>
      <c r="B885" s="51"/>
      <c r="C885" s="2">
        <f>SUM(C886:C889)</f>
        <v>12297580</v>
      </c>
      <c r="D885" s="2">
        <f t="shared" ref="D885:U885" si="525">SUM(D886:D889)</f>
        <v>2532255</v>
      </c>
      <c r="E885" s="2">
        <f t="shared" si="525"/>
        <v>1273125</v>
      </c>
      <c r="F885" s="2">
        <f t="shared" si="525"/>
        <v>768600</v>
      </c>
      <c r="G885" s="2">
        <f t="shared" si="525"/>
        <v>307530</v>
      </c>
      <c r="H885" s="2">
        <f t="shared" si="525"/>
        <v>0</v>
      </c>
      <c r="I885" s="2">
        <f t="shared" si="525"/>
        <v>183000</v>
      </c>
      <c r="J885" s="2">
        <f t="shared" si="525"/>
        <v>0</v>
      </c>
      <c r="K885" s="14">
        <f t="shared" si="525"/>
        <v>0</v>
      </c>
      <c r="L885" s="2">
        <f t="shared" si="525"/>
        <v>0</v>
      </c>
      <c r="M885" s="2">
        <f t="shared" si="525"/>
        <v>987.75</v>
      </c>
      <c r="N885" s="2">
        <f t="shared" si="525"/>
        <v>5432625</v>
      </c>
      <c r="O885" s="2">
        <f t="shared" si="525"/>
        <v>0</v>
      </c>
      <c r="P885" s="2">
        <f t="shared" si="525"/>
        <v>0</v>
      </c>
      <c r="Q885" s="2">
        <f t="shared" si="525"/>
        <v>1310.9</v>
      </c>
      <c r="R885" s="2">
        <f t="shared" si="525"/>
        <v>3932700</v>
      </c>
      <c r="S885" s="2">
        <f t="shared" si="525"/>
        <v>0</v>
      </c>
      <c r="T885" s="2">
        <f t="shared" si="525"/>
        <v>0</v>
      </c>
      <c r="U885" s="2">
        <f t="shared" si="525"/>
        <v>400000</v>
      </c>
    </row>
    <row r="886" spans="1:22" ht="21.95" customHeight="1" x14ac:dyDescent="0.25">
      <c r="A886" s="40" t="s">
        <v>1095</v>
      </c>
      <c r="B886" s="8" t="s">
        <v>219</v>
      </c>
      <c r="C886" s="2">
        <f t="shared" si="492"/>
        <v>3767765</v>
      </c>
      <c r="D886" s="3">
        <f t="shared" ref="D886:D889" si="526">SUM(E886:J886)</f>
        <v>190515</v>
      </c>
      <c r="E886" s="3">
        <f>350*293.1</f>
        <v>102585.00000000001</v>
      </c>
      <c r="F886" s="3">
        <f>1050*0</f>
        <v>0</v>
      </c>
      <c r="G886" s="3">
        <f>300*293.1</f>
        <v>87930</v>
      </c>
      <c r="H886" s="3">
        <f>400*0</f>
        <v>0</v>
      </c>
      <c r="I886" s="3">
        <f>250*0</f>
        <v>0</v>
      </c>
      <c r="J886" s="3">
        <v>0</v>
      </c>
      <c r="K886" s="4">
        <v>0</v>
      </c>
      <c r="L886" s="3">
        <v>0</v>
      </c>
      <c r="M886" s="3">
        <v>371.5</v>
      </c>
      <c r="N886" s="3">
        <f t="shared" ref="N886:N889" si="527">M886*5500</f>
        <v>2043250</v>
      </c>
      <c r="O886" s="3">
        <v>0</v>
      </c>
      <c r="P886" s="3">
        <v>0</v>
      </c>
      <c r="Q886" s="3">
        <v>478</v>
      </c>
      <c r="R886" s="3">
        <f t="shared" ref="R886:R889" si="528">Q886*3000</f>
        <v>1434000</v>
      </c>
      <c r="S886" s="3">
        <v>0</v>
      </c>
      <c r="T886" s="3">
        <v>0</v>
      </c>
      <c r="U886" s="3">
        <v>100000</v>
      </c>
      <c r="V886" s="6">
        <f t="shared" ref="V886:V889" si="529">N886/M886</f>
        <v>5500</v>
      </c>
    </row>
    <row r="887" spans="1:22" ht="21.95" customHeight="1" x14ac:dyDescent="0.25">
      <c r="A887" s="40" t="s">
        <v>1096</v>
      </c>
      <c r="B887" s="8" t="s">
        <v>1643</v>
      </c>
      <c r="C887" s="2">
        <f t="shared" ref="C887" si="530">D887+L887+N887+P887+R887+S887+T887+U887</f>
        <v>1014340</v>
      </c>
      <c r="D887" s="3">
        <f t="shared" ref="D887" si="531">SUM(E887:J887)</f>
        <v>914340</v>
      </c>
      <c r="E887" s="3">
        <f>350*2612.4</f>
        <v>914340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4">
        <v>0</v>
      </c>
      <c r="L887" s="3">
        <v>0</v>
      </c>
      <c r="M887" s="3">
        <v>0</v>
      </c>
      <c r="N887" s="3">
        <v>0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100000</v>
      </c>
      <c r="V887" s="6" t="e">
        <f t="shared" si="529"/>
        <v>#DIV/0!</v>
      </c>
    </row>
    <row r="888" spans="1:22" ht="21.95" customHeight="1" x14ac:dyDescent="0.25">
      <c r="A888" s="40" t="s">
        <v>1097</v>
      </c>
      <c r="B888" s="8" t="s">
        <v>220</v>
      </c>
      <c r="C888" s="2">
        <f t="shared" si="492"/>
        <v>4435205</v>
      </c>
      <c r="D888" s="3">
        <f t="shared" si="526"/>
        <v>855855</v>
      </c>
      <c r="E888" s="3">
        <f>350*438.9</f>
        <v>153615</v>
      </c>
      <c r="F888" s="3">
        <f>1050*438.9</f>
        <v>460845</v>
      </c>
      <c r="G888" s="3">
        <f>300*438.9</f>
        <v>131670</v>
      </c>
      <c r="H888" s="3">
        <f>400*0</f>
        <v>0</v>
      </c>
      <c r="I888" s="3">
        <f>250*438.9</f>
        <v>109725</v>
      </c>
      <c r="J888" s="3">
        <v>0</v>
      </c>
      <c r="K888" s="4">
        <v>0</v>
      </c>
      <c r="L888" s="3">
        <v>0</v>
      </c>
      <c r="M888" s="3">
        <v>371.5</v>
      </c>
      <c r="N888" s="3">
        <f t="shared" si="527"/>
        <v>2043250</v>
      </c>
      <c r="O888" s="3">
        <v>0</v>
      </c>
      <c r="P888" s="3">
        <v>0</v>
      </c>
      <c r="Q888" s="3">
        <v>478.7</v>
      </c>
      <c r="R888" s="3">
        <f t="shared" si="528"/>
        <v>1436100</v>
      </c>
      <c r="S888" s="3">
        <v>0</v>
      </c>
      <c r="T888" s="3">
        <v>0</v>
      </c>
      <c r="U888" s="3">
        <v>100000</v>
      </c>
      <c r="V888" s="6">
        <f t="shared" si="529"/>
        <v>5500</v>
      </c>
    </row>
    <row r="889" spans="1:22" ht="21.95" customHeight="1" x14ac:dyDescent="0.25">
      <c r="A889" s="40" t="s">
        <v>1098</v>
      </c>
      <c r="B889" s="8" t="s">
        <v>221</v>
      </c>
      <c r="C889" s="2">
        <f t="shared" si="492"/>
        <v>3080270</v>
      </c>
      <c r="D889" s="3">
        <f t="shared" si="526"/>
        <v>571545</v>
      </c>
      <c r="E889" s="3">
        <f>350*293.1</f>
        <v>102585.00000000001</v>
      </c>
      <c r="F889" s="3">
        <f>1050*293.1</f>
        <v>307755</v>
      </c>
      <c r="G889" s="3">
        <f>300*293.1</f>
        <v>87930</v>
      </c>
      <c r="H889" s="3">
        <f>400*0</f>
        <v>0</v>
      </c>
      <c r="I889" s="3">
        <f>250*293.1</f>
        <v>73275</v>
      </c>
      <c r="J889" s="3">
        <v>0</v>
      </c>
      <c r="K889" s="4">
        <v>0</v>
      </c>
      <c r="L889" s="3">
        <v>0</v>
      </c>
      <c r="M889" s="3">
        <v>244.75</v>
      </c>
      <c r="N889" s="3">
        <f t="shared" si="527"/>
        <v>1346125</v>
      </c>
      <c r="O889" s="3">
        <v>0</v>
      </c>
      <c r="P889" s="3">
        <v>0</v>
      </c>
      <c r="Q889" s="3">
        <v>354.2</v>
      </c>
      <c r="R889" s="3">
        <f t="shared" si="528"/>
        <v>1062600</v>
      </c>
      <c r="S889" s="3">
        <v>0</v>
      </c>
      <c r="T889" s="3">
        <v>0</v>
      </c>
      <c r="U889" s="3">
        <v>100000</v>
      </c>
      <c r="V889" s="6">
        <f t="shared" si="529"/>
        <v>5500</v>
      </c>
    </row>
    <row r="890" spans="1:22" ht="45" customHeight="1" x14ac:dyDescent="0.25">
      <c r="A890" s="51" t="s">
        <v>226</v>
      </c>
      <c r="B890" s="51"/>
      <c r="C890" s="2">
        <f>SUM(C891:C894)</f>
        <v>12515689</v>
      </c>
      <c r="D890" s="2">
        <f t="shared" ref="D890:U890" si="532">SUM(D891:D894)</f>
        <v>988705</v>
      </c>
      <c r="E890" s="2">
        <f t="shared" si="532"/>
        <v>429520</v>
      </c>
      <c r="F890" s="2">
        <f t="shared" si="532"/>
        <v>0</v>
      </c>
      <c r="G890" s="2">
        <f t="shared" si="532"/>
        <v>305010</v>
      </c>
      <c r="H890" s="2">
        <f t="shared" si="532"/>
        <v>0</v>
      </c>
      <c r="I890" s="2">
        <f t="shared" si="532"/>
        <v>254175</v>
      </c>
      <c r="J890" s="2">
        <f t="shared" si="532"/>
        <v>0</v>
      </c>
      <c r="K890" s="14">
        <f t="shared" si="532"/>
        <v>0</v>
      </c>
      <c r="L890" s="2">
        <f t="shared" si="532"/>
        <v>0</v>
      </c>
      <c r="M890" s="2">
        <f t="shared" si="532"/>
        <v>1110.56</v>
      </c>
      <c r="N890" s="2">
        <f t="shared" si="532"/>
        <v>6108080</v>
      </c>
      <c r="O890" s="2">
        <f t="shared" si="532"/>
        <v>0</v>
      </c>
      <c r="P890" s="2">
        <f t="shared" si="532"/>
        <v>0</v>
      </c>
      <c r="Q890" s="2">
        <f t="shared" si="532"/>
        <v>1502.8400000000001</v>
      </c>
      <c r="R890" s="2">
        <f t="shared" si="532"/>
        <v>4508520</v>
      </c>
      <c r="S890" s="2">
        <f t="shared" si="532"/>
        <v>510384</v>
      </c>
      <c r="T890" s="2">
        <f t="shared" si="532"/>
        <v>0</v>
      </c>
      <c r="U890" s="2">
        <f t="shared" si="532"/>
        <v>400000</v>
      </c>
    </row>
    <row r="891" spans="1:22" ht="21.95" customHeight="1" x14ac:dyDescent="0.25">
      <c r="A891" s="40" t="s">
        <v>1099</v>
      </c>
      <c r="B891" s="8" t="s">
        <v>233</v>
      </c>
      <c r="C891" s="2">
        <f t="shared" si="492"/>
        <v>3870580</v>
      </c>
      <c r="D891" s="3">
        <f t="shared" ref="D891:D894" si="533">SUM(E891:J891)</f>
        <v>375300</v>
      </c>
      <c r="E891" s="3">
        <f>350*417</f>
        <v>145950</v>
      </c>
      <c r="F891" s="3">
        <v>0</v>
      </c>
      <c r="G891" s="3">
        <f>300*417</f>
        <v>125100</v>
      </c>
      <c r="H891" s="3">
        <f>400*0</f>
        <v>0</v>
      </c>
      <c r="I891" s="3">
        <f>250*417</f>
        <v>104250</v>
      </c>
      <c r="J891" s="3">
        <f>350*0</f>
        <v>0</v>
      </c>
      <c r="K891" s="4">
        <v>0</v>
      </c>
      <c r="L891" s="3">
        <v>0</v>
      </c>
      <c r="M891" s="3">
        <v>347.64</v>
      </c>
      <c r="N891" s="3">
        <f t="shared" ref="N891:N894" si="534">M891*5500</f>
        <v>1912020</v>
      </c>
      <c r="O891" s="3">
        <v>0</v>
      </c>
      <c r="P891" s="3">
        <v>0</v>
      </c>
      <c r="Q891" s="3">
        <v>442.2</v>
      </c>
      <c r="R891" s="3">
        <f t="shared" ref="R891:R894" si="535">Q891*3000</f>
        <v>1326600</v>
      </c>
      <c r="S891" s="3">
        <v>156660</v>
      </c>
      <c r="T891" s="3">
        <v>0</v>
      </c>
      <c r="U891" s="3">
        <v>100000</v>
      </c>
      <c r="V891" s="6">
        <f t="shared" ref="V891:V894" si="536">N891/M891</f>
        <v>5500</v>
      </c>
    </row>
    <row r="892" spans="1:22" ht="21.95" customHeight="1" x14ac:dyDescent="0.25">
      <c r="A892" s="40" t="s">
        <v>1100</v>
      </c>
      <c r="B892" s="8" t="s">
        <v>236</v>
      </c>
      <c r="C892" s="2">
        <f>D892+L892+N892+P892+R892+S892+T892+U892</f>
        <v>2852140</v>
      </c>
      <c r="D892" s="3">
        <f>SUM(E892:J892)</f>
        <v>269910</v>
      </c>
      <c r="E892" s="3">
        <f>350*299.9</f>
        <v>104964.99999999999</v>
      </c>
      <c r="F892" s="3">
        <v>0</v>
      </c>
      <c r="G892" s="3">
        <f>300*299.9</f>
        <v>89970</v>
      </c>
      <c r="H892" s="3">
        <f>400*0</f>
        <v>0</v>
      </c>
      <c r="I892" s="3">
        <f>250*299.9</f>
        <v>74975</v>
      </c>
      <c r="J892" s="3">
        <f>350*0</f>
        <v>0</v>
      </c>
      <c r="K892" s="4">
        <v>0</v>
      </c>
      <c r="L892" s="3">
        <v>0</v>
      </c>
      <c r="M892" s="3">
        <v>238.62</v>
      </c>
      <c r="N892" s="3">
        <f>M892*5500</f>
        <v>1312410</v>
      </c>
      <c r="O892" s="3">
        <v>0</v>
      </c>
      <c r="P892" s="3">
        <v>0</v>
      </c>
      <c r="Q892" s="3">
        <v>349.2</v>
      </c>
      <c r="R892" s="3">
        <f>Q892*3000</f>
        <v>1047600</v>
      </c>
      <c r="S892" s="3">
        <v>122220</v>
      </c>
      <c r="T892" s="3">
        <v>0</v>
      </c>
      <c r="U892" s="3">
        <v>100000</v>
      </c>
      <c r="V892" s="6">
        <f>N892/M892</f>
        <v>5500</v>
      </c>
    </row>
    <row r="893" spans="1:22" ht="21.95" customHeight="1" x14ac:dyDescent="0.25">
      <c r="A893" s="40" t="s">
        <v>1640</v>
      </c>
      <c r="B893" s="8" t="s">
        <v>234</v>
      </c>
      <c r="C893" s="2">
        <f t="shared" si="492"/>
        <v>2949273</v>
      </c>
      <c r="D893" s="3">
        <f t="shared" si="533"/>
        <v>269820</v>
      </c>
      <c r="E893" s="3">
        <f>350*299.8</f>
        <v>104930</v>
      </c>
      <c r="F893" s="3">
        <v>0</v>
      </c>
      <c r="G893" s="3">
        <f>300*299.8</f>
        <v>89940</v>
      </c>
      <c r="H893" s="3">
        <f>400*0</f>
        <v>0</v>
      </c>
      <c r="I893" s="3">
        <f>250*299.8</f>
        <v>74950</v>
      </c>
      <c r="J893" s="3">
        <f>350*0</f>
        <v>0</v>
      </c>
      <c r="K893" s="4">
        <v>0</v>
      </c>
      <c r="L893" s="3">
        <v>0</v>
      </c>
      <c r="M893" s="3">
        <v>255.83</v>
      </c>
      <c r="N893" s="3">
        <f t="shared" si="534"/>
        <v>1407065</v>
      </c>
      <c r="O893" s="3">
        <v>0</v>
      </c>
      <c r="P893" s="3">
        <v>0</v>
      </c>
      <c r="Q893" s="3">
        <v>350</v>
      </c>
      <c r="R893" s="3">
        <f t="shared" si="535"/>
        <v>1050000</v>
      </c>
      <c r="S893" s="3">
        <v>122388</v>
      </c>
      <c r="T893" s="3">
        <v>0</v>
      </c>
      <c r="U893" s="3">
        <v>100000</v>
      </c>
      <c r="V893" s="6">
        <f t="shared" si="536"/>
        <v>5500</v>
      </c>
    </row>
    <row r="894" spans="1:22" ht="21.95" customHeight="1" x14ac:dyDescent="0.25">
      <c r="A894" s="40" t="s">
        <v>1101</v>
      </c>
      <c r="B894" s="8" t="s">
        <v>237</v>
      </c>
      <c r="C894" s="2">
        <f t="shared" si="492"/>
        <v>2843696</v>
      </c>
      <c r="D894" s="3">
        <f t="shared" si="533"/>
        <v>73675</v>
      </c>
      <c r="E894" s="3">
        <f>350*210.5</f>
        <v>73675</v>
      </c>
      <c r="F894" s="3">
        <v>0</v>
      </c>
      <c r="G894" s="3">
        <v>0</v>
      </c>
      <c r="H894" s="3">
        <f>400*0</f>
        <v>0</v>
      </c>
      <c r="I894" s="3">
        <v>0</v>
      </c>
      <c r="J894" s="3">
        <f>350*0</f>
        <v>0</v>
      </c>
      <c r="K894" s="4">
        <v>0</v>
      </c>
      <c r="L894" s="3">
        <v>0</v>
      </c>
      <c r="M894" s="3">
        <v>268.47000000000003</v>
      </c>
      <c r="N894" s="3">
        <f t="shared" si="534"/>
        <v>1476585.0000000002</v>
      </c>
      <c r="O894" s="3">
        <v>0</v>
      </c>
      <c r="P894" s="3">
        <v>0</v>
      </c>
      <c r="Q894" s="3">
        <v>361.44</v>
      </c>
      <c r="R894" s="3">
        <f t="shared" si="535"/>
        <v>1084320</v>
      </c>
      <c r="S894" s="3">
        <v>109116</v>
      </c>
      <c r="T894" s="3">
        <v>0</v>
      </c>
      <c r="U894" s="3">
        <v>100000</v>
      </c>
      <c r="V894" s="6">
        <f t="shared" si="536"/>
        <v>5500</v>
      </c>
    </row>
    <row r="895" spans="1:22" ht="45" customHeight="1" x14ac:dyDescent="0.25">
      <c r="A895" s="51" t="s">
        <v>243</v>
      </c>
      <c r="B895" s="51"/>
      <c r="C895" s="2">
        <f>SUM(C896)</f>
        <v>3293265</v>
      </c>
      <c r="D895" s="2">
        <f t="shared" ref="D895:U895" si="537">SUM(D896)</f>
        <v>530985</v>
      </c>
      <c r="E895" s="2">
        <f t="shared" si="537"/>
        <v>95305</v>
      </c>
      <c r="F895" s="2">
        <f t="shared" si="537"/>
        <v>285915</v>
      </c>
      <c r="G895" s="2">
        <f t="shared" si="537"/>
        <v>81690</v>
      </c>
      <c r="H895" s="2">
        <f t="shared" si="537"/>
        <v>0</v>
      </c>
      <c r="I895" s="2">
        <f t="shared" si="537"/>
        <v>68075</v>
      </c>
      <c r="J895" s="2">
        <f t="shared" si="537"/>
        <v>0</v>
      </c>
      <c r="K895" s="14">
        <f t="shared" si="537"/>
        <v>0</v>
      </c>
      <c r="L895" s="2">
        <f t="shared" si="537"/>
        <v>0</v>
      </c>
      <c r="M895" s="2">
        <f t="shared" si="537"/>
        <v>272</v>
      </c>
      <c r="N895" s="2">
        <f t="shared" si="537"/>
        <v>1496000</v>
      </c>
      <c r="O895" s="2">
        <f t="shared" si="537"/>
        <v>0</v>
      </c>
      <c r="P895" s="2">
        <f t="shared" si="537"/>
        <v>0</v>
      </c>
      <c r="Q895" s="2">
        <f t="shared" si="537"/>
        <v>335</v>
      </c>
      <c r="R895" s="2">
        <f t="shared" si="537"/>
        <v>1005000</v>
      </c>
      <c r="S895" s="2">
        <f t="shared" si="537"/>
        <v>161280</v>
      </c>
      <c r="T895" s="2">
        <f t="shared" si="537"/>
        <v>0</v>
      </c>
      <c r="U895" s="2">
        <f t="shared" si="537"/>
        <v>100000</v>
      </c>
      <c r="V895" s="18">
        <f>C895</f>
        <v>3293265</v>
      </c>
    </row>
    <row r="896" spans="1:22" ht="21.95" customHeight="1" x14ac:dyDescent="0.25">
      <c r="A896" s="40" t="s">
        <v>1102</v>
      </c>
      <c r="B896" s="8" t="s">
        <v>242</v>
      </c>
      <c r="C896" s="2">
        <f t="shared" si="492"/>
        <v>3293265</v>
      </c>
      <c r="D896" s="3">
        <f t="shared" ref="D896" si="538">SUM(E896:J896)</f>
        <v>530985</v>
      </c>
      <c r="E896" s="3">
        <f>350*272.3</f>
        <v>95305</v>
      </c>
      <c r="F896" s="3">
        <f>1050*272.3</f>
        <v>285915</v>
      </c>
      <c r="G896" s="3">
        <f>300*272.3</f>
        <v>81690</v>
      </c>
      <c r="H896" s="3">
        <f>400*0</f>
        <v>0</v>
      </c>
      <c r="I896" s="3">
        <f>250*272.3</f>
        <v>68075</v>
      </c>
      <c r="J896" s="3">
        <f>350*0</f>
        <v>0</v>
      </c>
      <c r="K896" s="4">
        <v>0</v>
      </c>
      <c r="L896" s="3">
        <v>0</v>
      </c>
      <c r="M896" s="3">
        <v>272</v>
      </c>
      <c r="N896" s="3">
        <f t="shared" ref="N896" si="539">M896*5500</f>
        <v>1496000</v>
      </c>
      <c r="O896" s="3">
        <v>0</v>
      </c>
      <c r="P896" s="3">
        <v>0</v>
      </c>
      <c r="Q896" s="3">
        <v>335</v>
      </c>
      <c r="R896" s="3">
        <f>Q896*3000</f>
        <v>1005000</v>
      </c>
      <c r="S896" s="3">
        <v>161280</v>
      </c>
      <c r="T896" s="3">
        <v>0</v>
      </c>
      <c r="U896" s="3">
        <v>100000</v>
      </c>
      <c r="V896" s="6">
        <f t="shared" ref="V896" si="540">N896/M896</f>
        <v>5500</v>
      </c>
    </row>
    <row r="897" spans="1:22" ht="45" customHeight="1" x14ac:dyDescent="0.25">
      <c r="A897" s="51" t="s">
        <v>268</v>
      </c>
      <c r="B897" s="51"/>
      <c r="C897" s="2">
        <f>SUM(C898:C907)</f>
        <v>54298476.259999998</v>
      </c>
      <c r="D897" s="2">
        <f t="shared" ref="D897:U897" si="541">SUM(D898:D907)</f>
        <v>20007705</v>
      </c>
      <c r="E897" s="2">
        <f t="shared" si="541"/>
        <v>3742235</v>
      </c>
      <c r="F897" s="2">
        <f t="shared" si="541"/>
        <v>11226705</v>
      </c>
      <c r="G897" s="2">
        <f t="shared" si="541"/>
        <v>2365740</v>
      </c>
      <c r="H897" s="2">
        <f t="shared" si="541"/>
        <v>0</v>
      </c>
      <c r="I897" s="2">
        <f t="shared" si="541"/>
        <v>2673025</v>
      </c>
      <c r="J897" s="2">
        <f t="shared" si="541"/>
        <v>0</v>
      </c>
      <c r="K897" s="14">
        <f t="shared" si="541"/>
        <v>0</v>
      </c>
      <c r="L897" s="2">
        <f t="shared" si="541"/>
        <v>0</v>
      </c>
      <c r="M897" s="2">
        <f t="shared" si="541"/>
        <v>3933.8199999999997</v>
      </c>
      <c r="N897" s="2">
        <f t="shared" si="541"/>
        <v>19045781.259999998</v>
      </c>
      <c r="O897" s="2">
        <f t="shared" si="541"/>
        <v>315.59999999999997</v>
      </c>
      <c r="P897" s="2">
        <f t="shared" si="541"/>
        <v>781800</v>
      </c>
      <c r="Q897" s="2">
        <f t="shared" si="541"/>
        <v>4587.7300000000005</v>
      </c>
      <c r="R897" s="2">
        <f t="shared" si="541"/>
        <v>13763190</v>
      </c>
      <c r="S897" s="2">
        <f t="shared" si="541"/>
        <v>0</v>
      </c>
      <c r="T897" s="2">
        <f t="shared" si="541"/>
        <v>0</v>
      </c>
      <c r="U897" s="2">
        <f t="shared" si="541"/>
        <v>700000</v>
      </c>
    </row>
    <row r="898" spans="1:22" ht="24" customHeight="1" x14ac:dyDescent="0.25">
      <c r="A898" s="40" t="s">
        <v>1103</v>
      </c>
      <c r="B898" s="8" t="s">
        <v>1548</v>
      </c>
      <c r="C898" s="2">
        <f t="shared" si="492"/>
        <v>3243435</v>
      </c>
      <c r="D898" s="3">
        <f t="shared" ref="D898:D907" si="542">SUM(E898:J898)</f>
        <v>3243435</v>
      </c>
      <c r="E898" s="3">
        <f>350*1663.3</f>
        <v>582155</v>
      </c>
      <c r="F898" s="3">
        <f>1050*1663.3</f>
        <v>1746465</v>
      </c>
      <c r="G898" s="3">
        <f>300*1663.3</f>
        <v>498990</v>
      </c>
      <c r="H898" s="3">
        <v>0</v>
      </c>
      <c r="I898" s="3">
        <f>250*1663.3</f>
        <v>415825</v>
      </c>
      <c r="J898" s="3">
        <v>0</v>
      </c>
      <c r="K898" s="11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3">
        <f t="shared" ref="R898:R907" si="543">Q898*3000</f>
        <v>0</v>
      </c>
      <c r="S898" s="5">
        <v>0</v>
      </c>
      <c r="T898" s="5">
        <v>0</v>
      </c>
      <c r="U898" s="5">
        <v>0</v>
      </c>
      <c r="V898" s="6" t="e">
        <f t="shared" ref="V898:V907" si="544">N898/M898</f>
        <v>#DIV/0!</v>
      </c>
    </row>
    <row r="899" spans="1:22" ht="21.95" customHeight="1" x14ac:dyDescent="0.25">
      <c r="A899" s="40" t="s">
        <v>1104</v>
      </c>
      <c r="B899" s="8" t="s">
        <v>1535</v>
      </c>
      <c r="C899" s="2">
        <f t="shared" si="492"/>
        <v>1718750</v>
      </c>
      <c r="D899" s="3">
        <f t="shared" si="542"/>
        <v>0</v>
      </c>
      <c r="E899" s="5">
        <v>0</v>
      </c>
      <c r="F899" s="5">
        <v>0</v>
      </c>
      <c r="G899" s="5">
        <v>0</v>
      </c>
      <c r="H899" s="5">
        <v>0</v>
      </c>
      <c r="I899" s="5">
        <v>0</v>
      </c>
      <c r="J899" s="5">
        <v>0</v>
      </c>
      <c r="K899" s="11">
        <v>0</v>
      </c>
      <c r="L899" s="5">
        <v>0</v>
      </c>
      <c r="M899" s="5">
        <v>312.5</v>
      </c>
      <c r="N899" s="5">
        <f>M899*5500</f>
        <v>1718750</v>
      </c>
      <c r="O899" s="5">
        <v>0</v>
      </c>
      <c r="P899" s="5">
        <v>0</v>
      </c>
      <c r="Q899" s="5">
        <v>0</v>
      </c>
      <c r="R899" s="3">
        <f t="shared" si="543"/>
        <v>0</v>
      </c>
      <c r="S899" s="5">
        <v>0</v>
      </c>
      <c r="T899" s="5">
        <v>0</v>
      </c>
      <c r="U899" s="5">
        <v>0</v>
      </c>
      <c r="V899" s="6">
        <f t="shared" si="544"/>
        <v>5500</v>
      </c>
    </row>
    <row r="900" spans="1:22" ht="21.95" customHeight="1" x14ac:dyDescent="0.25">
      <c r="A900" s="40" t="s">
        <v>1105</v>
      </c>
      <c r="B900" s="22" t="s">
        <v>248</v>
      </c>
      <c r="C900" s="2">
        <f t="shared" si="492"/>
        <v>6398290</v>
      </c>
      <c r="D900" s="3">
        <f t="shared" si="542"/>
        <v>5948010</v>
      </c>
      <c r="E900" s="3">
        <f>350*3482</f>
        <v>1218700</v>
      </c>
      <c r="F900" s="3">
        <f>1050*3482</f>
        <v>3656100</v>
      </c>
      <c r="G900" s="3">
        <f>300*675.7</f>
        <v>202710</v>
      </c>
      <c r="H900" s="3">
        <f>400*0</f>
        <v>0</v>
      </c>
      <c r="I900" s="3">
        <f>250*3482</f>
        <v>870500</v>
      </c>
      <c r="J900" s="3">
        <f>350*0</f>
        <v>0</v>
      </c>
      <c r="K900" s="4">
        <v>0</v>
      </c>
      <c r="L900" s="3">
        <v>0</v>
      </c>
      <c r="M900" s="3">
        <v>0</v>
      </c>
      <c r="N900" s="3">
        <v>0</v>
      </c>
      <c r="O900" s="3">
        <v>166.8</v>
      </c>
      <c r="P900" s="3">
        <v>350280</v>
      </c>
      <c r="Q900" s="3">
        <v>0</v>
      </c>
      <c r="R900" s="3">
        <f t="shared" si="543"/>
        <v>0</v>
      </c>
      <c r="S900" s="3">
        <v>0</v>
      </c>
      <c r="T900" s="3">
        <v>0</v>
      </c>
      <c r="U900" s="3">
        <v>100000</v>
      </c>
      <c r="V900" s="6" t="e">
        <f t="shared" si="544"/>
        <v>#DIV/0!</v>
      </c>
    </row>
    <row r="901" spans="1:22" ht="21.95" customHeight="1" x14ac:dyDescent="0.25">
      <c r="A901" s="40" t="s">
        <v>1106</v>
      </c>
      <c r="B901" s="22" t="s">
        <v>256</v>
      </c>
      <c r="C901" s="2">
        <f t="shared" si="492"/>
        <v>6420035</v>
      </c>
      <c r="D901" s="3">
        <f t="shared" si="542"/>
        <v>1317615</v>
      </c>
      <c r="E901" s="3">
        <f>350*675.7</f>
        <v>236495.00000000003</v>
      </c>
      <c r="F901" s="3">
        <f>1050*675.7</f>
        <v>709485</v>
      </c>
      <c r="G901" s="3">
        <f>300*675.7</f>
        <v>202710</v>
      </c>
      <c r="H901" s="3">
        <f>400*0</f>
        <v>0</v>
      </c>
      <c r="I901" s="3">
        <f>250*675.7</f>
        <v>168925</v>
      </c>
      <c r="J901" s="3">
        <f>350*0</f>
        <v>0</v>
      </c>
      <c r="K901" s="4">
        <v>0</v>
      </c>
      <c r="L901" s="3">
        <v>0</v>
      </c>
      <c r="M901" s="3">
        <v>555.79999999999995</v>
      </c>
      <c r="N901" s="3">
        <f t="shared" ref="N901" si="545">M901*5500</f>
        <v>3056899.9999999995</v>
      </c>
      <c r="O901" s="3">
        <v>42.7</v>
      </c>
      <c r="P901" s="3">
        <v>123830</v>
      </c>
      <c r="Q901" s="3">
        <v>607.23</v>
      </c>
      <c r="R901" s="3">
        <f t="shared" si="543"/>
        <v>1821690</v>
      </c>
      <c r="S901" s="3">
        <v>0</v>
      </c>
      <c r="T901" s="3">
        <v>0</v>
      </c>
      <c r="U901" s="3">
        <v>100000</v>
      </c>
      <c r="V901" s="6">
        <f t="shared" si="544"/>
        <v>5500</v>
      </c>
    </row>
    <row r="902" spans="1:22" ht="21.95" customHeight="1" x14ac:dyDescent="0.25">
      <c r="A902" s="40" t="s">
        <v>1107</v>
      </c>
      <c r="B902" s="22" t="s">
        <v>261</v>
      </c>
      <c r="C902" s="2">
        <f t="shared" si="492"/>
        <v>3117399.9999999995</v>
      </c>
      <c r="D902" s="3">
        <f t="shared" si="542"/>
        <v>0</v>
      </c>
      <c r="E902" s="5">
        <v>0</v>
      </c>
      <c r="F902" s="5">
        <v>0</v>
      </c>
      <c r="G902" s="5">
        <v>0</v>
      </c>
      <c r="H902" s="5">
        <v>0</v>
      </c>
      <c r="I902" s="5">
        <v>0</v>
      </c>
      <c r="J902" s="5">
        <v>0</v>
      </c>
      <c r="K902" s="4">
        <v>0</v>
      </c>
      <c r="L902" s="3">
        <v>0</v>
      </c>
      <c r="M902" s="3">
        <v>566.79999999999995</v>
      </c>
      <c r="N902" s="3">
        <f t="shared" ref="N902" si="546">M902*5500</f>
        <v>3117399.9999999995</v>
      </c>
      <c r="O902" s="3">
        <v>0</v>
      </c>
      <c r="P902" s="3">
        <v>0</v>
      </c>
      <c r="Q902" s="3">
        <v>0</v>
      </c>
      <c r="R902" s="3">
        <f t="shared" si="543"/>
        <v>0</v>
      </c>
      <c r="S902" s="3">
        <v>0</v>
      </c>
      <c r="T902" s="3">
        <v>0</v>
      </c>
      <c r="U902" s="3">
        <v>0</v>
      </c>
      <c r="V902" s="6">
        <f t="shared" si="544"/>
        <v>5500</v>
      </c>
    </row>
    <row r="903" spans="1:22" ht="21.95" customHeight="1" x14ac:dyDescent="0.25">
      <c r="A903" s="40" t="s">
        <v>1108</v>
      </c>
      <c r="B903" s="22" t="s">
        <v>263</v>
      </c>
      <c r="C903" s="2">
        <f t="shared" si="492"/>
        <v>9500334.7599999998</v>
      </c>
      <c r="D903" s="3">
        <f t="shared" si="542"/>
        <v>3103620</v>
      </c>
      <c r="E903" s="3">
        <f>350*1591.6</f>
        <v>557060</v>
      </c>
      <c r="F903" s="3">
        <f>1050*1591.6</f>
        <v>1671180</v>
      </c>
      <c r="G903" s="3">
        <f>300*1591.6</f>
        <v>477480</v>
      </c>
      <c r="H903" s="3">
        <f>400*0</f>
        <v>0</v>
      </c>
      <c r="I903" s="3">
        <f>250*1591.6</f>
        <v>397900</v>
      </c>
      <c r="J903" s="3">
        <f>350*0</f>
        <v>0</v>
      </c>
      <c r="K903" s="4">
        <v>0</v>
      </c>
      <c r="L903" s="3">
        <v>0</v>
      </c>
      <c r="M903" s="3">
        <v>682.66</v>
      </c>
      <c r="N903" s="3">
        <f t="shared" ref="N903:N904" si="547">M903*3686</f>
        <v>2516284.7599999998</v>
      </c>
      <c r="O903" s="3">
        <v>52.7</v>
      </c>
      <c r="P903" s="3">
        <v>152830</v>
      </c>
      <c r="Q903" s="3">
        <v>1209.2</v>
      </c>
      <c r="R903" s="3">
        <f t="shared" si="543"/>
        <v>3627600</v>
      </c>
      <c r="S903" s="3">
        <v>0</v>
      </c>
      <c r="T903" s="3">
        <v>0</v>
      </c>
      <c r="U903" s="3">
        <v>100000</v>
      </c>
      <c r="V903" s="6">
        <f t="shared" si="544"/>
        <v>3686</v>
      </c>
    </row>
    <row r="904" spans="1:22" ht="21.95" customHeight="1" x14ac:dyDescent="0.25">
      <c r="A904" s="40" t="s">
        <v>1109</v>
      </c>
      <c r="B904" s="22" t="s">
        <v>264</v>
      </c>
      <c r="C904" s="2">
        <f t="shared" si="492"/>
        <v>9736161.5</v>
      </c>
      <c r="D904" s="3">
        <f t="shared" si="542"/>
        <v>3135210</v>
      </c>
      <c r="E904" s="3">
        <f>350*1607.8</f>
        <v>562730</v>
      </c>
      <c r="F904" s="3">
        <f>1050*1607.8</f>
        <v>1688190</v>
      </c>
      <c r="G904" s="3">
        <f>300*1607.8</f>
        <v>482340</v>
      </c>
      <c r="H904" s="3">
        <f>400*0</f>
        <v>0</v>
      </c>
      <c r="I904" s="3">
        <f>250*1607.8</f>
        <v>401950</v>
      </c>
      <c r="J904" s="3">
        <f t="shared" ref="J904:J907" si="548">350*0</f>
        <v>0</v>
      </c>
      <c r="K904" s="4">
        <v>0</v>
      </c>
      <c r="L904" s="3">
        <v>0</v>
      </c>
      <c r="M904" s="3">
        <v>745.25</v>
      </c>
      <c r="N904" s="3">
        <f t="shared" si="547"/>
        <v>2746991.5</v>
      </c>
      <c r="O904" s="3">
        <v>53.4</v>
      </c>
      <c r="P904" s="3">
        <v>154860</v>
      </c>
      <c r="Q904" s="3">
        <v>1199.7</v>
      </c>
      <c r="R904" s="3">
        <f t="shared" si="543"/>
        <v>3599100</v>
      </c>
      <c r="S904" s="3">
        <v>0</v>
      </c>
      <c r="T904" s="3">
        <v>0</v>
      </c>
      <c r="U904" s="3">
        <v>100000</v>
      </c>
      <c r="V904" s="6">
        <f t="shared" si="544"/>
        <v>3686</v>
      </c>
    </row>
    <row r="905" spans="1:22" ht="21.95" customHeight="1" x14ac:dyDescent="0.25">
      <c r="A905" s="40" t="s">
        <v>1110</v>
      </c>
      <c r="B905" s="22" t="s">
        <v>265</v>
      </c>
      <c r="C905" s="2">
        <f t="shared" si="492"/>
        <v>6146780</v>
      </c>
      <c r="D905" s="3">
        <f t="shared" si="542"/>
        <v>1319370</v>
      </c>
      <c r="E905" s="3">
        <f>350*676.6</f>
        <v>236810</v>
      </c>
      <c r="F905" s="3">
        <f>1050*676.6</f>
        <v>710430</v>
      </c>
      <c r="G905" s="3">
        <f>300*676.6</f>
        <v>202980</v>
      </c>
      <c r="H905" s="3">
        <f>400*0</f>
        <v>0</v>
      </c>
      <c r="I905" s="3">
        <f>250*676.6</f>
        <v>169150</v>
      </c>
      <c r="J905" s="3">
        <f t="shared" si="548"/>
        <v>0</v>
      </c>
      <c r="K905" s="4">
        <v>0</v>
      </c>
      <c r="L905" s="3">
        <v>0</v>
      </c>
      <c r="M905" s="3">
        <v>562.9</v>
      </c>
      <c r="N905" s="3">
        <f t="shared" ref="N905:N906" si="549">M905*5500</f>
        <v>3095950</v>
      </c>
      <c r="O905" s="3">
        <v>0</v>
      </c>
      <c r="P905" s="3">
        <v>0</v>
      </c>
      <c r="Q905" s="3">
        <v>543.82000000000005</v>
      </c>
      <c r="R905" s="3">
        <f t="shared" si="543"/>
        <v>1631460.0000000002</v>
      </c>
      <c r="S905" s="3">
        <v>0</v>
      </c>
      <c r="T905" s="3">
        <v>0</v>
      </c>
      <c r="U905" s="3">
        <v>100000</v>
      </c>
      <c r="V905" s="6">
        <f t="shared" si="544"/>
        <v>5500</v>
      </c>
    </row>
    <row r="906" spans="1:22" ht="21.95" customHeight="1" x14ac:dyDescent="0.25">
      <c r="A906" s="40" t="s">
        <v>1634</v>
      </c>
      <c r="B906" s="22" t="s">
        <v>266</v>
      </c>
      <c r="C906" s="2">
        <f t="shared" si="492"/>
        <v>6168335</v>
      </c>
      <c r="D906" s="3">
        <f t="shared" si="542"/>
        <v>1303770</v>
      </c>
      <c r="E906" s="3">
        <f>350*668.6</f>
        <v>234010</v>
      </c>
      <c r="F906" s="3">
        <f>1050*668.6</f>
        <v>702030</v>
      </c>
      <c r="G906" s="3">
        <f>300*668.6</f>
        <v>200580</v>
      </c>
      <c r="H906" s="3">
        <f>400*0</f>
        <v>0</v>
      </c>
      <c r="I906" s="3">
        <f>250*668.6</f>
        <v>167150</v>
      </c>
      <c r="J906" s="3">
        <f t="shared" si="548"/>
        <v>0</v>
      </c>
      <c r="K906" s="4">
        <v>0</v>
      </c>
      <c r="L906" s="3">
        <v>0</v>
      </c>
      <c r="M906" s="3">
        <v>507.91</v>
      </c>
      <c r="N906" s="3">
        <f t="shared" si="549"/>
        <v>2793505</v>
      </c>
      <c r="O906" s="3">
        <v>0</v>
      </c>
      <c r="P906" s="3">
        <v>0</v>
      </c>
      <c r="Q906" s="3">
        <v>657.02</v>
      </c>
      <c r="R906" s="3">
        <f t="shared" si="543"/>
        <v>1971060</v>
      </c>
      <c r="S906" s="3">
        <v>0</v>
      </c>
      <c r="T906" s="3">
        <v>0</v>
      </c>
      <c r="U906" s="3">
        <v>100000</v>
      </c>
      <c r="V906" s="6">
        <f t="shared" si="544"/>
        <v>5500</v>
      </c>
    </row>
    <row r="907" spans="1:22" ht="21.95" customHeight="1" x14ac:dyDescent="0.25">
      <c r="A907" s="40" t="s">
        <v>1111</v>
      </c>
      <c r="B907" s="22" t="s">
        <v>267</v>
      </c>
      <c r="C907" s="2">
        <f t="shared" si="492"/>
        <v>1848955</v>
      </c>
      <c r="D907" s="3">
        <f t="shared" si="542"/>
        <v>636675</v>
      </c>
      <c r="E907" s="3">
        <f>350*326.5</f>
        <v>114275</v>
      </c>
      <c r="F907" s="3">
        <f>1050*326.5</f>
        <v>342825</v>
      </c>
      <c r="G907" s="3">
        <f>300*326.5</f>
        <v>97950</v>
      </c>
      <c r="H907" s="3">
        <f>400*0</f>
        <v>0</v>
      </c>
      <c r="I907" s="3">
        <f>250*326.5</f>
        <v>81625</v>
      </c>
      <c r="J907" s="3">
        <f t="shared" si="548"/>
        <v>0</v>
      </c>
      <c r="K907" s="4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  <c r="Q907" s="3">
        <v>370.76</v>
      </c>
      <c r="R907" s="3">
        <f t="shared" si="543"/>
        <v>1112280</v>
      </c>
      <c r="S907" s="3">
        <v>0</v>
      </c>
      <c r="T907" s="3">
        <v>0</v>
      </c>
      <c r="U907" s="3">
        <v>100000</v>
      </c>
      <c r="V907" s="6" t="e">
        <f t="shared" si="544"/>
        <v>#DIV/0!</v>
      </c>
    </row>
    <row r="908" spans="1:22" ht="45" customHeight="1" x14ac:dyDescent="0.25">
      <c r="A908" s="51" t="s">
        <v>271</v>
      </c>
      <c r="B908" s="51"/>
      <c r="C908" s="2">
        <f>SUM(C909:C910)</f>
        <v>7971620</v>
      </c>
      <c r="D908" s="2">
        <f t="shared" ref="D908:U908" si="550">SUM(D909:D910)</f>
        <v>838020</v>
      </c>
      <c r="E908" s="2">
        <f t="shared" si="550"/>
        <v>287490</v>
      </c>
      <c r="F908" s="2">
        <f t="shared" si="550"/>
        <v>428190</v>
      </c>
      <c r="G908" s="2">
        <f t="shared" si="550"/>
        <v>122340</v>
      </c>
      <c r="H908" s="2">
        <f t="shared" si="550"/>
        <v>0</v>
      </c>
      <c r="I908" s="2">
        <f t="shared" si="550"/>
        <v>0</v>
      </c>
      <c r="J908" s="2">
        <f t="shared" si="550"/>
        <v>0</v>
      </c>
      <c r="K908" s="14">
        <f t="shared" si="550"/>
        <v>0</v>
      </c>
      <c r="L908" s="2">
        <f t="shared" si="550"/>
        <v>0</v>
      </c>
      <c r="M908" s="2">
        <f t="shared" si="550"/>
        <v>864</v>
      </c>
      <c r="N908" s="2">
        <f t="shared" si="550"/>
        <v>4752000</v>
      </c>
      <c r="O908" s="2">
        <f t="shared" si="550"/>
        <v>0</v>
      </c>
      <c r="P908" s="2">
        <f t="shared" si="550"/>
        <v>0</v>
      </c>
      <c r="Q908" s="2">
        <f t="shared" si="550"/>
        <v>727.2</v>
      </c>
      <c r="R908" s="2">
        <f t="shared" si="550"/>
        <v>2181600</v>
      </c>
      <c r="S908" s="2">
        <f t="shared" si="550"/>
        <v>0</v>
      </c>
      <c r="T908" s="2">
        <f t="shared" si="550"/>
        <v>0</v>
      </c>
      <c r="U908" s="2">
        <f t="shared" si="550"/>
        <v>200000</v>
      </c>
      <c r="V908" s="18">
        <f>C908</f>
        <v>7971620</v>
      </c>
    </row>
    <row r="909" spans="1:22" ht="21.95" customHeight="1" x14ac:dyDescent="0.25">
      <c r="A909" s="40" t="s">
        <v>1421</v>
      </c>
      <c r="B909" s="22" t="s">
        <v>272</v>
      </c>
      <c r="C909" s="2">
        <f t="shared" si="492"/>
        <v>4260060</v>
      </c>
      <c r="D909" s="3">
        <f t="shared" ref="D909:D910" si="551">SUM(E909:J909)</f>
        <v>693260</v>
      </c>
      <c r="E909" s="3">
        <f>350*407.8</f>
        <v>142730</v>
      </c>
      <c r="F909" s="3">
        <f>1050*407.8</f>
        <v>428190</v>
      </c>
      <c r="G909" s="3">
        <f>300*407.8</f>
        <v>122340</v>
      </c>
      <c r="H909" s="3">
        <f>400*0</f>
        <v>0</v>
      </c>
      <c r="I909" s="3">
        <f>250*0</f>
        <v>0</v>
      </c>
      <c r="J909" s="3">
        <f t="shared" ref="J909:J910" si="552">350*0</f>
        <v>0</v>
      </c>
      <c r="K909" s="4">
        <v>0</v>
      </c>
      <c r="L909" s="3">
        <v>0</v>
      </c>
      <c r="M909" s="3">
        <v>432</v>
      </c>
      <c r="N909" s="3">
        <f t="shared" ref="N909:N910" si="553">M909*5500</f>
        <v>2376000</v>
      </c>
      <c r="O909" s="3">
        <v>0</v>
      </c>
      <c r="P909" s="3">
        <v>0</v>
      </c>
      <c r="Q909" s="3">
        <v>363.6</v>
      </c>
      <c r="R909" s="3">
        <f t="shared" ref="R909:R910" si="554">Q909*3000</f>
        <v>1090800</v>
      </c>
      <c r="S909" s="3">
        <v>0</v>
      </c>
      <c r="T909" s="3">
        <v>0</v>
      </c>
      <c r="U909" s="3">
        <v>100000</v>
      </c>
      <c r="V909" s="6">
        <f t="shared" ref="V909:V910" si="555">N909/M909</f>
        <v>5500</v>
      </c>
    </row>
    <row r="910" spans="1:22" ht="21.95" customHeight="1" x14ac:dyDescent="0.25">
      <c r="A910" s="40" t="s">
        <v>1422</v>
      </c>
      <c r="B910" s="22" t="s">
        <v>1575</v>
      </c>
      <c r="C910" s="2">
        <f t="shared" si="492"/>
        <v>3711560</v>
      </c>
      <c r="D910" s="3">
        <f t="shared" si="551"/>
        <v>144760</v>
      </c>
      <c r="E910" s="3">
        <f>350*413.6</f>
        <v>144760</v>
      </c>
      <c r="F910" s="3">
        <f>1050*0</f>
        <v>0</v>
      </c>
      <c r="G910" s="3">
        <f>300*0</f>
        <v>0</v>
      </c>
      <c r="H910" s="3">
        <f>400*0</f>
        <v>0</v>
      </c>
      <c r="I910" s="3">
        <f>250*0</f>
        <v>0</v>
      </c>
      <c r="J910" s="3">
        <f t="shared" si="552"/>
        <v>0</v>
      </c>
      <c r="K910" s="4">
        <v>0</v>
      </c>
      <c r="L910" s="3">
        <v>0</v>
      </c>
      <c r="M910" s="3">
        <v>432</v>
      </c>
      <c r="N910" s="3">
        <f t="shared" si="553"/>
        <v>2376000</v>
      </c>
      <c r="O910" s="3">
        <v>0</v>
      </c>
      <c r="P910" s="3">
        <v>0</v>
      </c>
      <c r="Q910" s="3">
        <v>363.6</v>
      </c>
      <c r="R910" s="3">
        <f t="shared" si="554"/>
        <v>1090800</v>
      </c>
      <c r="S910" s="3">
        <v>0</v>
      </c>
      <c r="T910" s="3">
        <v>0</v>
      </c>
      <c r="U910" s="3">
        <v>100000</v>
      </c>
      <c r="V910" s="6">
        <f t="shared" si="555"/>
        <v>5500</v>
      </c>
    </row>
    <row r="911" spans="1:22" ht="45" customHeight="1" x14ac:dyDescent="0.25">
      <c r="A911" s="51" t="s">
        <v>278</v>
      </c>
      <c r="B911" s="51"/>
      <c r="C911" s="2">
        <f>SUM(C912:C913)</f>
        <v>7485000</v>
      </c>
      <c r="D911" s="2">
        <f t="shared" ref="D911:U911" si="556">SUM(D912:D913)</f>
        <v>351400</v>
      </c>
      <c r="E911" s="2">
        <f t="shared" si="556"/>
        <v>351400</v>
      </c>
      <c r="F911" s="2">
        <f t="shared" si="556"/>
        <v>0</v>
      </c>
      <c r="G911" s="2">
        <f t="shared" si="556"/>
        <v>0</v>
      </c>
      <c r="H911" s="2">
        <f t="shared" si="556"/>
        <v>0</v>
      </c>
      <c r="I911" s="2">
        <f t="shared" si="556"/>
        <v>0</v>
      </c>
      <c r="J911" s="2">
        <f t="shared" si="556"/>
        <v>0</v>
      </c>
      <c r="K911" s="14">
        <f t="shared" si="556"/>
        <v>0</v>
      </c>
      <c r="L911" s="2">
        <f t="shared" si="556"/>
        <v>0</v>
      </c>
      <c r="M911" s="2">
        <f t="shared" si="556"/>
        <v>864</v>
      </c>
      <c r="N911" s="2">
        <f t="shared" si="556"/>
        <v>4752000</v>
      </c>
      <c r="O911" s="2">
        <f t="shared" si="556"/>
        <v>0</v>
      </c>
      <c r="P911" s="2">
        <f t="shared" si="556"/>
        <v>0</v>
      </c>
      <c r="Q911" s="2">
        <f t="shared" si="556"/>
        <v>727.2</v>
      </c>
      <c r="R911" s="2">
        <f t="shared" si="556"/>
        <v>2181600</v>
      </c>
      <c r="S911" s="2">
        <f t="shared" si="556"/>
        <v>0</v>
      </c>
      <c r="T911" s="2">
        <f t="shared" si="556"/>
        <v>0</v>
      </c>
      <c r="U911" s="2">
        <f t="shared" si="556"/>
        <v>200000</v>
      </c>
      <c r="V911" s="18">
        <f>C911</f>
        <v>7485000</v>
      </c>
    </row>
    <row r="912" spans="1:22" ht="21.95" customHeight="1" x14ac:dyDescent="0.25">
      <c r="A912" s="40" t="s">
        <v>1112</v>
      </c>
      <c r="B912" s="22" t="s">
        <v>279</v>
      </c>
      <c r="C912" s="2">
        <f t="shared" si="492"/>
        <v>3742500</v>
      </c>
      <c r="D912" s="3">
        <f t="shared" ref="D912:D913" si="557">SUM(E912:J912)</f>
        <v>175700</v>
      </c>
      <c r="E912" s="3">
        <f>350*502</f>
        <v>175700</v>
      </c>
      <c r="F912" s="3">
        <f>1050*0</f>
        <v>0</v>
      </c>
      <c r="G912" s="3">
        <f>300*0</f>
        <v>0</v>
      </c>
      <c r="H912" s="3">
        <f>400*0</f>
        <v>0</v>
      </c>
      <c r="I912" s="3">
        <f>250*0</f>
        <v>0</v>
      </c>
      <c r="J912" s="3">
        <v>0</v>
      </c>
      <c r="K912" s="4">
        <v>0</v>
      </c>
      <c r="L912" s="3">
        <v>0</v>
      </c>
      <c r="M912" s="3">
        <v>432</v>
      </c>
      <c r="N912" s="3">
        <f t="shared" ref="N912:N913" si="558">M912*5500</f>
        <v>2376000</v>
      </c>
      <c r="O912" s="3">
        <v>0</v>
      </c>
      <c r="P912" s="3">
        <v>0</v>
      </c>
      <c r="Q912" s="3">
        <v>363.6</v>
      </c>
      <c r="R912" s="3">
        <f t="shared" ref="R912:R913" si="559">Q912*3000</f>
        <v>1090800</v>
      </c>
      <c r="S912" s="3">
        <v>0</v>
      </c>
      <c r="T912" s="3">
        <v>0</v>
      </c>
      <c r="U912" s="3">
        <v>100000</v>
      </c>
      <c r="V912" s="6">
        <f t="shared" ref="V912:V913" si="560">N912/M912</f>
        <v>5500</v>
      </c>
    </row>
    <row r="913" spans="1:258" ht="21.95" customHeight="1" x14ac:dyDescent="0.25">
      <c r="A913" s="40" t="s">
        <v>1113</v>
      </c>
      <c r="B913" s="22" t="s">
        <v>280</v>
      </c>
      <c r="C913" s="2">
        <f t="shared" si="492"/>
        <v>3742500</v>
      </c>
      <c r="D913" s="3">
        <f t="shared" si="557"/>
        <v>175700</v>
      </c>
      <c r="E913" s="3">
        <f>350*502</f>
        <v>175700</v>
      </c>
      <c r="F913" s="3">
        <f>1050*0</f>
        <v>0</v>
      </c>
      <c r="G913" s="3">
        <f>300*0</f>
        <v>0</v>
      </c>
      <c r="H913" s="3">
        <f>400*0</f>
        <v>0</v>
      </c>
      <c r="I913" s="3">
        <f>250*0</f>
        <v>0</v>
      </c>
      <c r="J913" s="3">
        <v>0</v>
      </c>
      <c r="K913" s="4">
        <v>0</v>
      </c>
      <c r="L913" s="3">
        <v>0</v>
      </c>
      <c r="M913" s="3">
        <v>432</v>
      </c>
      <c r="N913" s="3">
        <f t="shared" si="558"/>
        <v>2376000</v>
      </c>
      <c r="O913" s="3">
        <v>0</v>
      </c>
      <c r="P913" s="3">
        <v>0</v>
      </c>
      <c r="Q913" s="3">
        <v>363.6</v>
      </c>
      <c r="R913" s="3">
        <f t="shared" si="559"/>
        <v>1090800</v>
      </c>
      <c r="S913" s="3">
        <v>0</v>
      </c>
      <c r="T913" s="3">
        <v>0</v>
      </c>
      <c r="U913" s="3">
        <v>100000</v>
      </c>
      <c r="V913" s="6">
        <f t="shared" si="560"/>
        <v>5500</v>
      </c>
    </row>
    <row r="914" spans="1:258" ht="45" customHeight="1" x14ac:dyDescent="0.25">
      <c r="A914" s="51" t="s">
        <v>381</v>
      </c>
      <c r="B914" s="51"/>
      <c r="C914" s="2">
        <f>SUM(C915:C1088)</f>
        <v>736063591.29999995</v>
      </c>
      <c r="D914" s="2">
        <f t="shared" ref="D914:U914" si="561">SUM(D915:D1088)</f>
        <v>165030138.5</v>
      </c>
      <c r="E914" s="2">
        <f t="shared" si="561"/>
        <v>24725690.5</v>
      </c>
      <c r="F914" s="2">
        <f t="shared" si="561"/>
        <v>74177071.5</v>
      </c>
      <c r="G914" s="2">
        <f t="shared" si="561"/>
        <v>21193449</v>
      </c>
      <c r="H914" s="2">
        <f t="shared" si="561"/>
        <v>27272720</v>
      </c>
      <c r="I914" s="2">
        <f t="shared" si="561"/>
        <v>17661207.5</v>
      </c>
      <c r="J914" s="2">
        <f t="shared" si="561"/>
        <v>0</v>
      </c>
      <c r="K914" s="14">
        <f t="shared" si="561"/>
        <v>4</v>
      </c>
      <c r="L914" s="2">
        <f t="shared" si="561"/>
        <v>8600000</v>
      </c>
      <c r="M914" s="2">
        <f t="shared" si="561"/>
        <v>86543.670000000013</v>
      </c>
      <c r="N914" s="2">
        <f t="shared" si="561"/>
        <v>462054652.80000001</v>
      </c>
      <c r="O914" s="2">
        <f t="shared" si="561"/>
        <v>438</v>
      </c>
      <c r="P914" s="2">
        <f t="shared" si="561"/>
        <v>525600</v>
      </c>
      <c r="Q914" s="2">
        <f t="shared" si="561"/>
        <v>32460.400000000001</v>
      </c>
      <c r="R914" s="2">
        <f t="shared" si="561"/>
        <v>97381200</v>
      </c>
      <c r="S914" s="2">
        <f t="shared" si="561"/>
        <v>472000</v>
      </c>
      <c r="T914" s="2">
        <f t="shared" si="561"/>
        <v>0</v>
      </c>
      <c r="U914" s="2">
        <f t="shared" si="561"/>
        <v>2000000</v>
      </c>
    </row>
    <row r="915" spans="1:258" ht="21.95" customHeight="1" x14ac:dyDescent="0.25">
      <c r="A915" s="40" t="s">
        <v>1114</v>
      </c>
      <c r="B915" s="8" t="s">
        <v>767</v>
      </c>
      <c r="C915" s="2">
        <f t="shared" si="492"/>
        <v>2695000</v>
      </c>
      <c r="D915" s="3">
        <f t="shared" ref="D915:D979" si="562">SUM(E915:J915)</f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11">
        <v>0</v>
      </c>
      <c r="L915" s="5">
        <v>0</v>
      </c>
      <c r="M915" s="5">
        <v>490</v>
      </c>
      <c r="N915" s="3">
        <f t="shared" ref="N915" si="563">M915*5500</f>
        <v>2695000</v>
      </c>
      <c r="O915" s="5">
        <v>0</v>
      </c>
      <c r="P915" s="5">
        <v>0</v>
      </c>
      <c r="Q915" s="5">
        <v>0</v>
      </c>
      <c r="R915" s="3">
        <f t="shared" ref="R915:R977" si="564">Q915*3000</f>
        <v>0</v>
      </c>
      <c r="S915" s="5">
        <v>0</v>
      </c>
      <c r="T915" s="5">
        <v>0</v>
      </c>
      <c r="U915" s="5">
        <v>0</v>
      </c>
      <c r="V915" s="6">
        <f t="shared" ref="V915:V977" si="565">N915/M915</f>
        <v>5500</v>
      </c>
    </row>
    <row r="916" spans="1:258" ht="21.95" customHeight="1" x14ac:dyDescent="0.25">
      <c r="A916" s="40" t="s">
        <v>1115</v>
      </c>
      <c r="B916" s="8" t="s">
        <v>1358</v>
      </c>
      <c r="C916" s="2">
        <f t="shared" si="492"/>
        <v>1740000</v>
      </c>
      <c r="D916" s="3">
        <f t="shared" si="562"/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11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580</v>
      </c>
      <c r="R916" s="3">
        <f t="shared" si="564"/>
        <v>1740000</v>
      </c>
      <c r="S916" s="5">
        <v>0</v>
      </c>
      <c r="T916" s="5">
        <v>0</v>
      </c>
      <c r="U916" s="5">
        <v>0</v>
      </c>
      <c r="V916" s="6" t="e">
        <f t="shared" si="565"/>
        <v>#DIV/0!</v>
      </c>
    </row>
    <row r="917" spans="1:258" ht="21.95" customHeight="1" x14ac:dyDescent="0.25">
      <c r="A917" s="40" t="s">
        <v>1116</v>
      </c>
      <c r="B917" s="23" t="s">
        <v>768</v>
      </c>
      <c r="C917" s="2">
        <f t="shared" si="492"/>
        <v>1417350</v>
      </c>
      <c r="D917" s="3">
        <f t="shared" si="562"/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4">
        <v>0</v>
      </c>
      <c r="L917" s="3">
        <v>0</v>
      </c>
      <c r="M917" s="3">
        <v>257.7</v>
      </c>
      <c r="N917" s="3">
        <f t="shared" ref="N917:N921" si="566">M917*5500</f>
        <v>1417350</v>
      </c>
      <c r="O917" s="3">
        <v>0</v>
      </c>
      <c r="P917" s="3">
        <v>0</v>
      </c>
      <c r="Q917" s="3">
        <v>0</v>
      </c>
      <c r="R917" s="3">
        <f t="shared" si="564"/>
        <v>0</v>
      </c>
      <c r="S917" s="3">
        <v>0</v>
      </c>
      <c r="T917" s="3">
        <v>0</v>
      </c>
      <c r="U917" s="3">
        <v>0</v>
      </c>
      <c r="V917" s="6">
        <f t="shared" si="565"/>
        <v>5500</v>
      </c>
    </row>
    <row r="918" spans="1:258" ht="21.95" customHeight="1" x14ac:dyDescent="0.25">
      <c r="A918" s="40" t="s">
        <v>1117</v>
      </c>
      <c r="B918" s="23" t="s">
        <v>769</v>
      </c>
      <c r="C918" s="2">
        <f t="shared" ref="C918:C981" si="567">D918+L918+N918+P918+R918+S918+T918+U918</f>
        <v>2319900</v>
      </c>
      <c r="D918" s="3">
        <f t="shared" si="562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4">
        <v>0</v>
      </c>
      <c r="L918" s="3">
        <v>0</v>
      </c>
      <c r="M918" s="3">
        <v>421.8</v>
      </c>
      <c r="N918" s="3">
        <f t="shared" si="566"/>
        <v>2319900</v>
      </c>
      <c r="O918" s="3">
        <v>0</v>
      </c>
      <c r="P918" s="3">
        <v>0</v>
      </c>
      <c r="Q918" s="3">
        <v>0</v>
      </c>
      <c r="R918" s="3">
        <f t="shared" si="564"/>
        <v>0</v>
      </c>
      <c r="S918" s="3">
        <v>0</v>
      </c>
      <c r="T918" s="3">
        <v>0</v>
      </c>
      <c r="U918" s="3">
        <v>0</v>
      </c>
      <c r="V918" s="6">
        <f t="shared" si="565"/>
        <v>5500</v>
      </c>
    </row>
    <row r="919" spans="1:258" ht="21.95" customHeight="1" x14ac:dyDescent="0.25">
      <c r="A919" s="40" t="s">
        <v>1118</v>
      </c>
      <c r="B919" s="23" t="s">
        <v>770</v>
      </c>
      <c r="C919" s="2">
        <f t="shared" si="567"/>
        <v>1399750</v>
      </c>
      <c r="D919" s="3">
        <f t="shared" si="562"/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4">
        <v>0</v>
      </c>
      <c r="L919" s="3">
        <v>0</v>
      </c>
      <c r="M919" s="3">
        <v>254.5</v>
      </c>
      <c r="N919" s="3">
        <f t="shared" si="566"/>
        <v>1399750</v>
      </c>
      <c r="O919" s="3">
        <v>0</v>
      </c>
      <c r="P919" s="3">
        <v>0</v>
      </c>
      <c r="Q919" s="3">
        <v>0</v>
      </c>
      <c r="R919" s="3">
        <f t="shared" si="564"/>
        <v>0</v>
      </c>
      <c r="S919" s="3">
        <v>0</v>
      </c>
      <c r="T919" s="3">
        <v>0</v>
      </c>
      <c r="U919" s="3">
        <v>0</v>
      </c>
      <c r="V919" s="6">
        <f t="shared" si="565"/>
        <v>5500</v>
      </c>
    </row>
    <row r="920" spans="1:258" s="27" customFormat="1" ht="21.95" customHeight="1" x14ac:dyDescent="0.25">
      <c r="A920" s="40" t="s">
        <v>1119</v>
      </c>
      <c r="B920" s="8" t="s">
        <v>771</v>
      </c>
      <c r="C920" s="2">
        <f t="shared" si="567"/>
        <v>2747250</v>
      </c>
      <c r="D920" s="3">
        <f t="shared" si="562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499.5</v>
      </c>
      <c r="N920" s="3">
        <f t="shared" si="566"/>
        <v>2747250</v>
      </c>
      <c r="O920" s="3">
        <v>0</v>
      </c>
      <c r="P920" s="3">
        <v>0</v>
      </c>
      <c r="Q920" s="3">
        <v>0</v>
      </c>
      <c r="R920" s="3">
        <f t="shared" si="564"/>
        <v>0</v>
      </c>
      <c r="S920" s="3">
        <v>0</v>
      </c>
      <c r="T920" s="3">
        <v>0</v>
      </c>
      <c r="U920" s="3">
        <v>0</v>
      </c>
      <c r="V920" s="6">
        <f t="shared" si="565"/>
        <v>5500</v>
      </c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  <c r="CU920" s="7"/>
      <c r="CV920" s="7"/>
      <c r="CW920" s="7"/>
      <c r="CX920" s="7"/>
      <c r="CY920" s="7"/>
      <c r="CZ920" s="7"/>
      <c r="DA920" s="7"/>
      <c r="DB920" s="7"/>
      <c r="DC920" s="7"/>
      <c r="DD920" s="7"/>
      <c r="DE920" s="7"/>
      <c r="DF920" s="7"/>
      <c r="DG920" s="7"/>
      <c r="DH920" s="7"/>
      <c r="DI920" s="7"/>
      <c r="DJ920" s="7"/>
      <c r="DK920" s="7"/>
      <c r="DL920" s="7"/>
      <c r="DM920" s="7"/>
      <c r="DN920" s="7"/>
      <c r="DO920" s="7"/>
      <c r="DP920" s="7"/>
      <c r="DQ920" s="7"/>
      <c r="DR920" s="7"/>
      <c r="DS920" s="7"/>
      <c r="DT920" s="7"/>
      <c r="DU920" s="7"/>
      <c r="DV920" s="7"/>
      <c r="DW920" s="7"/>
      <c r="DX920" s="7"/>
      <c r="DY920" s="7"/>
      <c r="DZ920" s="7"/>
      <c r="EA920" s="7"/>
      <c r="EB920" s="7"/>
      <c r="EC920" s="7"/>
      <c r="ED920" s="7"/>
      <c r="EE920" s="7"/>
      <c r="EF920" s="7"/>
      <c r="EG920" s="7"/>
      <c r="EH920" s="7"/>
      <c r="EI920" s="7"/>
      <c r="EJ920" s="7"/>
      <c r="EK920" s="7"/>
      <c r="EL920" s="7"/>
      <c r="EM920" s="7"/>
      <c r="EN920" s="7"/>
      <c r="EO920" s="7"/>
      <c r="EP920" s="7"/>
      <c r="EQ920" s="7"/>
      <c r="ER920" s="7"/>
      <c r="ES920" s="7"/>
      <c r="ET920" s="7"/>
      <c r="EU920" s="7"/>
      <c r="EV920" s="7"/>
      <c r="EW920" s="7"/>
      <c r="EX920" s="7"/>
      <c r="EY920" s="7"/>
      <c r="EZ920" s="7"/>
      <c r="FA920" s="7"/>
      <c r="FB920" s="7"/>
      <c r="FC920" s="7"/>
      <c r="FD920" s="7"/>
      <c r="FE920" s="7"/>
      <c r="FF920" s="7"/>
      <c r="FG920" s="7"/>
      <c r="FH920" s="7"/>
      <c r="FI920" s="7"/>
      <c r="FJ920" s="7"/>
      <c r="FK920" s="7"/>
      <c r="FL920" s="7"/>
      <c r="FM920" s="7"/>
      <c r="FN920" s="7"/>
      <c r="FO920" s="7"/>
      <c r="FP920" s="7"/>
      <c r="FQ920" s="7"/>
      <c r="FR920" s="7"/>
      <c r="FS920" s="7"/>
      <c r="FT920" s="7"/>
      <c r="FU920" s="7"/>
      <c r="FV920" s="7"/>
      <c r="FW920" s="7"/>
      <c r="FX920" s="7"/>
      <c r="FY920" s="7"/>
      <c r="FZ920" s="7"/>
      <c r="GA920" s="7"/>
      <c r="GB920" s="7"/>
      <c r="GC920" s="7"/>
      <c r="GD920" s="7"/>
      <c r="GE920" s="7"/>
      <c r="GF920" s="7"/>
      <c r="GG920" s="7"/>
      <c r="GH920" s="7"/>
      <c r="GI920" s="7"/>
      <c r="GJ920" s="7"/>
      <c r="GK920" s="7"/>
      <c r="GL920" s="7"/>
      <c r="GM920" s="7"/>
      <c r="GN920" s="7"/>
      <c r="GO920" s="7"/>
      <c r="GP920" s="7"/>
      <c r="GQ920" s="7"/>
      <c r="GR920" s="7"/>
      <c r="GS920" s="7"/>
      <c r="GT920" s="7"/>
      <c r="GU920" s="7"/>
      <c r="GV920" s="7"/>
      <c r="GW920" s="7"/>
      <c r="GX920" s="7"/>
      <c r="GY920" s="7"/>
      <c r="GZ920" s="7"/>
      <c r="HA920" s="7"/>
      <c r="HB920" s="7"/>
      <c r="HC920" s="7"/>
      <c r="HD920" s="7"/>
      <c r="HE920" s="7"/>
      <c r="HF920" s="7"/>
      <c r="HG920" s="7"/>
      <c r="HH920" s="7"/>
      <c r="HI920" s="7"/>
      <c r="HJ920" s="7"/>
      <c r="HK920" s="7"/>
      <c r="HL920" s="7"/>
      <c r="HM920" s="7"/>
      <c r="HN920" s="7"/>
      <c r="HO920" s="7"/>
      <c r="HP920" s="7"/>
      <c r="HQ920" s="7"/>
      <c r="HR920" s="7"/>
      <c r="HS920" s="7"/>
      <c r="HT920" s="7"/>
      <c r="HU920" s="7"/>
      <c r="HV920" s="7"/>
      <c r="HW920" s="7"/>
      <c r="HX920" s="7"/>
      <c r="HY920" s="7"/>
      <c r="HZ920" s="7"/>
      <c r="IA920" s="7"/>
      <c r="IB920" s="7"/>
      <c r="IC920" s="7"/>
      <c r="ID920" s="7"/>
      <c r="IE920" s="7"/>
      <c r="IF920" s="7"/>
      <c r="IG920" s="7"/>
      <c r="IH920" s="7"/>
      <c r="II920" s="7"/>
      <c r="IJ920" s="7"/>
      <c r="IK920" s="7"/>
      <c r="IL920" s="7"/>
      <c r="IM920" s="7"/>
      <c r="IN920" s="7"/>
      <c r="IO920" s="7"/>
      <c r="IP920" s="7"/>
      <c r="IQ920" s="7"/>
      <c r="IR920" s="7"/>
      <c r="IS920" s="7"/>
      <c r="IT920" s="7"/>
      <c r="IU920" s="7"/>
      <c r="IV920" s="7"/>
      <c r="IW920" s="7"/>
      <c r="IX920" s="7"/>
    </row>
    <row r="921" spans="1:258" s="17" customFormat="1" ht="21.95" customHeight="1" x14ac:dyDescent="0.25">
      <c r="A921" s="40" t="s">
        <v>1120</v>
      </c>
      <c r="B921" s="8" t="s">
        <v>680</v>
      </c>
      <c r="C921" s="2">
        <f t="shared" si="567"/>
        <v>1499300.0000000002</v>
      </c>
      <c r="D921" s="3">
        <f t="shared" si="562"/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4">
        <v>0</v>
      </c>
      <c r="L921" s="3">
        <v>0</v>
      </c>
      <c r="M921" s="3">
        <v>272.60000000000002</v>
      </c>
      <c r="N921" s="3">
        <f t="shared" si="566"/>
        <v>1499300.0000000002</v>
      </c>
      <c r="O921" s="3">
        <v>0</v>
      </c>
      <c r="P921" s="3">
        <v>0</v>
      </c>
      <c r="Q921" s="3">
        <v>0</v>
      </c>
      <c r="R921" s="3">
        <f t="shared" si="564"/>
        <v>0</v>
      </c>
      <c r="S921" s="3">
        <v>0</v>
      </c>
      <c r="T921" s="3">
        <v>0</v>
      </c>
      <c r="U921" s="3">
        <v>0</v>
      </c>
      <c r="V921" s="6">
        <f t="shared" si="565"/>
        <v>5500</v>
      </c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7"/>
      <c r="CR921" s="7"/>
      <c r="CS921" s="7"/>
      <c r="CT921" s="7"/>
      <c r="CU921" s="7"/>
      <c r="CV921" s="7"/>
      <c r="CW921" s="7"/>
      <c r="CX921" s="7"/>
      <c r="CY921" s="7"/>
      <c r="CZ921" s="7"/>
      <c r="DA921" s="7"/>
      <c r="DB921" s="7"/>
      <c r="DC921" s="7"/>
      <c r="DD921" s="7"/>
      <c r="DE921" s="7"/>
      <c r="DF921" s="7"/>
      <c r="DG921" s="7"/>
      <c r="DH921" s="7"/>
      <c r="DI921" s="7"/>
      <c r="DJ921" s="7"/>
      <c r="DK921" s="7"/>
      <c r="DL921" s="7"/>
      <c r="DM921" s="7"/>
      <c r="DN921" s="7"/>
      <c r="DO921" s="7"/>
      <c r="DP921" s="7"/>
      <c r="DQ921" s="7"/>
      <c r="DR921" s="7"/>
      <c r="DS921" s="7"/>
      <c r="DT921" s="7"/>
      <c r="DU921" s="7"/>
      <c r="DV921" s="7"/>
      <c r="DW921" s="7"/>
      <c r="DX921" s="7"/>
      <c r="DY921" s="7"/>
      <c r="DZ921" s="7"/>
      <c r="EA921" s="7"/>
      <c r="EB921" s="7"/>
      <c r="EC921" s="7"/>
      <c r="ED921" s="7"/>
      <c r="EE921" s="7"/>
      <c r="EF921" s="7"/>
      <c r="EG921" s="7"/>
      <c r="EH921" s="7"/>
      <c r="EI921" s="7"/>
      <c r="EJ921" s="7"/>
      <c r="EK921" s="7"/>
      <c r="EL921" s="7"/>
      <c r="EM921" s="7"/>
      <c r="EN921" s="7"/>
      <c r="EO921" s="7"/>
      <c r="EP921" s="7"/>
      <c r="EQ921" s="7"/>
      <c r="ER921" s="7"/>
      <c r="ES921" s="7"/>
      <c r="ET921" s="7"/>
      <c r="EU921" s="7"/>
      <c r="EV921" s="7"/>
      <c r="EW921" s="7"/>
      <c r="EX921" s="7"/>
      <c r="EY921" s="7"/>
      <c r="EZ921" s="7"/>
      <c r="FA921" s="7"/>
      <c r="FB921" s="7"/>
      <c r="FC921" s="7"/>
      <c r="FD921" s="7"/>
      <c r="FE921" s="7"/>
      <c r="FF921" s="7"/>
      <c r="FG921" s="7"/>
      <c r="FH921" s="7"/>
      <c r="FI921" s="7"/>
      <c r="FJ921" s="7"/>
      <c r="FK921" s="7"/>
      <c r="FL921" s="7"/>
      <c r="FM921" s="7"/>
      <c r="FN921" s="7"/>
      <c r="FO921" s="7"/>
      <c r="FP921" s="7"/>
      <c r="FQ921" s="7"/>
      <c r="FR921" s="7"/>
      <c r="FS921" s="7"/>
      <c r="FT921" s="7"/>
      <c r="FU921" s="7"/>
      <c r="FV921" s="7"/>
      <c r="FW921" s="7"/>
      <c r="FX921" s="7"/>
      <c r="FY921" s="7"/>
      <c r="FZ921" s="7"/>
      <c r="GA921" s="7"/>
      <c r="GB921" s="7"/>
      <c r="GC921" s="7"/>
      <c r="GD921" s="7"/>
      <c r="GE921" s="7"/>
      <c r="GF921" s="7"/>
      <c r="GG921" s="7"/>
      <c r="GH921" s="7"/>
      <c r="GI921" s="7"/>
      <c r="GJ921" s="7"/>
      <c r="GK921" s="7"/>
      <c r="GL921" s="7"/>
      <c r="GM921" s="7"/>
      <c r="GN921" s="7"/>
      <c r="GO921" s="7"/>
      <c r="GP921" s="7"/>
      <c r="GQ921" s="7"/>
      <c r="GR921" s="7"/>
      <c r="GS921" s="7"/>
      <c r="GT921" s="7"/>
      <c r="GU921" s="7"/>
      <c r="GV921" s="7"/>
      <c r="GW921" s="7"/>
      <c r="GX921" s="7"/>
      <c r="GY921" s="7"/>
      <c r="GZ921" s="7"/>
      <c r="HA921" s="7"/>
      <c r="HB921" s="7"/>
      <c r="HC921" s="7"/>
      <c r="HD921" s="7"/>
      <c r="HE921" s="7"/>
      <c r="HF921" s="7"/>
      <c r="HG921" s="7"/>
      <c r="HH921" s="7"/>
      <c r="HI921" s="7"/>
      <c r="HJ921" s="7"/>
      <c r="HK921" s="7"/>
      <c r="HL921" s="7"/>
      <c r="HM921" s="7"/>
      <c r="HN921" s="7"/>
      <c r="HO921" s="7"/>
      <c r="HP921" s="7"/>
      <c r="HQ921" s="7"/>
      <c r="HR921" s="7"/>
      <c r="HS921" s="7"/>
      <c r="HT921" s="7"/>
      <c r="HU921" s="7"/>
      <c r="HV921" s="7"/>
      <c r="HW921" s="7"/>
      <c r="HX921" s="7"/>
      <c r="HY921" s="7"/>
      <c r="HZ921" s="7"/>
      <c r="IA921" s="7"/>
      <c r="IB921" s="7"/>
      <c r="IC921" s="7"/>
      <c r="ID921" s="7"/>
      <c r="IE921" s="7"/>
      <c r="IF921" s="7"/>
      <c r="IG921" s="7"/>
      <c r="IH921" s="7"/>
      <c r="II921" s="7"/>
      <c r="IJ921" s="7"/>
      <c r="IK921" s="7"/>
      <c r="IL921" s="7"/>
      <c r="IM921" s="7"/>
      <c r="IN921" s="7"/>
      <c r="IO921" s="7"/>
      <c r="IP921" s="7"/>
      <c r="IQ921" s="7"/>
      <c r="IR921" s="7"/>
      <c r="IS921" s="7"/>
      <c r="IT921" s="7"/>
      <c r="IU921" s="7"/>
      <c r="IV921" s="7"/>
      <c r="IW921" s="7"/>
      <c r="IX921" s="7"/>
    </row>
    <row r="922" spans="1:258" ht="21.95" customHeight="1" x14ac:dyDescent="0.25">
      <c r="A922" s="40" t="s">
        <v>1121</v>
      </c>
      <c r="B922" s="8" t="s">
        <v>772</v>
      </c>
      <c r="C922" s="2">
        <f t="shared" si="567"/>
        <v>10716908.5</v>
      </c>
      <c r="D922" s="3">
        <f t="shared" si="562"/>
        <v>4802908.5</v>
      </c>
      <c r="E922" s="3">
        <f>350*2463.03</f>
        <v>862060.50000000012</v>
      </c>
      <c r="F922" s="3">
        <f>1050*2463.03</f>
        <v>2586181.5</v>
      </c>
      <c r="G922" s="3">
        <f>300*2463.03</f>
        <v>738909.00000000012</v>
      </c>
      <c r="H922" s="3">
        <f>400*0</f>
        <v>0</v>
      </c>
      <c r="I922" s="3">
        <f>250*2463.03</f>
        <v>615757.5</v>
      </c>
      <c r="J922" s="3">
        <v>0</v>
      </c>
      <c r="K922" s="4">
        <v>0</v>
      </c>
      <c r="L922" s="3">
        <v>0</v>
      </c>
      <c r="M922" s="3">
        <v>0</v>
      </c>
      <c r="N922" s="3">
        <v>0</v>
      </c>
      <c r="O922" s="3">
        <v>0</v>
      </c>
      <c r="P922" s="3">
        <v>0</v>
      </c>
      <c r="Q922" s="3">
        <v>1938</v>
      </c>
      <c r="R922" s="3">
        <f t="shared" si="564"/>
        <v>5814000</v>
      </c>
      <c r="S922" s="3">
        <v>0</v>
      </c>
      <c r="T922" s="3">
        <v>0</v>
      </c>
      <c r="U922" s="3">
        <v>100000</v>
      </c>
      <c r="V922" s="6" t="e">
        <f t="shared" si="565"/>
        <v>#DIV/0!</v>
      </c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  <c r="BO922" s="17"/>
      <c r="BP922" s="17"/>
      <c r="BQ922" s="17"/>
      <c r="BR922" s="17"/>
      <c r="BS922" s="17"/>
      <c r="BT922" s="17"/>
      <c r="BU922" s="17"/>
      <c r="BV922" s="17"/>
      <c r="BW922" s="17"/>
      <c r="BX922" s="17"/>
      <c r="BY922" s="17"/>
      <c r="BZ922" s="17"/>
      <c r="CA922" s="17"/>
      <c r="CB922" s="17"/>
      <c r="CC922" s="17"/>
      <c r="CD922" s="17"/>
      <c r="CE922" s="17"/>
      <c r="CF922" s="17"/>
      <c r="CG922" s="17"/>
      <c r="CH922" s="17"/>
      <c r="CI922" s="17"/>
      <c r="CJ922" s="17"/>
      <c r="CK922" s="17"/>
      <c r="CL922" s="17"/>
      <c r="CM922" s="17"/>
      <c r="CN922" s="17"/>
      <c r="CO922" s="17"/>
      <c r="CP922" s="17"/>
      <c r="CQ922" s="17"/>
      <c r="CR922" s="17"/>
      <c r="CS922" s="17"/>
      <c r="CT922" s="17"/>
      <c r="CU922" s="17"/>
      <c r="CV922" s="17"/>
      <c r="CW922" s="17"/>
      <c r="CX922" s="17"/>
      <c r="CY922" s="17"/>
      <c r="CZ922" s="17"/>
      <c r="DA922" s="17"/>
      <c r="DB922" s="17"/>
      <c r="DC922" s="17"/>
      <c r="DD922" s="17"/>
      <c r="DE922" s="17"/>
      <c r="DF922" s="17"/>
      <c r="DG922" s="17"/>
      <c r="DH922" s="17"/>
      <c r="DI922" s="17"/>
      <c r="DJ922" s="17"/>
      <c r="DK922" s="17"/>
      <c r="DL922" s="17"/>
      <c r="DM922" s="17"/>
      <c r="DN922" s="17"/>
      <c r="DO922" s="17"/>
      <c r="DP922" s="17"/>
      <c r="DQ922" s="17"/>
      <c r="DR922" s="17"/>
      <c r="DS922" s="17"/>
      <c r="DT922" s="17"/>
      <c r="DU922" s="17"/>
      <c r="DV922" s="17"/>
      <c r="DW922" s="17"/>
      <c r="DX922" s="17"/>
      <c r="DY922" s="17"/>
      <c r="DZ922" s="17"/>
      <c r="EA922" s="17"/>
      <c r="EB922" s="17"/>
      <c r="EC922" s="17"/>
      <c r="ED922" s="17"/>
      <c r="EE922" s="17"/>
      <c r="EF922" s="17"/>
      <c r="EG922" s="17"/>
      <c r="EH922" s="17"/>
      <c r="EI922" s="17"/>
      <c r="EJ922" s="17"/>
      <c r="EK922" s="17"/>
      <c r="EL922" s="17"/>
      <c r="EM922" s="17"/>
      <c r="EN922" s="17"/>
      <c r="EO922" s="17"/>
      <c r="EP922" s="17"/>
      <c r="EQ922" s="17"/>
      <c r="ER922" s="17"/>
      <c r="ES922" s="17"/>
      <c r="ET922" s="17"/>
      <c r="EU922" s="17"/>
      <c r="EV922" s="17"/>
      <c r="EW922" s="17"/>
      <c r="EX922" s="17"/>
      <c r="EY922" s="17"/>
      <c r="EZ922" s="17"/>
      <c r="FA922" s="17"/>
      <c r="FB922" s="17"/>
      <c r="FC922" s="17"/>
      <c r="FD922" s="17"/>
      <c r="FE922" s="17"/>
      <c r="FF922" s="17"/>
      <c r="FG922" s="17"/>
      <c r="FH922" s="17"/>
      <c r="FI922" s="17"/>
      <c r="FJ922" s="17"/>
      <c r="FK922" s="17"/>
      <c r="FL922" s="17"/>
      <c r="FM922" s="17"/>
      <c r="FN922" s="17"/>
      <c r="FO922" s="17"/>
      <c r="FP922" s="17"/>
      <c r="FQ922" s="17"/>
      <c r="FR922" s="17"/>
      <c r="FS922" s="17"/>
      <c r="FT922" s="17"/>
      <c r="FU922" s="17"/>
      <c r="FV922" s="17"/>
      <c r="FW922" s="17"/>
      <c r="FX922" s="17"/>
      <c r="FY922" s="17"/>
      <c r="FZ922" s="17"/>
      <c r="GA922" s="17"/>
      <c r="GB922" s="17"/>
      <c r="GC922" s="17"/>
      <c r="GD922" s="17"/>
      <c r="GE922" s="17"/>
      <c r="GF922" s="17"/>
      <c r="GG922" s="17"/>
      <c r="GH922" s="17"/>
      <c r="GI922" s="17"/>
      <c r="GJ922" s="17"/>
      <c r="GK922" s="17"/>
      <c r="GL922" s="17"/>
      <c r="GM922" s="17"/>
      <c r="GN922" s="17"/>
      <c r="GO922" s="17"/>
      <c r="GP922" s="17"/>
      <c r="GQ922" s="17"/>
      <c r="GR922" s="17"/>
      <c r="GS922" s="17"/>
      <c r="GT922" s="17"/>
      <c r="GU922" s="17"/>
      <c r="GV922" s="17"/>
      <c r="GW922" s="17"/>
      <c r="GX922" s="17"/>
      <c r="GY922" s="17"/>
      <c r="GZ922" s="17"/>
      <c r="HA922" s="17"/>
      <c r="HB922" s="17"/>
      <c r="HC922" s="17"/>
      <c r="HD922" s="17"/>
      <c r="HE922" s="17"/>
      <c r="HF922" s="17"/>
      <c r="HG922" s="17"/>
      <c r="HH922" s="17"/>
      <c r="HI922" s="17"/>
      <c r="HJ922" s="17"/>
      <c r="HK922" s="17"/>
      <c r="HL922" s="17"/>
      <c r="HM922" s="17"/>
      <c r="HN922" s="17"/>
      <c r="HO922" s="17"/>
      <c r="HP922" s="17"/>
      <c r="HQ922" s="17"/>
      <c r="HR922" s="17"/>
      <c r="HS922" s="17"/>
      <c r="HT922" s="17"/>
      <c r="HU922" s="17"/>
      <c r="HV922" s="17"/>
      <c r="HW922" s="17"/>
      <c r="HX922" s="17"/>
      <c r="HY922" s="17"/>
      <c r="HZ922" s="17"/>
      <c r="IA922" s="17"/>
      <c r="IB922" s="17"/>
      <c r="IC922" s="17"/>
      <c r="ID922" s="17"/>
      <c r="IE922" s="17"/>
      <c r="IF922" s="17"/>
      <c r="IG922" s="17"/>
      <c r="IH922" s="17"/>
      <c r="II922" s="17"/>
      <c r="IJ922" s="17"/>
      <c r="IK922" s="17"/>
      <c r="IL922" s="17"/>
      <c r="IM922" s="17"/>
      <c r="IN922" s="17"/>
      <c r="IO922" s="17"/>
      <c r="IP922" s="17"/>
      <c r="IQ922" s="17"/>
      <c r="IR922" s="17"/>
      <c r="IS922" s="17"/>
      <c r="IT922" s="17"/>
      <c r="IU922" s="17"/>
      <c r="IV922" s="17"/>
      <c r="IW922" s="17"/>
      <c r="IX922" s="17"/>
    </row>
    <row r="923" spans="1:258" ht="21.95" customHeight="1" x14ac:dyDescent="0.25">
      <c r="A923" s="40" t="s">
        <v>1122</v>
      </c>
      <c r="B923" s="8" t="s">
        <v>773</v>
      </c>
      <c r="C923" s="2">
        <f t="shared" si="567"/>
        <v>4780050</v>
      </c>
      <c r="D923" s="3">
        <f t="shared" si="562"/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3">
        <v>869.1</v>
      </c>
      <c r="N923" s="3">
        <f t="shared" ref="N923:N926" si="568">M923*5500</f>
        <v>4780050</v>
      </c>
      <c r="O923" s="3">
        <v>0</v>
      </c>
      <c r="P923" s="3">
        <v>0</v>
      </c>
      <c r="Q923" s="3">
        <v>0</v>
      </c>
      <c r="R923" s="3">
        <f t="shared" si="564"/>
        <v>0</v>
      </c>
      <c r="S923" s="3">
        <v>0</v>
      </c>
      <c r="T923" s="3">
        <v>0</v>
      </c>
      <c r="U923" s="3">
        <v>0</v>
      </c>
      <c r="V923" s="6">
        <f t="shared" si="565"/>
        <v>5500</v>
      </c>
    </row>
    <row r="924" spans="1:258" ht="21.95" customHeight="1" x14ac:dyDescent="0.25">
      <c r="A924" s="40" t="s">
        <v>1123</v>
      </c>
      <c r="B924" s="8" t="s">
        <v>774</v>
      </c>
      <c r="C924" s="2">
        <f t="shared" si="567"/>
        <v>4862000</v>
      </c>
      <c r="D924" s="3">
        <f t="shared" si="562"/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11">
        <v>0</v>
      </c>
      <c r="L924" s="5">
        <v>0</v>
      </c>
      <c r="M924" s="5">
        <v>884</v>
      </c>
      <c r="N924" s="3">
        <f t="shared" si="568"/>
        <v>4862000</v>
      </c>
      <c r="O924" s="5">
        <v>0</v>
      </c>
      <c r="P924" s="5">
        <v>0</v>
      </c>
      <c r="Q924" s="5">
        <v>0</v>
      </c>
      <c r="R924" s="3">
        <f t="shared" si="564"/>
        <v>0</v>
      </c>
      <c r="S924" s="5">
        <v>0</v>
      </c>
      <c r="T924" s="5">
        <v>0</v>
      </c>
      <c r="U924" s="5">
        <v>0</v>
      </c>
      <c r="V924" s="6">
        <f t="shared" si="565"/>
        <v>5500</v>
      </c>
    </row>
    <row r="925" spans="1:258" ht="21.95" customHeight="1" x14ac:dyDescent="0.25">
      <c r="A925" s="40" t="s">
        <v>1124</v>
      </c>
      <c r="B925" s="8" t="s">
        <v>681</v>
      </c>
      <c r="C925" s="2">
        <f t="shared" si="567"/>
        <v>3071200</v>
      </c>
      <c r="D925" s="3">
        <f t="shared" si="562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3">
        <v>558.4</v>
      </c>
      <c r="N925" s="3">
        <f t="shared" si="568"/>
        <v>3071200</v>
      </c>
      <c r="O925" s="3">
        <v>0</v>
      </c>
      <c r="P925" s="3">
        <v>0</v>
      </c>
      <c r="Q925" s="3">
        <v>0</v>
      </c>
      <c r="R925" s="3">
        <f t="shared" si="564"/>
        <v>0</v>
      </c>
      <c r="S925" s="3">
        <v>0</v>
      </c>
      <c r="T925" s="5">
        <v>0</v>
      </c>
      <c r="U925" s="5">
        <v>0</v>
      </c>
      <c r="V925" s="6">
        <f t="shared" si="565"/>
        <v>5500</v>
      </c>
    </row>
    <row r="926" spans="1:258" ht="21.95" customHeight="1" x14ac:dyDescent="0.25">
      <c r="A926" s="40" t="s">
        <v>1125</v>
      </c>
      <c r="B926" s="8" t="s">
        <v>775</v>
      </c>
      <c r="C926" s="2">
        <f t="shared" si="567"/>
        <v>3126695</v>
      </c>
      <c r="D926" s="3">
        <f t="shared" si="562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4">
        <v>0</v>
      </c>
      <c r="L926" s="3">
        <v>0</v>
      </c>
      <c r="M926" s="3">
        <v>568.49</v>
      </c>
      <c r="N926" s="3">
        <f t="shared" si="568"/>
        <v>3126695</v>
      </c>
      <c r="O926" s="3">
        <v>0</v>
      </c>
      <c r="P926" s="3">
        <v>0</v>
      </c>
      <c r="Q926" s="3">
        <v>0</v>
      </c>
      <c r="R926" s="3">
        <f t="shared" si="564"/>
        <v>0</v>
      </c>
      <c r="S926" s="3">
        <v>0</v>
      </c>
      <c r="T926" s="5">
        <v>0</v>
      </c>
      <c r="U926" s="5">
        <v>0</v>
      </c>
      <c r="V926" s="6">
        <f t="shared" si="565"/>
        <v>5500</v>
      </c>
    </row>
    <row r="927" spans="1:258" ht="21.95" customHeight="1" x14ac:dyDescent="0.25">
      <c r="A927" s="40" t="s">
        <v>1126</v>
      </c>
      <c r="B927" s="8" t="s">
        <v>776</v>
      </c>
      <c r="C927" s="2">
        <f t="shared" si="567"/>
        <v>1419550.0000000002</v>
      </c>
      <c r="D927" s="3">
        <f t="shared" si="562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11">
        <v>0</v>
      </c>
      <c r="L927" s="5">
        <v>0</v>
      </c>
      <c r="M927" s="5">
        <v>258.10000000000002</v>
      </c>
      <c r="N927" s="3">
        <f t="shared" ref="N927:N936" si="569">M927*5500</f>
        <v>1419550.0000000002</v>
      </c>
      <c r="O927" s="5">
        <v>0</v>
      </c>
      <c r="P927" s="5">
        <v>0</v>
      </c>
      <c r="Q927" s="5">
        <v>0</v>
      </c>
      <c r="R927" s="3">
        <f t="shared" si="564"/>
        <v>0</v>
      </c>
      <c r="S927" s="5">
        <v>0</v>
      </c>
      <c r="T927" s="5">
        <v>0</v>
      </c>
      <c r="U927" s="5">
        <v>0</v>
      </c>
      <c r="V927" s="6">
        <f t="shared" si="565"/>
        <v>5500</v>
      </c>
    </row>
    <row r="928" spans="1:258" ht="21.95" customHeight="1" x14ac:dyDescent="0.25">
      <c r="A928" s="40" t="s">
        <v>1127</v>
      </c>
      <c r="B928" s="8" t="s">
        <v>682</v>
      </c>
      <c r="C928" s="2">
        <f t="shared" si="567"/>
        <v>3058000</v>
      </c>
      <c r="D928" s="3">
        <f t="shared" si="562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11">
        <v>0</v>
      </c>
      <c r="L928" s="5">
        <v>0</v>
      </c>
      <c r="M928" s="3">
        <v>556</v>
      </c>
      <c r="N928" s="3">
        <f t="shared" si="569"/>
        <v>3058000</v>
      </c>
      <c r="O928" s="5">
        <v>0</v>
      </c>
      <c r="P928" s="5">
        <v>0</v>
      </c>
      <c r="Q928" s="5">
        <v>0</v>
      </c>
      <c r="R928" s="3">
        <f t="shared" si="564"/>
        <v>0</v>
      </c>
      <c r="S928" s="5">
        <v>0</v>
      </c>
      <c r="T928" s="5">
        <v>0</v>
      </c>
      <c r="U928" s="5">
        <v>0</v>
      </c>
      <c r="V928" s="6">
        <f t="shared" si="565"/>
        <v>5500</v>
      </c>
    </row>
    <row r="929" spans="1:258" ht="21.95" customHeight="1" x14ac:dyDescent="0.25">
      <c r="A929" s="40" t="s">
        <v>1128</v>
      </c>
      <c r="B929" s="8" t="s">
        <v>1185</v>
      </c>
      <c r="C929" s="2">
        <f t="shared" si="567"/>
        <v>2850000</v>
      </c>
      <c r="D929" s="3">
        <f t="shared" si="562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11">
        <v>0</v>
      </c>
      <c r="L929" s="5">
        <v>0</v>
      </c>
      <c r="M929" s="3">
        <v>300</v>
      </c>
      <c r="N929" s="3">
        <f t="shared" si="569"/>
        <v>1650000</v>
      </c>
      <c r="O929" s="5">
        <v>0</v>
      </c>
      <c r="P929" s="5">
        <v>0</v>
      </c>
      <c r="Q929" s="5">
        <v>400</v>
      </c>
      <c r="R929" s="3">
        <f t="shared" si="564"/>
        <v>1200000</v>
      </c>
      <c r="S929" s="5">
        <v>0</v>
      </c>
      <c r="T929" s="5">
        <v>0</v>
      </c>
      <c r="U929" s="5">
        <v>0</v>
      </c>
      <c r="V929" s="6">
        <f t="shared" si="565"/>
        <v>5500</v>
      </c>
    </row>
    <row r="930" spans="1:258" ht="21.95" customHeight="1" x14ac:dyDescent="0.25">
      <c r="A930" s="40" t="s">
        <v>1129</v>
      </c>
      <c r="B930" s="8" t="s">
        <v>777</v>
      </c>
      <c r="C930" s="2">
        <f t="shared" si="567"/>
        <v>3619000</v>
      </c>
      <c r="D930" s="3">
        <f t="shared" si="562"/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4">
        <v>0</v>
      </c>
      <c r="L930" s="3">
        <v>0</v>
      </c>
      <c r="M930" s="3">
        <v>658</v>
      </c>
      <c r="N930" s="3">
        <f t="shared" si="569"/>
        <v>3619000</v>
      </c>
      <c r="O930" s="5">
        <v>0</v>
      </c>
      <c r="P930" s="5">
        <v>0</v>
      </c>
      <c r="Q930" s="5">
        <v>0</v>
      </c>
      <c r="R930" s="3">
        <f t="shared" si="564"/>
        <v>0</v>
      </c>
      <c r="S930" s="5">
        <v>0</v>
      </c>
      <c r="T930" s="5">
        <v>0</v>
      </c>
      <c r="U930" s="5">
        <v>0</v>
      </c>
      <c r="V930" s="6">
        <f t="shared" si="565"/>
        <v>5500</v>
      </c>
    </row>
    <row r="931" spans="1:258" ht="21.95" customHeight="1" x14ac:dyDescent="0.25">
      <c r="A931" s="40" t="s">
        <v>1130</v>
      </c>
      <c r="B931" s="8" t="s">
        <v>778</v>
      </c>
      <c r="C931" s="2">
        <f t="shared" si="567"/>
        <v>3536500</v>
      </c>
      <c r="D931" s="3">
        <f t="shared" si="562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4">
        <v>0</v>
      </c>
      <c r="L931" s="3">
        <v>0</v>
      </c>
      <c r="M931" s="5">
        <v>643</v>
      </c>
      <c r="N931" s="3">
        <f t="shared" si="569"/>
        <v>3536500</v>
      </c>
      <c r="O931" s="5">
        <v>0</v>
      </c>
      <c r="P931" s="5">
        <v>0</v>
      </c>
      <c r="Q931" s="5">
        <v>0</v>
      </c>
      <c r="R931" s="3">
        <f t="shared" si="564"/>
        <v>0</v>
      </c>
      <c r="S931" s="5">
        <v>0</v>
      </c>
      <c r="T931" s="5">
        <v>0</v>
      </c>
      <c r="U931" s="5">
        <v>0</v>
      </c>
      <c r="V931" s="6">
        <f t="shared" si="565"/>
        <v>5500</v>
      </c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  <c r="BO931" s="17"/>
      <c r="BP931" s="17"/>
      <c r="BQ931" s="17"/>
      <c r="BR931" s="17"/>
      <c r="BS931" s="17"/>
      <c r="BT931" s="17"/>
      <c r="BU931" s="17"/>
      <c r="BV931" s="17"/>
      <c r="BW931" s="17"/>
      <c r="BX931" s="17"/>
      <c r="BY931" s="17"/>
      <c r="BZ931" s="17"/>
      <c r="CA931" s="17"/>
      <c r="CB931" s="17"/>
      <c r="CC931" s="17"/>
      <c r="CD931" s="17"/>
      <c r="CE931" s="17"/>
      <c r="CF931" s="17"/>
      <c r="CG931" s="17"/>
      <c r="CH931" s="17"/>
      <c r="CI931" s="17"/>
      <c r="CJ931" s="17"/>
      <c r="CK931" s="17"/>
      <c r="CL931" s="17"/>
      <c r="CM931" s="17"/>
      <c r="CN931" s="17"/>
      <c r="CO931" s="17"/>
      <c r="CP931" s="17"/>
      <c r="CQ931" s="17"/>
      <c r="CR931" s="17"/>
      <c r="CS931" s="17"/>
      <c r="CT931" s="17"/>
      <c r="CU931" s="17"/>
      <c r="CV931" s="17"/>
      <c r="CW931" s="17"/>
      <c r="CX931" s="17"/>
      <c r="CY931" s="17"/>
      <c r="CZ931" s="17"/>
      <c r="DA931" s="17"/>
      <c r="DB931" s="17"/>
      <c r="DC931" s="17"/>
      <c r="DD931" s="17"/>
      <c r="DE931" s="17"/>
      <c r="DF931" s="17"/>
      <c r="DG931" s="17"/>
      <c r="DH931" s="17"/>
      <c r="DI931" s="17"/>
      <c r="DJ931" s="17"/>
      <c r="DK931" s="17"/>
      <c r="DL931" s="17"/>
      <c r="DM931" s="17"/>
      <c r="DN931" s="17"/>
      <c r="DO931" s="17"/>
      <c r="DP931" s="17"/>
      <c r="DQ931" s="17"/>
      <c r="DR931" s="17"/>
      <c r="DS931" s="17"/>
      <c r="DT931" s="17"/>
      <c r="DU931" s="17"/>
      <c r="DV931" s="17"/>
      <c r="DW931" s="17"/>
      <c r="DX931" s="17"/>
      <c r="DY931" s="17"/>
      <c r="DZ931" s="17"/>
      <c r="EA931" s="17"/>
      <c r="EB931" s="17"/>
      <c r="EC931" s="17"/>
      <c r="ED931" s="17"/>
      <c r="EE931" s="17"/>
      <c r="EF931" s="17"/>
      <c r="EG931" s="17"/>
      <c r="EH931" s="17"/>
      <c r="EI931" s="17"/>
      <c r="EJ931" s="17"/>
      <c r="EK931" s="17"/>
      <c r="EL931" s="17"/>
      <c r="EM931" s="17"/>
      <c r="EN931" s="17"/>
      <c r="EO931" s="17"/>
      <c r="EP931" s="17"/>
      <c r="EQ931" s="17"/>
      <c r="ER931" s="17"/>
      <c r="ES931" s="17"/>
      <c r="ET931" s="17"/>
      <c r="EU931" s="17"/>
      <c r="EV931" s="17"/>
      <c r="EW931" s="17"/>
      <c r="EX931" s="17"/>
      <c r="EY931" s="17"/>
      <c r="EZ931" s="17"/>
      <c r="FA931" s="17"/>
      <c r="FB931" s="17"/>
      <c r="FC931" s="17"/>
      <c r="FD931" s="17"/>
      <c r="FE931" s="17"/>
      <c r="FF931" s="17"/>
      <c r="FG931" s="17"/>
      <c r="FH931" s="17"/>
      <c r="FI931" s="17"/>
      <c r="FJ931" s="17"/>
      <c r="FK931" s="17"/>
      <c r="FL931" s="17"/>
      <c r="FM931" s="17"/>
      <c r="FN931" s="17"/>
      <c r="FO931" s="17"/>
      <c r="FP931" s="17"/>
      <c r="FQ931" s="17"/>
      <c r="FR931" s="17"/>
      <c r="FS931" s="17"/>
      <c r="FT931" s="17"/>
      <c r="FU931" s="17"/>
      <c r="FV931" s="17"/>
      <c r="FW931" s="17"/>
      <c r="FX931" s="17"/>
      <c r="FY931" s="17"/>
      <c r="FZ931" s="17"/>
      <c r="GA931" s="17"/>
      <c r="GB931" s="17"/>
      <c r="GC931" s="17"/>
      <c r="GD931" s="17"/>
      <c r="GE931" s="17"/>
      <c r="GF931" s="17"/>
      <c r="GG931" s="17"/>
      <c r="GH931" s="17"/>
      <c r="GI931" s="17"/>
      <c r="GJ931" s="17"/>
      <c r="GK931" s="17"/>
      <c r="GL931" s="17"/>
      <c r="GM931" s="17"/>
      <c r="GN931" s="17"/>
      <c r="GO931" s="17"/>
      <c r="GP931" s="17"/>
      <c r="GQ931" s="17"/>
      <c r="GR931" s="17"/>
      <c r="GS931" s="17"/>
      <c r="GT931" s="17"/>
      <c r="GU931" s="17"/>
      <c r="GV931" s="17"/>
      <c r="GW931" s="17"/>
      <c r="GX931" s="17"/>
      <c r="GY931" s="17"/>
      <c r="GZ931" s="17"/>
      <c r="HA931" s="17"/>
      <c r="HB931" s="17"/>
      <c r="HC931" s="17"/>
      <c r="HD931" s="17"/>
      <c r="HE931" s="17"/>
      <c r="HF931" s="17"/>
      <c r="HG931" s="17"/>
      <c r="HH931" s="17"/>
      <c r="HI931" s="17"/>
      <c r="HJ931" s="17"/>
      <c r="HK931" s="17"/>
      <c r="HL931" s="17"/>
      <c r="HM931" s="17"/>
      <c r="HN931" s="17"/>
      <c r="HO931" s="17"/>
      <c r="HP931" s="17"/>
      <c r="HQ931" s="17"/>
      <c r="HR931" s="17"/>
      <c r="HS931" s="17"/>
      <c r="HT931" s="17"/>
      <c r="HU931" s="17"/>
      <c r="HV931" s="17"/>
      <c r="HW931" s="17"/>
      <c r="HX931" s="17"/>
      <c r="HY931" s="17"/>
      <c r="HZ931" s="17"/>
      <c r="IA931" s="17"/>
      <c r="IB931" s="17"/>
      <c r="IC931" s="17"/>
      <c r="ID931" s="17"/>
      <c r="IE931" s="17"/>
      <c r="IF931" s="17"/>
      <c r="IG931" s="17"/>
      <c r="IH931" s="17"/>
      <c r="II931" s="17"/>
      <c r="IJ931" s="17"/>
      <c r="IK931" s="17"/>
      <c r="IL931" s="17"/>
      <c r="IM931" s="17"/>
      <c r="IN931" s="17"/>
      <c r="IO931" s="17"/>
      <c r="IP931" s="17"/>
      <c r="IQ931" s="17"/>
      <c r="IR931" s="17"/>
      <c r="IS931" s="17"/>
      <c r="IT931" s="17"/>
      <c r="IU931" s="17"/>
      <c r="IV931" s="17"/>
      <c r="IW931" s="17"/>
      <c r="IX931" s="17"/>
    </row>
    <row r="932" spans="1:258" ht="21.95" customHeight="1" x14ac:dyDescent="0.25">
      <c r="A932" s="40" t="s">
        <v>1131</v>
      </c>
      <c r="B932" s="8" t="s">
        <v>779</v>
      </c>
      <c r="C932" s="2">
        <f t="shared" si="567"/>
        <v>1640100</v>
      </c>
      <c r="D932" s="3">
        <f t="shared" si="562"/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4">
        <v>0</v>
      </c>
      <c r="L932" s="3">
        <v>0</v>
      </c>
      <c r="M932" s="3">
        <v>298.2</v>
      </c>
      <c r="N932" s="3">
        <f t="shared" si="569"/>
        <v>1640100</v>
      </c>
      <c r="O932" s="5">
        <v>0</v>
      </c>
      <c r="P932" s="5">
        <v>0</v>
      </c>
      <c r="Q932" s="5">
        <v>0</v>
      </c>
      <c r="R932" s="3">
        <f t="shared" si="564"/>
        <v>0</v>
      </c>
      <c r="S932" s="5">
        <v>0</v>
      </c>
      <c r="T932" s="5">
        <v>0</v>
      </c>
      <c r="U932" s="5">
        <v>0</v>
      </c>
      <c r="V932" s="6">
        <f t="shared" si="565"/>
        <v>5500</v>
      </c>
    </row>
    <row r="933" spans="1:258" ht="21.95" customHeight="1" x14ac:dyDescent="0.25">
      <c r="A933" s="40" t="s">
        <v>1132</v>
      </c>
      <c r="B933" s="8" t="s">
        <v>780</v>
      </c>
      <c r="C933" s="2">
        <f t="shared" si="567"/>
        <v>1188000</v>
      </c>
      <c r="D933" s="3">
        <f t="shared" si="562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4">
        <v>0</v>
      </c>
      <c r="L933" s="3">
        <v>0</v>
      </c>
      <c r="M933" s="5">
        <v>216</v>
      </c>
      <c r="N933" s="3">
        <f t="shared" si="569"/>
        <v>1188000</v>
      </c>
      <c r="O933" s="5">
        <v>0</v>
      </c>
      <c r="P933" s="5">
        <v>0</v>
      </c>
      <c r="Q933" s="5">
        <v>0</v>
      </c>
      <c r="R933" s="3">
        <f t="shared" si="564"/>
        <v>0</v>
      </c>
      <c r="S933" s="5">
        <v>0</v>
      </c>
      <c r="T933" s="5">
        <v>0</v>
      </c>
      <c r="U933" s="5">
        <v>0</v>
      </c>
      <c r="V933" s="6">
        <f t="shared" si="565"/>
        <v>5500</v>
      </c>
    </row>
    <row r="934" spans="1:258" s="6" customFormat="1" ht="21.95" customHeight="1" x14ac:dyDescent="0.25">
      <c r="A934" s="40" t="s">
        <v>1133</v>
      </c>
      <c r="B934" s="8" t="s">
        <v>683</v>
      </c>
      <c r="C934" s="2">
        <f t="shared" si="567"/>
        <v>2007500</v>
      </c>
      <c r="D934" s="3">
        <f t="shared" si="562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4">
        <v>0</v>
      </c>
      <c r="L934" s="3">
        <v>0</v>
      </c>
      <c r="M934" s="3">
        <v>365</v>
      </c>
      <c r="N934" s="3">
        <f t="shared" si="569"/>
        <v>2007500</v>
      </c>
      <c r="O934" s="5">
        <v>0</v>
      </c>
      <c r="P934" s="5">
        <v>0</v>
      </c>
      <c r="Q934" s="5">
        <v>0</v>
      </c>
      <c r="R934" s="3">
        <f t="shared" si="564"/>
        <v>0</v>
      </c>
      <c r="S934" s="5">
        <v>0</v>
      </c>
      <c r="T934" s="5">
        <v>0</v>
      </c>
      <c r="U934" s="5">
        <v>0</v>
      </c>
      <c r="V934" s="6">
        <f t="shared" si="565"/>
        <v>5500</v>
      </c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  <c r="CU934" s="7"/>
      <c r="CV934" s="7"/>
      <c r="CW934" s="7"/>
      <c r="CX934" s="7"/>
      <c r="CY934" s="7"/>
      <c r="CZ934" s="7"/>
      <c r="DA934" s="7"/>
      <c r="DB934" s="7"/>
      <c r="DC934" s="7"/>
      <c r="DD934" s="7"/>
      <c r="DE934" s="7"/>
      <c r="DF934" s="7"/>
      <c r="DG934" s="7"/>
      <c r="DH934" s="7"/>
      <c r="DI934" s="7"/>
      <c r="DJ934" s="7"/>
      <c r="DK934" s="7"/>
      <c r="DL934" s="7"/>
      <c r="DM934" s="7"/>
      <c r="DN934" s="7"/>
      <c r="DO934" s="7"/>
      <c r="DP934" s="7"/>
      <c r="DQ934" s="7"/>
      <c r="DR934" s="7"/>
      <c r="DS934" s="7"/>
      <c r="DT934" s="7"/>
      <c r="DU934" s="7"/>
      <c r="DV934" s="7"/>
      <c r="DW934" s="7"/>
      <c r="DX934" s="7"/>
      <c r="DY934" s="7"/>
      <c r="DZ934" s="7"/>
      <c r="EA934" s="7"/>
      <c r="EB934" s="7"/>
      <c r="EC934" s="7"/>
      <c r="ED934" s="7"/>
      <c r="EE934" s="7"/>
      <c r="EF934" s="7"/>
      <c r="EG934" s="7"/>
      <c r="EH934" s="7"/>
      <c r="EI934" s="7"/>
      <c r="EJ934" s="7"/>
      <c r="EK934" s="7"/>
      <c r="EL934" s="7"/>
      <c r="EM934" s="7"/>
      <c r="EN934" s="7"/>
      <c r="EO934" s="7"/>
      <c r="EP934" s="7"/>
      <c r="EQ934" s="7"/>
      <c r="ER934" s="7"/>
      <c r="ES934" s="7"/>
      <c r="ET934" s="7"/>
      <c r="EU934" s="7"/>
      <c r="EV934" s="7"/>
      <c r="EW934" s="7"/>
      <c r="EX934" s="7"/>
      <c r="EY934" s="7"/>
      <c r="EZ934" s="7"/>
      <c r="FA934" s="7"/>
      <c r="FB934" s="7"/>
      <c r="FC934" s="7"/>
      <c r="FD934" s="7"/>
      <c r="FE934" s="7"/>
      <c r="FF934" s="7"/>
      <c r="FG934" s="7"/>
      <c r="FH934" s="7"/>
      <c r="FI934" s="7"/>
      <c r="FJ934" s="7"/>
      <c r="FK934" s="7"/>
      <c r="FL934" s="7"/>
      <c r="FM934" s="7"/>
      <c r="FN934" s="7"/>
      <c r="FO934" s="7"/>
      <c r="FP934" s="7"/>
      <c r="FQ934" s="7"/>
      <c r="FR934" s="7"/>
      <c r="FS934" s="7"/>
      <c r="FT934" s="7"/>
      <c r="FU934" s="7"/>
      <c r="FV934" s="7"/>
      <c r="FW934" s="7"/>
      <c r="FX934" s="7"/>
      <c r="FY934" s="7"/>
      <c r="FZ934" s="7"/>
      <c r="GA934" s="7"/>
      <c r="GB934" s="7"/>
      <c r="GC934" s="7"/>
      <c r="GD934" s="7"/>
      <c r="GE934" s="7"/>
      <c r="GF934" s="7"/>
      <c r="GG934" s="7"/>
      <c r="GH934" s="7"/>
      <c r="GI934" s="7"/>
      <c r="GJ934" s="7"/>
      <c r="GK934" s="7"/>
      <c r="GL934" s="7"/>
      <c r="GM934" s="7"/>
      <c r="GN934" s="7"/>
      <c r="GO934" s="7"/>
      <c r="GP934" s="7"/>
      <c r="GQ934" s="7"/>
      <c r="GR934" s="7"/>
      <c r="GS934" s="7"/>
      <c r="GT934" s="7"/>
      <c r="GU934" s="7"/>
      <c r="GV934" s="7"/>
      <c r="GW934" s="7"/>
      <c r="GX934" s="7"/>
      <c r="GY934" s="7"/>
      <c r="GZ934" s="7"/>
      <c r="HA934" s="7"/>
      <c r="HB934" s="7"/>
      <c r="HC934" s="7"/>
      <c r="HD934" s="7"/>
      <c r="HE934" s="7"/>
      <c r="HF934" s="7"/>
      <c r="HG934" s="7"/>
      <c r="HH934" s="7"/>
      <c r="HI934" s="7"/>
      <c r="HJ934" s="7"/>
      <c r="HK934" s="7"/>
      <c r="HL934" s="7"/>
      <c r="HM934" s="7"/>
      <c r="HN934" s="7"/>
      <c r="HO934" s="7"/>
      <c r="HP934" s="7"/>
      <c r="HQ934" s="7"/>
      <c r="HR934" s="7"/>
      <c r="HS934" s="7"/>
      <c r="HT934" s="7"/>
      <c r="HU934" s="7"/>
      <c r="HV934" s="7"/>
      <c r="HW934" s="7"/>
      <c r="HX934" s="7"/>
      <c r="HY934" s="7"/>
      <c r="HZ934" s="7"/>
      <c r="IA934" s="7"/>
      <c r="IB934" s="7"/>
      <c r="IC934" s="7"/>
      <c r="ID934" s="7"/>
      <c r="IE934" s="7"/>
      <c r="IF934" s="7"/>
      <c r="IG934" s="7"/>
      <c r="IH934" s="7"/>
      <c r="II934" s="7"/>
      <c r="IJ934" s="7"/>
      <c r="IK934" s="7"/>
      <c r="IL934" s="7"/>
      <c r="IM934" s="7"/>
      <c r="IN934" s="7"/>
      <c r="IO934" s="7"/>
      <c r="IP934" s="7"/>
      <c r="IQ934" s="7"/>
      <c r="IR934" s="7"/>
      <c r="IS934" s="7"/>
      <c r="IT934" s="7"/>
      <c r="IU934" s="7"/>
      <c r="IV934" s="7"/>
      <c r="IW934" s="7"/>
      <c r="IX934" s="7"/>
    </row>
    <row r="935" spans="1:258" ht="21.95" customHeight="1" x14ac:dyDescent="0.25">
      <c r="A935" s="40" t="s">
        <v>1134</v>
      </c>
      <c r="B935" s="8" t="s">
        <v>685</v>
      </c>
      <c r="C935" s="2">
        <f t="shared" si="567"/>
        <v>1125300</v>
      </c>
      <c r="D935" s="3">
        <f t="shared" si="562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4">
        <v>0</v>
      </c>
      <c r="L935" s="3">
        <v>0</v>
      </c>
      <c r="M935" s="5">
        <v>204.6</v>
      </c>
      <c r="N935" s="3">
        <f t="shared" si="569"/>
        <v>1125300</v>
      </c>
      <c r="O935" s="3">
        <v>0</v>
      </c>
      <c r="P935" s="3">
        <v>0</v>
      </c>
      <c r="Q935" s="3">
        <v>0</v>
      </c>
      <c r="R935" s="3">
        <f t="shared" si="564"/>
        <v>0</v>
      </c>
      <c r="S935" s="3">
        <v>0</v>
      </c>
      <c r="T935" s="5">
        <v>0</v>
      </c>
      <c r="U935" s="3">
        <v>0</v>
      </c>
      <c r="V935" s="6">
        <f t="shared" si="565"/>
        <v>5500</v>
      </c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/>
      <c r="CE935" s="6"/>
      <c r="CF935" s="6"/>
      <c r="CG935" s="6"/>
      <c r="CH935" s="6"/>
      <c r="CI935" s="6"/>
      <c r="CJ935" s="6"/>
      <c r="CK935" s="6"/>
      <c r="CL935" s="6"/>
      <c r="CM935" s="6"/>
      <c r="CN935" s="6"/>
      <c r="CO935" s="6"/>
      <c r="CP935" s="6"/>
      <c r="CQ935" s="6"/>
      <c r="CR935" s="6"/>
      <c r="CS935" s="6"/>
      <c r="CT935" s="6"/>
      <c r="CU935" s="6"/>
      <c r="CV935" s="6"/>
      <c r="CW935" s="6"/>
      <c r="CX935" s="6"/>
      <c r="CY935" s="6"/>
      <c r="CZ935" s="6"/>
      <c r="DA935" s="6"/>
      <c r="DB935" s="6"/>
      <c r="DC935" s="6"/>
      <c r="DD935" s="6"/>
      <c r="DE935" s="6"/>
      <c r="DF935" s="6"/>
      <c r="DG935" s="6"/>
      <c r="DH935" s="6"/>
      <c r="DI935" s="6"/>
      <c r="DJ935" s="6"/>
      <c r="DK935" s="6"/>
      <c r="DL935" s="6"/>
      <c r="DM935" s="6"/>
      <c r="DN935" s="6"/>
      <c r="DO935" s="6"/>
      <c r="DP935" s="6"/>
      <c r="DQ935" s="6"/>
      <c r="DR935" s="6"/>
      <c r="DS935" s="6"/>
      <c r="DT935" s="6"/>
      <c r="DU935" s="6"/>
      <c r="DV935" s="6"/>
      <c r="DW935" s="6"/>
      <c r="DX935" s="6"/>
      <c r="DY935" s="6"/>
      <c r="DZ935" s="6"/>
      <c r="EA935" s="6"/>
      <c r="EB935" s="6"/>
      <c r="EC935" s="6"/>
      <c r="ED935" s="6"/>
      <c r="EE935" s="6"/>
      <c r="EF935" s="6"/>
      <c r="EG935" s="6"/>
      <c r="EH935" s="6"/>
      <c r="EI935" s="6"/>
      <c r="EJ935" s="6"/>
      <c r="EK935" s="6"/>
      <c r="EL935" s="6"/>
      <c r="EM935" s="6"/>
      <c r="EN935" s="6"/>
      <c r="EO935" s="6"/>
      <c r="EP935" s="6"/>
      <c r="EQ935" s="6"/>
      <c r="ER935" s="6"/>
      <c r="ES935" s="6"/>
      <c r="ET935" s="6"/>
      <c r="EU935" s="6"/>
      <c r="EV935" s="6"/>
      <c r="EW935" s="6"/>
      <c r="EX935" s="6"/>
      <c r="EY935" s="6"/>
      <c r="EZ935" s="6"/>
      <c r="FA935" s="6"/>
      <c r="FB935" s="6"/>
      <c r="FC935" s="6"/>
      <c r="FD935" s="6"/>
      <c r="FE935" s="6"/>
      <c r="FF935" s="6"/>
      <c r="FG935" s="6"/>
      <c r="FH935" s="6"/>
      <c r="FI935" s="6"/>
      <c r="FJ935" s="6"/>
      <c r="FK935" s="6"/>
      <c r="FL935" s="6"/>
      <c r="FM935" s="6"/>
      <c r="FN935" s="6"/>
      <c r="FO935" s="6"/>
      <c r="FP935" s="6"/>
      <c r="FQ935" s="6"/>
      <c r="FR935" s="6"/>
      <c r="FS935" s="6"/>
      <c r="FT935" s="6"/>
      <c r="FU935" s="6"/>
      <c r="FV935" s="6"/>
      <c r="FW935" s="6"/>
      <c r="FX935" s="6"/>
      <c r="FY935" s="6"/>
      <c r="FZ935" s="6"/>
      <c r="GA935" s="6"/>
      <c r="GB935" s="6"/>
      <c r="GC935" s="6"/>
      <c r="GD935" s="6"/>
      <c r="GE935" s="6"/>
      <c r="GF935" s="6"/>
      <c r="GG935" s="6"/>
      <c r="GH935" s="6"/>
      <c r="GI935" s="6"/>
      <c r="GJ935" s="6"/>
      <c r="GK935" s="6"/>
      <c r="GL935" s="6"/>
      <c r="GM935" s="6"/>
      <c r="GN935" s="6"/>
      <c r="GO935" s="6"/>
      <c r="GP935" s="6"/>
      <c r="GQ935" s="6"/>
      <c r="GR935" s="6"/>
      <c r="GS935" s="6"/>
      <c r="GT935" s="6"/>
      <c r="GU935" s="6"/>
      <c r="GV935" s="6"/>
      <c r="GW935" s="6"/>
      <c r="GX935" s="6"/>
      <c r="GY935" s="6"/>
      <c r="GZ935" s="6"/>
      <c r="HA935" s="6"/>
      <c r="HB935" s="6"/>
      <c r="HC935" s="6"/>
      <c r="HD935" s="6"/>
      <c r="HE935" s="6"/>
      <c r="HF935" s="6"/>
      <c r="HG935" s="6"/>
      <c r="HH935" s="6"/>
      <c r="HI935" s="6"/>
      <c r="HJ935" s="6"/>
      <c r="HK935" s="6"/>
      <c r="HL935" s="6"/>
      <c r="HM935" s="6"/>
      <c r="HN935" s="6"/>
      <c r="HO935" s="6"/>
      <c r="HP935" s="6"/>
      <c r="HQ935" s="6"/>
      <c r="HR935" s="6"/>
      <c r="HS935" s="6"/>
      <c r="HT935" s="6"/>
      <c r="HU935" s="6"/>
      <c r="HV935" s="6"/>
      <c r="HW935" s="6"/>
      <c r="HX935" s="6"/>
      <c r="HY935" s="6"/>
      <c r="HZ935" s="6"/>
      <c r="IA935" s="6"/>
      <c r="IB935" s="6"/>
      <c r="IC935" s="6"/>
      <c r="ID935" s="6"/>
      <c r="IE935" s="6"/>
      <c r="IF935" s="6"/>
      <c r="IG935" s="6"/>
      <c r="IH935" s="6"/>
      <c r="II935" s="6"/>
      <c r="IJ935" s="6"/>
      <c r="IK935" s="6"/>
      <c r="IL935" s="6"/>
      <c r="IM935" s="6"/>
      <c r="IN935" s="6"/>
      <c r="IO935" s="6"/>
      <c r="IP935" s="6"/>
      <c r="IQ935" s="6"/>
      <c r="IR935" s="6"/>
      <c r="IS935" s="6"/>
      <c r="IT935" s="6"/>
      <c r="IU935" s="6"/>
      <c r="IV935" s="6"/>
      <c r="IW935" s="6"/>
      <c r="IX935" s="6"/>
    </row>
    <row r="936" spans="1:258" ht="21.95" customHeight="1" x14ac:dyDescent="0.25">
      <c r="A936" s="40" t="s">
        <v>1135</v>
      </c>
      <c r="B936" s="8" t="s">
        <v>781</v>
      </c>
      <c r="C936" s="2">
        <f t="shared" si="567"/>
        <v>1193280</v>
      </c>
      <c r="D936" s="3">
        <f t="shared" si="562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4">
        <v>0</v>
      </c>
      <c r="L936" s="3">
        <v>0</v>
      </c>
      <c r="M936" s="5">
        <v>216.96</v>
      </c>
      <c r="N936" s="3">
        <f t="shared" si="569"/>
        <v>1193280</v>
      </c>
      <c r="O936" s="3">
        <v>0</v>
      </c>
      <c r="P936" s="3">
        <v>0</v>
      </c>
      <c r="Q936" s="3">
        <v>0</v>
      </c>
      <c r="R936" s="3">
        <f t="shared" si="564"/>
        <v>0</v>
      </c>
      <c r="S936" s="3">
        <v>0</v>
      </c>
      <c r="T936" s="5">
        <v>0</v>
      </c>
      <c r="U936" s="3">
        <v>0</v>
      </c>
      <c r="V936" s="6">
        <f t="shared" si="565"/>
        <v>5500</v>
      </c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6"/>
      <c r="AW936" s="26"/>
      <c r="AX936" s="26"/>
      <c r="AY936" s="26"/>
      <c r="AZ936" s="26"/>
      <c r="BA936" s="26"/>
      <c r="BB936" s="26"/>
      <c r="BC936" s="26"/>
      <c r="BD936" s="26"/>
      <c r="BE936" s="26"/>
      <c r="BF936" s="26"/>
      <c r="BG936" s="26"/>
      <c r="BH936" s="26"/>
      <c r="BI936" s="26"/>
      <c r="BJ936" s="26"/>
      <c r="BK936" s="26"/>
      <c r="BL936" s="26"/>
      <c r="BM936" s="26"/>
      <c r="BN936" s="26"/>
      <c r="BO936" s="26"/>
      <c r="BP936" s="26"/>
      <c r="BQ936" s="26"/>
      <c r="BR936" s="26"/>
      <c r="BS936" s="26"/>
      <c r="BT936" s="26"/>
      <c r="BU936" s="26"/>
      <c r="BV936" s="26"/>
      <c r="BW936" s="26"/>
      <c r="BX936" s="26"/>
      <c r="BY936" s="26"/>
      <c r="BZ936" s="26"/>
      <c r="CA936" s="26"/>
      <c r="CB936" s="26"/>
      <c r="CC936" s="26"/>
      <c r="CD936" s="26"/>
      <c r="CE936" s="26"/>
      <c r="CF936" s="26"/>
      <c r="CG936" s="26"/>
      <c r="CH936" s="26"/>
      <c r="CI936" s="26"/>
      <c r="CJ936" s="26"/>
      <c r="CK936" s="26"/>
      <c r="CL936" s="26"/>
      <c r="CM936" s="26"/>
      <c r="CN936" s="26"/>
      <c r="CO936" s="26"/>
      <c r="CP936" s="26"/>
      <c r="CQ936" s="26"/>
      <c r="CR936" s="26"/>
      <c r="CS936" s="26"/>
      <c r="CT936" s="26"/>
      <c r="CU936" s="26"/>
      <c r="CV936" s="26"/>
      <c r="CW936" s="26"/>
      <c r="CX936" s="26"/>
      <c r="CY936" s="26"/>
      <c r="CZ936" s="26"/>
      <c r="DA936" s="26"/>
      <c r="DB936" s="26"/>
      <c r="DC936" s="26"/>
      <c r="DD936" s="26"/>
      <c r="DE936" s="26"/>
      <c r="DF936" s="26"/>
      <c r="DG936" s="26"/>
      <c r="DH936" s="26"/>
      <c r="DI936" s="26"/>
      <c r="DJ936" s="26"/>
      <c r="DK936" s="26"/>
      <c r="DL936" s="26"/>
      <c r="DM936" s="26"/>
      <c r="DN936" s="26"/>
      <c r="DO936" s="26"/>
      <c r="DP936" s="26"/>
      <c r="DQ936" s="26"/>
      <c r="DR936" s="26"/>
      <c r="DS936" s="26"/>
      <c r="DT936" s="26"/>
      <c r="DU936" s="26"/>
      <c r="DV936" s="26"/>
      <c r="DW936" s="26"/>
      <c r="DX936" s="26"/>
      <c r="DY936" s="26"/>
      <c r="DZ936" s="26"/>
      <c r="EA936" s="26"/>
      <c r="EB936" s="26"/>
      <c r="EC936" s="26"/>
      <c r="ED936" s="26"/>
      <c r="EE936" s="26"/>
      <c r="EF936" s="26"/>
      <c r="EG936" s="26"/>
      <c r="EH936" s="26"/>
      <c r="EI936" s="26"/>
      <c r="EJ936" s="26"/>
      <c r="EK936" s="26"/>
      <c r="EL936" s="26"/>
      <c r="EM936" s="26"/>
      <c r="EN936" s="26"/>
      <c r="EO936" s="26"/>
      <c r="EP936" s="26"/>
      <c r="EQ936" s="26"/>
      <c r="ER936" s="26"/>
      <c r="ES936" s="26"/>
      <c r="ET936" s="26"/>
      <c r="EU936" s="26"/>
      <c r="EV936" s="26"/>
      <c r="EW936" s="26"/>
      <c r="EX936" s="26"/>
      <c r="EY936" s="26"/>
      <c r="EZ936" s="26"/>
      <c r="FA936" s="26"/>
      <c r="FB936" s="26"/>
      <c r="FC936" s="26"/>
      <c r="FD936" s="26"/>
      <c r="FE936" s="26"/>
      <c r="FF936" s="26"/>
      <c r="FG936" s="26"/>
      <c r="FH936" s="26"/>
      <c r="FI936" s="26"/>
      <c r="FJ936" s="26"/>
      <c r="FK936" s="26"/>
      <c r="FL936" s="26"/>
      <c r="FM936" s="26"/>
      <c r="FN936" s="26"/>
      <c r="FO936" s="26"/>
      <c r="FP936" s="26"/>
      <c r="FQ936" s="26"/>
      <c r="FR936" s="26"/>
      <c r="FS936" s="26"/>
      <c r="FT936" s="26"/>
      <c r="FU936" s="26"/>
      <c r="FV936" s="26"/>
      <c r="FW936" s="26"/>
      <c r="FX936" s="26"/>
      <c r="FY936" s="26"/>
      <c r="FZ936" s="26"/>
      <c r="GA936" s="26"/>
      <c r="GB936" s="26"/>
      <c r="GC936" s="26"/>
      <c r="GD936" s="26"/>
      <c r="GE936" s="26"/>
      <c r="GF936" s="26"/>
      <c r="GG936" s="26"/>
      <c r="GH936" s="26"/>
      <c r="GI936" s="26"/>
      <c r="GJ936" s="26"/>
      <c r="GK936" s="26"/>
      <c r="GL936" s="26"/>
      <c r="GM936" s="26"/>
      <c r="GN936" s="26"/>
      <c r="GO936" s="26"/>
      <c r="GP936" s="26"/>
      <c r="GQ936" s="26"/>
      <c r="GR936" s="26"/>
      <c r="GS936" s="26"/>
      <c r="GT936" s="26"/>
      <c r="GU936" s="26"/>
      <c r="GV936" s="26"/>
      <c r="GW936" s="26"/>
      <c r="GX936" s="26"/>
      <c r="GY936" s="26"/>
      <c r="GZ936" s="26"/>
      <c r="HA936" s="26"/>
      <c r="HB936" s="26"/>
      <c r="HC936" s="26"/>
      <c r="HD936" s="26"/>
      <c r="HE936" s="26"/>
      <c r="HF936" s="26"/>
      <c r="HG936" s="26"/>
      <c r="HH936" s="26"/>
      <c r="HI936" s="26"/>
      <c r="HJ936" s="26"/>
      <c r="HK936" s="26"/>
      <c r="HL936" s="26"/>
      <c r="HM936" s="26"/>
      <c r="HN936" s="26"/>
      <c r="HO936" s="26"/>
      <c r="HP936" s="26"/>
      <c r="HQ936" s="26"/>
      <c r="HR936" s="26"/>
      <c r="HS936" s="26"/>
      <c r="HT936" s="26"/>
      <c r="HU936" s="26"/>
      <c r="HV936" s="26"/>
      <c r="HW936" s="26"/>
      <c r="HX936" s="26"/>
      <c r="HY936" s="26"/>
      <c r="HZ936" s="26"/>
      <c r="IA936" s="26"/>
      <c r="IB936" s="26"/>
      <c r="IC936" s="26"/>
      <c r="ID936" s="26"/>
      <c r="IE936" s="26"/>
      <c r="IF936" s="26"/>
      <c r="IG936" s="26"/>
      <c r="IH936" s="26"/>
      <c r="II936" s="26"/>
      <c r="IJ936" s="26"/>
      <c r="IK936" s="26"/>
      <c r="IL936" s="26"/>
      <c r="IM936" s="26"/>
      <c r="IN936" s="26"/>
      <c r="IO936" s="26"/>
      <c r="IP936" s="26"/>
      <c r="IQ936" s="26"/>
      <c r="IR936" s="26"/>
      <c r="IS936" s="26"/>
      <c r="IT936" s="26"/>
      <c r="IU936" s="26"/>
      <c r="IV936" s="26"/>
      <c r="IW936" s="26"/>
      <c r="IX936" s="26"/>
    </row>
    <row r="937" spans="1:258" ht="21.95" customHeight="1" x14ac:dyDescent="0.25">
      <c r="A937" s="40" t="s">
        <v>1136</v>
      </c>
      <c r="B937" s="23" t="s">
        <v>592</v>
      </c>
      <c r="C937" s="2">
        <f>D937+L937+N937+P937+R937+S937+T937+U937</f>
        <v>1851925</v>
      </c>
      <c r="D937" s="3">
        <f>SUM(E937:J937)</f>
        <v>1751925</v>
      </c>
      <c r="E937" s="3">
        <f>350*745.5</f>
        <v>260925</v>
      </c>
      <c r="F937" s="3">
        <f>1050*745.5</f>
        <v>782775</v>
      </c>
      <c r="G937" s="3">
        <f>300*745.5</f>
        <v>223650</v>
      </c>
      <c r="H937" s="3">
        <f>400*745.5</f>
        <v>298200</v>
      </c>
      <c r="I937" s="3">
        <f>250*745.5</f>
        <v>186375</v>
      </c>
      <c r="J937" s="3">
        <f>350*0</f>
        <v>0</v>
      </c>
      <c r="K937" s="11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3">
        <f>Q937*3000</f>
        <v>0</v>
      </c>
      <c r="S937" s="5">
        <v>0</v>
      </c>
      <c r="T937" s="5">
        <v>0</v>
      </c>
      <c r="U937" s="5">
        <v>100000</v>
      </c>
      <c r="V937" s="6" t="e">
        <f>N937/M937</f>
        <v>#DIV/0!</v>
      </c>
      <c r="W937" s="7" t="s">
        <v>1646</v>
      </c>
    </row>
    <row r="938" spans="1:258" ht="21.95" customHeight="1" x14ac:dyDescent="0.25">
      <c r="A938" s="40" t="s">
        <v>1137</v>
      </c>
      <c r="B938" s="8" t="s">
        <v>686</v>
      </c>
      <c r="C938" s="2">
        <f t="shared" si="567"/>
        <v>5936578</v>
      </c>
      <c r="D938" s="3">
        <f t="shared" si="562"/>
        <v>1310078</v>
      </c>
      <c r="E938" s="3">
        <f>350*557.48</f>
        <v>195118</v>
      </c>
      <c r="F938" s="3">
        <f>1050*557.48</f>
        <v>585354</v>
      </c>
      <c r="G938" s="3">
        <f>300*557.48</f>
        <v>167244</v>
      </c>
      <c r="H938" s="3">
        <f>400*557.48</f>
        <v>222992</v>
      </c>
      <c r="I938" s="3">
        <f>250*557.48</f>
        <v>139370</v>
      </c>
      <c r="J938" s="3">
        <v>0</v>
      </c>
      <c r="K938" s="4">
        <v>0</v>
      </c>
      <c r="L938" s="3">
        <v>0</v>
      </c>
      <c r="M938" s="3">
        <v>519.4</v>
      </c>
      <c r="N938" s="3">
        <f t="shared" ref="N938:N944" si="570">M938*5500</f>
        <v>2856700</v>
      </c>
      <c r="O938" s="3">
        <v>0</v>
      </c>
      <c r="P938" s="3">
        <v>0</v>
      </c>
      <c r="Q938" s="3">
        <v>556.6</v>
      </c>
      <c r="R938" s="3">
        <f t="shared" si="564"/>
        <v>1669800</v>
      </c>
      <c r="S938" s="3">
        <v>0</v>
      </c>
      <c r="T938" s="5">
        <v>0</v>
      </c>
      <c r="U938" s="3">
        <v>100000</v>
      </c>
      <c r="V938" s="6">
        <f t="shared" si="565"/>
        <v>5500</v>
      </c>
    </row>
    <row r="939" spans="1:258" ht="21.95" customHeight="1" x14ac:dyDescent="0.25">
      <c r="A939" s="40" t="s">
        <v>1138</v>
      </c>
      <c r="B939" s="8" t="s">
        <v>687</v>
      </c>
      <c r="C939" s="2">
        <f t="shared" si="567"/>
        <v>1363395</v>
      </c>
      <c r="D939" s="3">
        <f t="shared" si="562"/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4">
        <v>0</v>
      </c>
      <c r="L939" s="3">
        <v>0</v>
      </c>
      <c r="M939" s="5">
        <v>247.89</v>
      </c>
      <c r="N939" s="3">
        <f t="shared" si="570"/>
        <v>1363395</v>
      </c>
      <c r="O939" s="3">
        <v>0</v>
      </c>
      <c r="P939" s="3">
        <v>0</v>
      </c>
      <c r="Q939" s="3">
        <v>0</v>
      </c>
      <c r="R939" s="3">
        <f t="shared" si="564"/>
        <v>0</v>
      </c>
      <c r="S939" s="3">
        <v>0</v>
      </c>
      <c r="T939" s="5">
        <v>0</v>
      </c>
      <c r="U939" s="3">
        <v>0</v>
      </c>
      <c r="V939" s="6">
        <f t="shared" si="565"/>
        <v>5500</v>
      </c>
    </row>
    <row r="940" spans="1:258" ht="21.95" customHeight="1" x14ac:dyDescent="0.25">
      <c r="A940" s="40" t="s">
        <v>1139</v>
      </c>
      <c r="B940" s="23" t="s">
        <v>688</v>
      </c>
      <c r="C940" s="2">
        <f t="shared" si="567"/>
        <v>2035000</v>
      </c>
      <c r="D940" s="3">
        <f t="shared" si="562"/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4">
        <v>0</v>
      </c>
      <c r="L940" s="3">
        <v>0</v>
      </c>
      <c r="M940" s="3">
        <v>370</v>
      </c>
      <c r="N940" s="3">
        <f t="shared" si="570"/>
        <v>2035000</v>
      </c>
      <c r="O940" s="3">
        <v>0</v>
      </c>
      <c r="P940" s="3">
        <v>0</v>
      </c>
      <c r="Q940" s="3">
        <v>0</v>
      </c>
      <c r="R940" s="3">
        <f t="shared" si="564"/>
        <v>0</v>
      </c>
      <c r="S940" s="3">
        <v>0</v>
      </c>
      <c r="T940" s="5">
        <v>0</v>
      </c>
      <c r="U940" s="3">
        <v>0</v>
      </c>
      <c r="V940" s="6">
        <f t="shared" si="565"/>
        <v>5500</v>
      </c>
    </row>
    <row r="941" spans="1:258" ht="21.95" customHeight="1" x14ac:dyDescent="0.25">
      <c r="A941" s="40" t="s">
        <v>1140</v>
      </c>
      <c r="B941" s="8" t="s">
        <v>689</v>
      </c>
      <c r="C941" s="2">
        <f t="shared" si="567"/>
        <v>3070649.9999999995</v>
      </c>
      <c r="D941" s="3">
        <f t="shared" si="562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4">
        <v>0</v>
      </c>
      <c r="L941" s="3">
        <v>0</v>
      </c>
      <c r="M941" s="5">
        <v>558.29999999999995</v>
      </c>
      <c r="N941" s="3">
        <f t="shared" si="570"/>
        <v>3070649.9999999995</v>
      </c>
      <c r="O941" s="3">
        <v>0</v>
      </c>
      <c r="P941" s="3">
        <v>0</v>
      </c>
      <c r="Q941" s="3">
        <v>0</v>
      </c>
      <c r="R941" s="3">
        <f t="shared" si="564"/>
        <v>0</v>
      </c>
      <c r="S941" s="3">
        <v>0</v>
      </c>
      <c r="T941" s="5">
        <v>0</v>
      </c>
      <c r="U941" s="3">
        <v>0</v>
      </c>
      <c r="V941" s="6">
        <f t="shared" si="565"/>
        <v>5500</v>
      </c>
    </row>
    <row r="942" spans="1:258" ht="21.95" customHeight="1" x14ac:dyDescent="0.25">
      <c r="A942" s="40" t="s">
        <v>1141</v>
      </c>
      <c r="B942" s="8" t="s">
        <v>690</v>
      </c>
      <c r="C942" s="2">
        <f t="shared" si="567"/>
        <v>1447600</v>
      </c>
      <c r="D942" s="3">
        <f t="shared" si="562"/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11">
        <v>0</v>
      </c>
      <c r="L942" s="3">
        <v>0</v>
      </c>
      <c r="M942" s="3">
        <v>263.2</v>
      </c>
      <c r="N942" s="3">
        <f t="shared" si="570"/>
        <v>1447600</v>
      </c>
      <c r="O942" s="3">
        <v>0</v>
      </c>
      <c r="P942" s="3">
        <v>0</v>
      </c>
      <c r="Q942" s="3">
        <v>0</v>
      </c>
      <c r="R942" s="3">
        <f t="shared" si="564"/>
        <v>0</v>
      </c>
      <c r="S942" s="3">
        <v>0</v>
      </c>
      <c r="T942" s="5">
        <v>0</v>
      </c>
      <c r="U942" s="3">
        <v>0</v>
      </c>
      <c r="V942" s="6">
        <f t="shared" si="565"/>
        <v>5500</v>
      </c>
    </row>
    <row r="943" spans="1:258" s="17" customFormat="1" ht="21.95" customHeight="1" x14ac:dyDescent="0.25">
      <c r="A943" s="40" t="s">
        <v>1142</v>
      </c>
      <c r="B943" s="8" t="s">
        <v>691</v>
      </c>
      <c r="C943" s="2">
        <f t="shared" si="567"/>
        <v>1958000</v>
      </c>
      <c r="D943" s="3">
        <f t="shared" si="562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11">
        <v>0</v>
      </c>
      <c r="L943" s="3">
        <v>0</v>
      </c>
      <c r="M943" s="3">
        <v>356</v>
      </c>
      <c r="N943" s="3">
        <f t="shared" si="570"/>
        <v>1958000</v>
      </c>
      <c r="O943" s="3">
        <v>0</v>
      </c>
      <c r="P943" s="3">
        <v>0</v>
      </c>
      <c r="Q943" s="3">
        <v>0</v>
      </c>
      <c r="R943" s="3">
        <f t="shared" si="564"/>
        <v>0</v>
      </c>
      <c r="S943" s="3">
        <v>0</v>
      </c>
      <c r="T943" s="5">
        <v>0</v>
      </c>
      <c r="U943" s="3">
        <v>0</v>
      </c>
      <c r="V943" s="6">
        <f t="shared" si="565"/>
        <v>5500</v>
      </c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  <c r="CU943" s="7"/>
      <c r="CV943" s="7"/>
      <c r="CW943" s="7"/>
      <c r="CX943" s="7"/>
      <c r="CY943" s="7"/>
      <c r="CZ943" s="7"/>
      <c r="DA943" s="7"/>
      <c r="DB943" s="7"/>
      <c r="DC943" s="7"/>
      <c r="DD943" s="7"/>
      <c r="DE943" s="7"/>
      <c r="DF943" s="7"/>
      <c r="DG943" s="7"/>
      <c r="DH943" s="7"/>
      <c r="DI943" s="7"/>
      <c r="DJ943" s="7"/>
      <c r="DK943" s="7"/>
      <c r="DL943" s="7"/>
      <c r="DM943" s="7"/>
      <c r="DN943" s="7"/>
      <c r="DO943" s="7"/>
      <c r="DP943" s="7"/>
      <c r="DQ943" s="7"/>
      <c r="DR943" s="7"/>
      <c r="DS943" s="7"/>
      <c r="DT943" s="7"/>
      <c r="DU943" s="7"/>
      <c r="DV943" s="7"/>
      <c r="DW943" s="7"/>
      <c r="DX943" s="7"/>
      <c r="DY943" s="7"/>
      <c r="DZ943" s="7"/>
      <c r="EA943" s="7"/>
      <c r="EB943" s="7"/>
      <c r="EC943" s="7"/>
      <c r="ED943" s="7"/>
      <c r="EE943" s="7"/>
      <c r="EF943" s="7"/>
      <c r="EG943" s="7"/>
      <c r="EH943" s="7"/>
      <c r="EI943" s="7"/>
      <c r="EJ943" s="7"/>
      <c r="EK943" s="7"/>
      <c r="EL943" s="7"/>
      <c r="EM943" s="7"/>
      <c r="EN943" s="7"/>
      <c r="EO943" s="7"/>
      <c r="EP943" s="7"/>
      <c r="EQ943" s="7"/>
      <c r="ER943" s="7"/>
      <c r="ES943" s="7"/>
      <c r="ET943" s="7"/>
      <c r="EU943" s="7"/>
      <c r="EV943" s="7"/>
      <c r="EW943" s="7"/>
      <c r="EX943" s="7"/>
      <c r="EY943" s="7"/>
      <c r="EZ943" s="7"/>
      <c r="FA943" s="7"/>
      <c r="FB943" s="7"/>
      <c r="FC943" s="7"/>
      <c r="FD943" s="7"/>
      <c r="FE943" s="7"/>
      <c r="FF943" s="7"/>
      <c r="FG943" s="7"/>
      <c r="FH943" s="7"/>
      <c r="FI943" s="7"/>
      <c r="FJ943" s="7"/>
      <c r="FK943" s="7"/>
      <c r="FL943" s="7"/>
      <c r="FM943" s="7"/>
      <c r="FN943" s="7"/>
      <c r="FO943" s="7"/>
      <c r="FP943" s="7"/>
      <c r="FQ943" s="7"/>
      <c r="FR943" s="7"/>
      <c r="FS943" s="7"/>
      <c r="FT943" s="7"/>
      <c r="FU943" s="7"/>
      <c r="FV943" s="7"/>
      <c r="FW943" s="7"/>
      <c r="FX943" s="7"/>
      <c r="FY943" s="7"/>
      <c r="FZ943" s="7"/>
      <c r="GA943" s="7"/>
      <c r="GB943" s="7"/>
      <c r="GC943" s="7"/>
      <c r="GD943" s="7"/>
      <c r="GE943" s="7"/>
      <c r="GF943" s="7"/>
      <c r="GG943" s="7"/>
      <c r="GH943" s="7"/>
      <c r="GI943" s="7"/>
      <c r="GJ943" s="7"/>
      <c r="GK943" s="7"/>
      <c r="GL943" s="7"/>
      <c r="GM943" s="7"/>
      <c r="GN943" s="7"/>
      <c r="GO943" s="7"/>
      <c r="GP943" s="7"/>
      <c r="GQ943" s="7"/>
      <c r="GR943" s="7"/>
      <c r="GS943" s="7"/>
      <c r="GT943" s="7"/>
      <c r="GU943" s="7"/>
      <c r="GV943" s="7"/>
      <c r="GW943" s="7"/>
      <c r="GX943" s="7"/>
      <c r="GY943" s="7"/>
      <c r="GZ943" s="7"/>
      <c r="HA943" s="7"/>
      <c r="HB943" s="7"/>
      <c r="HC943" s="7"/>
      <c r="HD943" s="7"/>
      <c r="HE943" s="7"/>
      <c r="HF943" s="7"/>
      <c r="HG943" s="7"/>
      <c r="HH943" s="7"/>
      <c r="HI943" s="7"/>
      <c r="HJ943" s="7"/>
      <c r="HK943" s="7"/>
      <c r="HL943" s="7"/>
      <c r="HM943" s="7"/>
      <c r="HN943" s="7"/>
      <c r="HO943" s="7"/>
      <c r="HP943" s="7"/>
      <c r="HQ943" s="7"/>
      <c r="HR943" s="7"/>
      <c r="HS943" s="7"/>
      <c r="HT943" s="7"/>
      <c r="HU943" s="7"/>
      <c r="HV943" s="7"/>
      <c r="HW943" s="7"/>
      <c r="HX943" s="7"/>
      <c r="HY943" s="7"/>
      <c r="HZ943" s="7"/>
      <c r="IA943" s="7"/>
      <c r="IB943" s="7"/>
      <c r="IC943" s="7"/>
      <c r="ID943" s="7"/>
      <c r="IE943" s="7"/>
      <c r="IF943" s="7"/>
      <c r="IG943" s="7"/>
      <c r="IH943" s="7"/>
      <c r="II943" s="7"/>
      <c r="IJ943" s="7"/>
      <c r="IK943" s="7"/>
      <c r="IL943" s="7"/>
      <c r="IM943" s="7"/>
      <c r="IN943" s="7"/>
      <c r="IO943" s="7"/>
      <c r="IP943" s="7"/>
      <c r="IQ943" s="7"/>
      <c r="IR943" s="7"/>
      <c r="IS943" s="7"/>
      <c r="IT943" s="7"/>
      <c r="IU943" s="7"/>
      <c r="IV943" s="7"/>
      <c r="IW943" s="7"/>
      <c r="IX943" s="7"/>
    </row>
    <row r="944" spans="1:258" ht="21.95" customHeight="1" x14ac:dyDescent="0.25">
      <c r="A944" s="40" t="s">
        <v>1143</v>
      </c>
      <c r="B944" s="8" t="s">
        <v>782</v>
      </c>
      <c r="C944" s="2">
        <f t="shared" si="567"/>
        <v>1837000</v>
      </c>
      <c r="D944" s="3">
        <f t="shared" si="562"/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11">
        <v>0</v>
      </c>
      <c r="L944" s="3">
        <v>0</v>
      </c>
      <c r="M944" s="3">
        <v>334</v>
      </c>
      <c r="N944" s="3">
        <f t="shared" si="570"/>
        <v>1837000</v>
      </c>
      <c r="O944" s="3">
        <v>0</v>
      </c>
      <c r="P944" s="3">
        <v>0</v>
      </c>
      <c r="Q944" s="3">
        <v>0</v>
      </c>
      <c r="R944" s="3">
        <f t="shared" si="564"/>
        <v>0</v>
      </c>
      <c r="S944" s="3">
        <v>0</v>
      </c>
      <c r="T944" s="5">
        <v>0</v>
      </c>
      <c r="U944" s="3">
        <v>0</v>
      </c>
      <c r="V944" s="6">
        <f t="shared" si="565"/>
        <v>5500</v>
      </c>
    </row>
    <row r="945" spans="1:258" s="26" customFormat="1" ht="21.95" customHeight="1" x14ac:dyDescent="0.25">
      <c r="A945" s="40" t="s">
        <v>1144</v>
      </c>
      <c r="B945" s="23" t="s">
        <v>783</v>
      </c>
      <c r="C945" s="2">
        <f t="shared" si="567"/>
        <v>4168866</v>
      </c>
      <c r="D945" s="3">
        <f t="shared" si="562"/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11">
        <v>0</v>
      </c>
      <c r="L945" s="3">
        <v>0</v>
      </c>
      <c r="M945" s="3">
        <v>1131</v>
      </c>
      <c r="N945" s="3">
        <f>M945*3686</f>
        <v>4168866</v>
      </c>
      <c r="O945" s="3">
        <v>0</v>
      </c>
      <c r="P945" s="3">
        <v>0</v>
      </c>
      <c r="Q945" s="3">
        <v>0</v>
      </c>
      <c r="R945" s="3">
        <f t="shared" si="564"/>
        <v>0</v>
      </c>
      <c r="S945" s="3">
        <v>0</v>
      </c>
      <c r="T945" s="5">
        <v>0</v>
      </c>
      <c r="U945" s="3">
        <v>0</v>
      </c>
      <c r="V945" s="6">
        <f t="shared" si="565"/>
        <v>3686</v>
      </c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7"/>
      <c r="DO945" s="7"/>
      <c r="DP945" s="7"/>
      <c r="DQ945" s="7"/>
      <c r="DR945" s="7"/>
      <c r="DS945" s="7"/>
      <c r="DT945" s="7"/>
      <c r="DU945" s="7"/>
      <c r="DV945" s="7"/>
      <c r="DW945" s="7"/>
      <c r="DX945" s="7"/>
      <c r="DY945" s="7"/>
      <c r="DZ945" s="7"/>
      <c r="EA945" s="7"/>
      <c r="EB945" s="7"/>
      <c r="EC945" s="7"/>
      <c r="ED945" s="7"/>
      <c r="EE945" s="7"/>
      <c r="EF945" s="7"/>
      <c r="EG945" s="7"/>
      <c r="EH945" s="7"/>
      <c r="EI945" s="7"/>
      <c r="EJ945" s="7"/>
      <c r="EK945" s="7"/>
      <c r="EL945" s="7"/>
      <c r="EM945" s="7"/>
      <c r="EN945" s="7"/>
      <c r="EO945" s="7"/>
      <c r="EP945" s="7"/>
      <c r="EQ945" s="7"/>
      <c r="ER945" s="7"/>
      <c r="ES945" s="7"/>
      <c r="ET945" s="7"/>
      <c r="EU945" s="7"/>
      <c r="EV945" s="7"/>
      <c r="EW945" s="7"/>
      <c r="EX945" s="7"/>
      <c r="EY945" s="7"/>
      <c r="EZ945" s="7"/>
      <c r="FA945" s="7"/>
      <c r="FB945" s="7"/>
      <c r="FC945" s="7"/>
      <c r="FD945" s="7"/>
      <c r="FE945" s="7"/>
      <c r="FF945" s="7"/>
      <c r="FG945" s="7"/>
      <c r="FH945" s="7"/>
      <c r="FI945" s="7"/>
      <c r="FJ945" s="7"/>
      <c r="FK945" s="7"/>
      <c r="FL945" s="7"/>
      <c r="FM945" s="7"/>
      <c r="FN945" s="7"/>
      <c r="FO945" s="7"/>
      <c r="FP945" s="7"/>
      <c r="FQ945" s="7"/>
      <c r="FR945" s="7"/>
      <c r="FS945" s="7"/>
      <c r="FT945" s="7"/>
      <c r="FU945" s="7"/>
      <c r="FV945" s="7"/>
      <c r="FW945" s="7"/>
      <c r="FX945" s="7"/>
      <c r="FY945" s="7"/>
      <c r="FZ945" s="7"/>
      <c r="GA945" s="7"/>
      <c r="GB945" s="7"/>
      <c r="GC945" s="7"/>
      <c r="GD945" s="7"/>
      <c r="GE945" s="7"/>
      <c r="GF945" s="7"/>
      <c r="GG945" s="7"/>
      <c r="GH945" s="7"/>
      <c r="GI945" s="7"/>
      <c r="GJ945" s="7"/>
      <c r="GK945" s="7"/>
      <c r="GL945" s="7"/>
      <c r="GM945" s="7"/>
      <c r="GN945" s="7"/>
      <c r="GO945" s="7"/>
      <c r="GP945" s="7"/>
      <c r="GQ945" s="7"/>
      <c r="GR945" s="7"/>
      <c r="GS945" s="7"/>
      <c r="GT945" s="7"/>
      <c r="GU945" s="7"/>
      <c r="GV945" s="7"/>
      <c r="GW945" s="7"/>
      <c r="GX945" s="7"/>
      <c r="GY945" s="7"/>
      <c r="GZ945" s="7"/>
      <c r="HA945" s="7"/>
      <c r="HB945" s="7"/>
      <c r="HC945" s="7"/>
      <c r="HD945" s="7"/>
      <c r="HE945" s="7"/>
      <c r="HF945" s="7"/>
      <c r="HG945" s="7"/>
      <c r="HH945" s="7"/>
      <c r="HI945" s="7"/>
      <c r="HJ945" s="7"/>
      <c r="HK945" s="7"/>
      <c r="HL945" s="7"/>
      <c r="HM945" s="7"/>
      <c r="HN945" s="7"/>
      <c r="HO945" s="7"/>
      <c r="HP945" s="7"/>
      <c r="HQ945" s="7"/>
      <c r="HR945" s="7"/>
      <c r="HS945" s="7"/>
      <c r="HT945" s="7"/>
      <c r="HU945" s="7"/>
      <c r="HV945" s="7"/>
      <c r="HW945" s="7"/>
      <c r="HX945" s="7"/>
      <c r="HY945" s="7"/>
      <c r="HZ945" s="7"/>
      <c r="IA945" s="7"/>
      <c r="IB945" s="7"/>
      <c r="IC945" s="7"/>
      <c r="ID945" s="7"/>
      <c r="IE945" s="7"/>
      <c r="IF945" s="7"/>
      <c r="IG945" s="7"/>
      <c r="IH945" s="7"/>
      <c r="II945" s="7"/>
      <c r="IJ945" s="7"/>
      <c r="IK945" s="7"/>
      <c r="IL945" s="7"/>
      <c r="IM945" s="7"/>
      <c r="IN945" s="7"/>
      <c r="IO945" s="7"/>
      <c r="IP945" s="7"/>
      <c r="IQ945" s="7"/>
      <c r="IR945" s="7"/>
      <c r="IS945" s="7"/>
      <c r="IT945" s="7"/>
      <c r="IU945" s="7"/>
      <c r="IV945" s="7"/>
      <c r="IW945" s="7"/>
      <c r="IX945" s="7"/>
    </row>
    <row r="946" spans="1:258" s="26" customFormat="1" ht="21.95" customHeight="1" x14ac:dyDescent="0.25">
      <c r="A946" s="40" t="s">
        <v>1145</v>
      </c>
      <c r="B946" s="23" t="s">
        <v>830</v>
      </c>
      <c r="C946" s="2">
        <f t="shared" si="567"/>
        <v>26493260.5</v>
      </c>
      <c r="D946" s="3">
        <f t="shared" si="562"/>
        <v>10684110.5</v>
      </c>
      <c r="E946" s="3">
        <f>350*4546.43</f>
        <v>1591250.5</v>
      </c>
      <c r="F946" s="3">
        <f>1050*4546.43</f>
        <v>4773751.5</v>
      </c>
      <c r="G946" s="3">
        <f>300*4546.43</f>
        <v>1363929</v>
      </c>
      <c r="H946" s="3">
        <f>400*4546.43</f>
        <v>1818572</v>
      </c>
      <c r="I946" s="3">
        <f>250*4546.43</f>
        <v>1136607.5</v>
      </c>
      <c r="J946" s="3">
        <v>0</v>
      </c>
      <c r="K946" s="4">
        <v>0</v>
      </c>
      <c r="L946" s="3">
        <v>0</v>
      </c>
      <c r="M946" s="5">
        <v>1234</v>
      </c>
      <c r="N946" s="3">
        <f t="shared" ref="N946:N948" si="571">M946*5500</f>
        <v>6787000</v>
      </c>
      <c r="O946" s="3">
        <v>0</v>
      </c>
      <c r="P946" s="3">
        <v>0</v>
      </c>
      <c r="Q946" s="3">
        <v>2974.05</v>
      </c>
      <c r="R946" s="3">
        <f t="shared" si="564"/>
        <v>8922150</v>
      </c>
      <c r="S946" s="3">
        <v>0</v>
      </c>
      <c r="T946" s="5">
        <v>0</v>
      </c>
      <c r="U946" s="3">
        <v>100000</v>
      </c>
      <c r="V946" s="6">
        <f t="shared" si="565"/>
        <v>5500</v>
      </c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K946" s="7"/>
      <c r="CL946" s="7"/>
      <c r="CM946" s="7"/>
      <c r="CN946" s="7"/>
      <c r="CO946" s="7"/>
      <c r="CP946" s="7"/>
      <c r="CQ946" s="7"/>
      <c r="CR946" s="7"/>
      <c r="CS946" s="7"/>
      <c r="CT946" s="7"/>
      <c r="CU946" s="7"/>
      <c r="CV946" s="7"/>
      <c r="CW946" s="7"/>
      <c r="CX946" s="7"/>
      <c r="CY946" s="7"/>
      <c r="CZ946" s="7"/>
      <c r="DA946" s="7"/>
      <c r="DB946" s="7"/>
      <c r="DC946" s="7"/>
      <c r="DD946" s="7"/>
      <c r="DE946" s="7"/>
      <c r="DF946" s="7"/>
      <c r="DG946" s="7"/>
      <c r="DH946" s="7"/>
      <c r="DI946" s="7"/>
      <c r="DJ946" s="7"/>
      <c r="DK946" s="7"/>
      <c r="DL946" s="7"/>
      <c r="DM946" s="7"/>
      <c r="DN946" s="7"/>
      <c r="DO946" s="7"/>
      <c r="DP946" s="7"/>
      <c r="DQ946" s="7"/>
      <c r="DR946" s="7"/>
      <c r="DS946" s="7"/>
      <c r="DT946" s="7"/>
      <c r="DU946" s="7"/>
      <c r="DV946" s="7"/>
      <c r="DW946" s="7"/>
      <c r="DX946" s="7"/>
      <c r="DY946" s="7"/>
      <c r="DZ946" s="7"/>
      <c r="EA946" s="7"/>
      <c r="EB946" s="7"/>
      <c r="EC946" s="7"/>
      <c r="ED946" s="7"/>
      <c r="EE946" s="7"/>
      <c r="EF946" s="7"/>
      <c r="EG946" s="7"/>
      <c r="EH946" s="7"/>
      <c r="EI946" s="7"/>
      <c r="EJ946" s="7"/>
      <c r="EK946" s="7"/>
      <c r="EL946" s="7"/>
      <c r="EM946" s="7"/>
      <c r="EN946" s="7"/>
      <c r="EO946" s="7"/>
      <c r="EP946" s="7"/>
      <c r="EQ946" s="7"/>
      <c r="ER946" s="7"/>
      <c r="ES946" s="7"/>
      <c r="ET946" s="7"/>
      <c r="EU946" s="7"/>
      <c r="EV946" s="7"/>
      <c r="EW946" s="7"/>
      <c r="EX946" s="7"/>
      <c r="EY946" s="7"/>
      <c r="EZ946" s="7"/>
      <c r="FA946" s="7"/>
      <c r="FB946" s="7"/>
      <c r="FC946" s="7"/>
      <c r="FD946" s="7"/>
      <c r="FE946" s="7"/>
      <c r="FF946" s="7"/>
      <c r="FG946" s="7"/>
      <c r="FH946" s="7"/>
      <c r="FI946" s="7"/>
      <c r="FJ946" s="7"/>
      <c r="FK946" s="7"/>
      <c r="FL946" s="7"/>
      <c r="FM946" s="7"/>
      <c r="FN946" s="7"/>
      <c r="FO946" s="7"/>
      <c r="FP946" s="7"/>
      <c r="FQ946" s="7"/>
      <c r="FR946" s="7"/>
      <c r="FS946" s="7"/>
      <c r="FT946" s="7"/>
      <c r="FU946" s="7"/>
      <c r="FV946" s="7"/>
      <c r="FW946" s="7"/>
      <c r="FX946" s="7"/>
      <c r="FY946" s="7"/>
      <c r="FZ946" s="7"/>
      <c r="GA946" s="7"/>
      <c r="GB946" s="7"/>
      <c r="GC946" s="7"/>
      <c r="GD946" s="7"/>
      <c r="GE946" s="7"/>
      <c r="GF946" s="7"/>
      <c r="GG946" s="7"/>
      <c r="GH946" s="7"/>
      <c r="GI946" s="7"/>
      <c r="GJ946" s="7"/>
      <c r="GK946" s="7"/>
      <c r="GL946" s="7"/>
      <c r="GM946" s="7"/>
      <c r="GN946" s="7"/>
      <c r="GO946" s="7"/>
      <c r="GP946" s="7"/>
      <c r="GQ946" s="7"/>
      <c r="GR946" s="7"/>
      <c r="GS946" s="7"/>
      <c r="GT946" s="7"/>
      <c r="GU946" s="7"/>
      <c r="GV946" s="7"/>
      <c r="GW946" s="7"/>
      <c r="GX946" s="7"/>
      <c r="GY946" s="7"/>
      <c r="GZ946" s="7"/>
      <c r="HA946" s="7"/>
      <c r="HB946" s="7"/>
      <c r="HC946" s="7"/>
      <c r="HD946" s="7"/>
      <c r="HE946" s="7"/>
      <c r="HF946" s="7"/>
      <c r="HG946" s="7"/>
      <c r="HH946" s="7"/>
      <c r="HI946" s="7"/>
      <c r="HJ946" s="7"/>
      <c r="HK946" s="7"/>
      <c r="HL946" s="7"/>
      <c r="HM946" s="7"/>
      <c r="HN946" s="7"/>
      <c r="HO946" s="7"/>
      <c r="HP946" s="7"/>
      <c r="HQ946" s="7"/>
      <c r="HR946" s="7"/>
      <c r="HS946" s="7"/>
      <c r="HT946" s="7"/>
      <c r="HU946" s="7"/>
      <c r="HV946" s="7"/>
      <c r="HW946" s="7"/>
      <c r="HX946" s="7"/>
      <c r="HY946" s="7"/>
      <c r="HZ946" s="7"/>
      <c r="IA946" s="7"/>
      <c r="IB946" s="7"/>
      <c r="IC946" s="7"/>
      <c r="ID946" s="7"/>
      <c r="IE946" s="7"/>
      <c r="IF946" s="7"/>
      <c r="IG946" s="7"/>
      <c r="IH946" s="7"/>
      <c r="II946" s="7"/>
      <c r="IJ946" s="7"/>
      <c r="IK946" s="7"/>
      <c r="IL946" s="7"/>
      <c r="IM946" s="7"/>
      <c r="IN946" s="7"/>
      <c r="IO946" s="7"/>
      <c r="IP946" s="7"/>
      <c r="IQ946" s="7"/>
      <c r="IR946" s="7"/>
      <c r="IS946" s="7"/>
      <c r="IT946" s="7"/>
      <c r="IU946" s="7"/>
      <c r="IV946" s="7"/>
      <c r="IW946" s="7"/>
      <c r="IX946" s="7"/>
    </row>
    <row r="947" spans="1:258" ht="21.95" customHeight="1" x14ac:dyDescent="0.25">
      <c r="A947" s="40" t="s">
        <v>1146</v>
      </c>
      <c r="B947" s="8" t="s">
        <v>693</v>
      </c>
      <c r="C947" s="2">
        <f t="shared" si="567"/>
        <v>1595000</v>
      </c>
      <c r="D947" s="3">
        <f t="shared" si="562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4">
        <v>0</v>
      </c>
      <c r="L947" s="3">
        <v>0</v>
      </c>
      <c r="M947" s="3">
        <v>290</v>
      </c>
      <c r="N947" s="3">
        <f t="shared" si="571"/>
        <v>1595000</v>
      </c>
      <c r="O947" s="3">
        <v>0</v>
      </c>
      <c r="P947" s="3">
        <v>0</v>
      </c>
      <c r="Q947" s="3">
        <v>0</v>
      </c>
      <c r="R947" s="3">
        <f t="shared" si="564"/>
        <v>0</v>
      </c>
      <c r="S947" s="3">
        <v>0</v>
      </c>
      <c r="T947" s="5">
        <v>0</v>
      </c>
      <c r="U947" s="3">
        <v>0</v>
      </c>
      <c r="V947" s="6">
        <f t="shared" si="565"/>
        <v>5500</v>
      </c>
    </row>
    <row r="948" spans="1:258" ht="21.95" customHeight="1" x14ac:dyDescent="0.25">
      <c r="A948" s="40" t="s">
        <v>1147</v>
      </c>
      <c r="B948" s="8" t="s">
        <v>694</v>
      </c>
      <c r="C948" s="2">
        <f t="shared" si="567"/>
        <v>1611500</v>
      </c>
      <c r="D948" s="3">
        <f t="shared" si="562"/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3">
        <v>293</v>
      </c>
      <c r="N948" s="3">
        <f t="shared" si="571"/>
        <v>1611500</v>
      </c>
      <c r="O948" s="3">
        <v>0</v>
      </c>
      <c r="P948" s="3">
        <v>0</v>
      </c>
      <c r="Q948" s="3">
        <v>0</v>
      </c>
      <c r="R948" s="3">
        <f t="shared" si="564"/>
        <v>0</v>
      </c>
      <c r="S948" s="3">
        <v>0</v>
      </c>
      <c r="T948" s="5">
        <v>0</v>
      </c>
      <c r="U948" s="3">
        <v>0</v>
      </c>
      <c r="V948" s="6">
        <f t="shared" si="565"/>
        <v>5500</v>
      </c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  <c r="BO948" s="17"/>
      <c r="BP948" s="17"/>
      <c r="BQ948" s="17"/>
      <c r="BR948" s="17"/>
      <c r="BS948" s="17"/>
      <c r="BT948" s="17"/>
      <c r="BU948" s="17"/>
      <c r="BV948" s="17"/>
      <c r="BW948" s="17"/>
      <c r="BX948" s="17"/>
      <c r="BY948" s="17"/>
      <c r="BZ948" s="17"/>
      <c r="CA948" s="17"/>
      <c r="CB948" s="17"/>
      <c r="CC948" s="17"/>
      <c r="CD948" s="17"/>
      <c r="CE948" s="17"/>
      <c r="CF948" s="17"/>
      <c r="CG948" s="17"/>
      <c r="CH948" s="17"/>
      <c r="CI948" s="17"/>
      <c r="CJ948" s="17"/>
      <c r="CK948" s="17"/>
      <c r="CL948" s="17"/>
      <c r="CM948" s="17"/>
      <c r="CN948" s="17"/>
      <c r="CO948" s="17"/>
      <c r="CP948" s="17"/>
      <c r="CQ948" s="17"/>
      <c r="CR948" s="17"/>
      <c r="CS948" s="17"/>
      <c r="CT948" s="17"/>
      <c r="CU948" s="17"/>
      <c r="CV948" s="17"/>
      <c r="CW948" s="17"/>
      <c r="CX948" s="17"/>
      <c r="CY948" s="17"/>
      <c r="CZ948" s="17"/>
      <c r="DA948" s="17"/>
      <c r="DB948" s="17"/>
      <c r="DC948" s="17"/>
      <c r="DD948" s="17"/>
      <c r="DE948" s="17"/>
      <c r="DF948" s="17"/>
      <c r="DG948" s="17"/>
      <c r="DH948" s="17"/>
      <c r="DI948" s="17"/>
      <c r="DJ948" s="17"/>
      <c r="DK948" s="17"/>
      <c r="DL948" s="17"/>
      <c r="DM948" s="17"/>
      <c r="DN948" s="17"/>
      <c r="DO948" s="17"/>
      <c r="DP948" s="17"/>
      <c r="DQ948" s="17"/>
      <c r="DR948" s="17"/>
      <c r="DS948" s="17"/>
      <c r="DT948" s="17"/>
      <c r="DU948" s="17"/>
      <c r="DV948" s="17"/>
      <c r="DW948" s="17"/>
      <c r="DX948" s="17"/>
      <c r="DY948" s="17"/>
      <c r="DZ948" s="17"/>
      <c r="EA948" s="17"/>
      <c r="EB948" s="17"/>
      <c r="EC948" s="17"/>
      <c r="ED948" s="17"/>
      <c r="EE948" s="17"/>
      <c r="EF948" s="17"/>
      <c r="EG948" s="17"/>
      <c r="EH948" s="17"/>
      <c r="EI948" s="17"/>
      <c r="EJ948" s="17"/>
      <c r="EK948" s="17"/>
      <c r="EL948" s="17"/>
      <c r="EM948" s="17"/>
      <c r="EN948" s="17"/>
      <c r="EO948" s="17"/>
      <c r="EP948" s="17"/>
      <c r="EQ948" s="17"/>
      <c r="ER948" s="17"/>
      <c r="ES948" s="17"/>
      <c r="ET948" s="17"/>
      <c r="EU948" s="17"/>
      <c r="EV948" s="17"/>
      <c r="EW948" s="17"/>
      <c r="EX948" s="17"/>
      <c r="EY948" s="17"/>
      <c r="EZ948" s="17"/>
      <c r="FA948" s="17"/>
      <c r="FB948" s="17"/>
      <c r="FC948" s="17"/>
      <c r="FD948" s="17"/>
      <c r="FE948" s="17"/>
      <c r="FF948" s="17"/>
      <c r="FG948" s="17"/>
      <c r="FH948" s="17"/>
      <c r="FI948" s="17"/>
      <c r="FJ948" s="17"/>
      <c r="FK948" s="17"/>
      <c r="FL948" s="17"/>
      <c r="FM948" s="17"/>
      <c r="FN948" s="17"/>
      <c r="FO948" s="17"/>
      <c r="FP948" s="17"/>
      <c r="FQ948" s="17"/>
      <c r="FR948" s="17"/>
      <c r="FS948" s="17"/>
      <c r="FT948" s="17"/>
      <c r="FU948" s="17"/>
      <c r="FV948" s="17"/>
      <c r="FW948" s="17"/>
      <c r="FX948" s="17"/>
      <c r="FY948" s="17"/>
      <c r="FZ948" s="17"/>
      <c r="GA948" s="17"/>
      <c r="GB948" s="17"/>
      <c r="GC948" s="17"/>
      <c r="GD948" s="17"/>
      <c r="GE948" s="17"/>
      <c r="GF948" s="17"/>
      <c r="GG948" s="17"/>
      <c r="GH948" s="17"/>
      <c r="GI948" s="17"/>
      <c r="GJ948" s="17"/>
      <c r="GK948" s="17"/>
      <c r="GL948" s="17"/>
      <c r="GM948" s="17"/>
      <c r="GN948" s="17"/>
      <c r="GO948" s="17"/>
      <c r="GP948" s="17"/>
      <c r="GQ948" s="17"/>
      <c r="GR948" s="17"/>
      <c r="GS948" s="17"/>
      <c r="GT948" s="17"/>
      <c r="GU948" s="17"/>
      <c r="GV948" s="17"/>
      <c r="GW948" s="17"/>
      <c r="GX948" s="17"/>
      <c r="GY948" s="17"/>
      <c r="GZ948" s="17"/>
      <c r="HA948" s="17"/>
      <c r="HB948" s="17"/>
      <c r="HC948" s="17"/>
      <c r="HD948" s="17"/>
      <c r="HE948" s="17"/>
      <c r="HF948" s="17"/>
      <c r="HG948" s="17"/>
      <c r="HH948" s="17"/>
      <c r="HI948" s="17"/>
      <c r="HJ948" s="17"/>
      <c r="HK948" s="17"/>
      <c r="HL948" s="17"/>
      <c r="HM948" s="17"/>
      <c r="HN948" s="17"/>
      <c r="HO948" s="17"/>
      <c r="HP948" s="17"/>
      <c r="HQ948" s="17"/>
      <c r="HR948" s="17"/>
      <c r="HS948" s="17"/>
      <c r="HT948" s="17"/>
      <c r="HU948" s="17"/>
      <c r="HV948" s="17"/>
      <c r="HW948" s="17"/>
      <c r="HX948" s="17"/>
      <c r="HY948" s="17"/>
      <c r="HZ948" s="17"/>
      <c r="IA948" s="17"/>
      <c r="IB948" s="17"/>
      <c r="IC948" s="17"/>
      <c r="ID948" s="17"/>
      <c r="IE948" s="17"/>
      <c r="IF948" s="17"/>
      <c r="IG948" s="17"/>
      <c r="IH948" s="17"/>
      <c r="II948" s="17"/>
      <c r="IJ948" s="17"/>
      <c r="IK948" s="17"/>
      <c r="IL948" s="17"/>
      <c r="IM948" s="17"/>
      <c r="IN948" s="17"/>
      <c r="IO948" s="17"/>
      <c r="IP948" s="17"/>
      <c r="IQ948" s="17"/>
      <c r="IR948" s="17"/>
      <c r="IS948" s="17"/>
      <c r="IT948" s="17"/>
      <c r="IU948" s="17"/>
      <c r="IV948" s="17"/>
      <c r="IW948" s="17"/>
      <c r="IX948" s="17"/>
    </row>
    <row r="949" spans="1:258" s="17" customFormat="1" ht="21.95" customHeight="1" x14ac:dyDescent="0.25">
      <c r="A949" s="40" t="s">
        <v>1148</v>
      </c>
      <c r="B949" s="8" t="s">
        <v>695</v>
      </c>
      <c r="C949" s="2">
        <f t="shared" si="567"/>
        <v>1611500</v>
      </c>
      <c r="D949" s="3">
        <f t="shared" si="562"/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3">
        <v>293</v>
      </c>
      <c r="N949" s="3">
        <f t="shared" ref="N949:N962" si="572">M949*5500</f>
        <v>1611500</v>
      </c>
      <c r="O949" s="3">
        <v>0</v>
      </c>
      <c r="P949" s="3">
        <v>0</v>
      </c>
      <c r="Q949" s="3">
        <v>0</v>
      </c>
      <c r="R949" s="3">
        <f t="shared" si="564"/>
        <v>0</v>
      </c>
      <c r="S949" s="3">
        <v>0</v>
      </c>
      <c r="T949" s="5">
        <v>0</v>
      </c>
      <c r="U949" s="3">
        <v>0</v>
      </c>
      <c r="V949" s="6">
        <f t="shared" si="565"/>
        <v>5500</v>
      </c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K949" s="7"/>
      <c r="CL949" s="7"/>
      <c r="CM949" s="7"/>
      <c r="CN949" s="7"/>
      <c r="CO949" s="7"/>
      <c r="CP949" s="7"/>
      <c r="CQ949" s="7"/>
      <c r="CR949" s="7"/>
      <c r="CS949" s="7"/>
      <c r="CT949" s="7"/>
      <c r="CU949" s="7"/>
      <c r="CV949" s="7"/>
      <c r="CW949" s="7"/>
      <c r="CX949" s="7"/>
      <c r="CY949" s="7"/>
      <c r="CZ949" s="7"/>
      <c r="DA949" s="7"/>
      <c r="DB949" s="7"/>
      <c r="DC949" s="7"/>
      <c r="DD949" s="7"/>
      <c r="DE949" s="7"/>
      <c r="DF949" s="7"/>
      <c r="DG949" s="7"/>
      <c r="DH949" s="7"/>
      <c r="DI949" s="7"/>
      <c r="DJ949" s="7"/>
      <c r="DK949" s="7"/>
      <c r="DL949" s="7"/>
      <c r="DM949" s="7"/>
      <c r="DN949" s="7"/>
      <c r="DO949" s="7"/>
      <c r="DP949" s="7"/>
      <c r="DQ949" s="7"/>
      <c r="DR949" s="7"/>
      <c r="DS949" s="7"/>
      <c r="DT949" s="7"/>
      <c r="DU949" s="7"/>
      <c r="DV949" s="7"/>
      <c r="DW949" s="7"/>
      <c r="DX949" s="7"/>
      <c r="DY949" s="7"/>
      <c r="DZ949" s="7"/>
      <c r="EA949" s="7"/>
      <c r="EB949" s="7"/>
      <c r="EC949" s="7"/>
      <c r="ED949" s="7"/>
      <c r="EE949" s="7"/>
      <c r="EF949" s="7"/>
      <c r="EG949" s="7"/>
      <c r="EH949" s="7"/>
      <c r="EI949" s="7"/>
      <c r="EJ949" s="7"/>
      <c r="EK949" s="7"/>
      <c r="EL949" s="7"/>
      <c r="EM949" s="7"/>
      <c r="EN949" s="7"/>
      <c r="EO949" s="7"/>
      <c r="EP949" s="7"/>
      <c r="EQ949" s="7"/>
      <c r="ER949" s="7"/>
      <c r="ES949" s="7"/>
      <c r="ET949" s="7"/>
      <c r="EU949" s="7"/>
      <c r="EV949" s="7"/>
      <c r="EW949" s="7"/>
      <c r="EX949" s="7"/>
      <c r="EY949" s="7"/>
      <c r="EZ949" s="7"/>
      <c r="FA949" s="7"/>
      <c r="FB949" s="7"/>
      <c r="FC949" s="7"/>
      <c r="FD949" s="7"/>
      <c r="FE949" s="7"/>
      <c r="FF949" s="7"/>
      <c r="FG949" s="7"/>
      <c r="FH949" s="7"/>
      <c r="FI949" s="7"/>
      <c r="FJ949" s="7"/>
      <c r="FK949" s="7"/>
      <c r="FL949" s="7"/>
      <c r="FM949" s="7"/>
      <c r="FN949" s="7"/>
      <c r="FO949" s="7"/>
      <c r="FP949" s="7"/>
      <c r="FQ949" s="7"/>
      <c r="FR949" s="7"/>
      <c r="FS949" s="7"/>
      <c r="FT949" s="7"/>
      <c r="FU949" s="7"/>
      <c r="FV949" s="7"/>
      <c r="FW949" s="7"/>
      <c r="FX949" s="7"/>
      <c r="FY949" s="7"/>
      <c r="FZ949" s="7"/>
      <c r="GA949" s="7"/>
      <c r="GB949" s="7"/>
      <c r="GC949" s="7"/>
      <c r="GD949" s="7"/>
      <c r="GE949" s="7"/>
      <c r="GF949" s="7"/>
      <c r="GG949" s="7"/>
      <c r="GH949" s="7"/>
      <c r="GI949" s="7"/>
      <c r="GJ949" s="7"/>
      <c r="GK949" s="7"/>
      <c r="GL949" s="7"/>
      <c r="GM949" s="7"/>
      <c r="GN949" s="7"/>
      <c r="GO949" s="7"/>
      <c r="GP949" s="7"/>
      <c r="GQ949" s="7"/>
      <c r="GR949" s="7"/>
      <c r="GS949" s="7"/>
      <c r="GT949" s="7"/>
      <c r="GU949" s="7"/>
      <c r="GV949" s="7"/>
      <c r="GW949" s="7"/>
      <c r="GX949" s="7"/>
      <c r="GY949" s="7"/>
      <c r="GZ949" s="7"/>
      <c r="HA949" s="7"/>
      <c r="HB949" s="7"/>
      <c r="HC949" s="7"/>
      <c r="HD949" s="7"/>
      <c r="HE949" s="7"/>
      <c r="HF949" s="7"/>
      <c r="HG949" s="7"/>
      <c r="HH949" s="7"/>
      <c r="HI949" s="7"/>
      <c r="HJ949" s="7"/>
      <c r="HK949" s="7"/>
      <c r="HL949" s="7"/>
      <c r="HM949" s="7"/>
      <c r="HN949" s="7"/>
      <c r="HO949" s="7"/>
      <c r="HP949" s="7"/>
      <c r="HQ949" s="7"/>
      <c r="HR949" s="7"/>
      <c r="HS949" s="7"/>
      <c r="HT949" s="7"/>
      <c r="HU949" s="7"/>
      <c r="HV949" s="7"/>
      <c r="HW949" s="7"/>
      <c r="HX949" s="7"/>
      <c r="HY949" s="7"/>
      <c r="HZ949" s="7"/>
      <c r="IA949" s="7"/>
      <c r="IB949" s="7"/>
      <c r="IC949" s="7"/>
      <c r="ID949" s="7"/>
      <c r="IE949" s="7"/>
      <c r="IF949" s="7"/>
      <c r="IG949" s="7"/>
      <c r="IH949" s="7"/>
      <c r="II949" s="7"/>
      <c r="IJ949" s="7"/>
      <c r="IK949" s="7"/>
      <c r="IL949" s="7"/>
      <c r="IM949" s="7"/>
      <c r="IN949" s="7"/>
      <c r="IO949" s="7"/>
      <c r="IP949" s="7"/>
      <c r="IQ949" s="7"/>
      <c r="IR949" s="7"/>
      <c r="IS949" s="7"/>
      <c r="IT949" s="7"/>
      <c r="IU949" s="7"/>
      <c r="IV949" s="7"/>
      <c r="IW949" s="7"/>
      <c r="IX949" s="7"/>
    </row>
    <row r="950" spans="1:258" ht="21.95" customHeight="1" x14ac:dyDescent="0.25">
      <c r="A950" s="40" t="s">
        <v>1149</v>
      </c>
      <c r="B950" s="8" t="s">
        <v>696</v>
      </c>
      <c r="C950" s="2">
        <f t="shared" si="567"/>
        <v>1617000</v>
      </c>
      <c r="D950" s="3">
        <f t="shared" si="562"/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4">
        <v>0</v>
      </c>
      <c r="L950" s="3">
        <v>0</v>
      </c>
      <c r="M950" s="3">
        <v>294</v>
      </c>
      <c r="N950" s="3">
        <f t="shared" si="572"/>
        <v>1617000</v>
      </c>
      <c r="O950" s="3">
        <v>0</v>
      </c>
      <c r="P950" s="3">
        <v>0</v>
      </c>
      <c r="Q950" s="3">
        <v>0</v>
      </c>
      <c r="R950" s="3">
        <f t="shared" si="564"/>
        <v>0</v>
      </c>
      <c r="S950" s="3">
        <v>0</v>
      </c>
      <c r="T950" s="5">
        <v>0</v>
      </c>
      <c r="U950" s="3">
        <v>0</v>
      </c>
      <c r="V950" s="6">
        <f t="shared" si="565"/>
        <v>5500</v>
      </c>
    </row>
    <row r="951" spans="1:258" ht="21.95" customHeight="1" x14ac:dyDescent="0.25">
      <c r="A951" s="40" t="s">
        <v>1150</v>
      </c>
      <c r="B951" s="8" t="s">
        <v>697</v>
      </c>
      <c r="C951" s="2">
        <f t="shared" si="567"/>
        <v>1600500</v>
      </c>
      <c r="D951" s="3">
        <f t="shared" si="562"/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4">
        <v>0</v>
      </c>
      <c r="L951" s="3">
        <v>0</v>
      </c>
      <c r="M951" s="3">
        <v>291</v>
      </c>
      <c r="N951" s="3">
        <f t="shared" si="572"/>
        <v>1600500</v>
      </c>
      <c r="O951" s="3">
        <v>0</v>
      </c>
      <c r="P951" s="3">
        <v>0</v>
      </c>
      <c r="Q951" s="3">
        <v>0</v>
      </c>
      <c r="R951" s="3">
        <f t="shared" si="564"/>
        <v>0</v>
      </c>
      <c r="S951" s="3">
        <v>0</v>
      </c>
      <c r="T951" s="5">
        <v>0</v>
      </c>
      <c r="U951" s="3">
        <v>0</v>
      </c>
      <c r="V951" s="6">
        <f t="shared" si="565"/>
        <v>5500</v>
      </c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  <c r="BI951" s="26"/>
      <c r="BJ951" s="26"/>
      <c r="BK951" s="26"/>
      <c r="BL951" s="26"/>
      <c r="BM951" s="26"/>
      <c r="BN951" s="26"/>
      <c r="BO951" s="26"/>
      <c r="BP951" s="26"/>
      <c r="BQ951" s="26"/>
      <c r="BR951" s="26"/>
      <c r="BS951" s="26"/>
      <c r="BT951" s="26"/>
      <c r="BU951" s="26"/>
      <c r="BV951" s="26"/>
      <c r="BW951" s="26"/>
      <c r="BX951" s="26"/>
      <c r="BY951" s="26"/>
      <c r="BZ951" s="26"/>
      <c r="CA951" s="26"/>
      <c r="CB951" s="26"/>
      <c r="CC951" s="26"/>
      <c r="CD951" s="26"/>
      <c r="CE951" s="26"/>
      <c r="CF951" s="26"/>
      <c r="CG951" s="26"/>
      <c r="CH951" s="26"/>
      <c r="CI951" s="26"/>
      <c r="CJ951" s="26"/>
      <c r="CK951" s="26"/>
      <c r="CL951" s="26"/>
      <c r="CM951" s="26"/>
      <c r="CN951" s="26"/>
      <c r="CO951" s="26"/>
      <c r="CP951" s="26"/>
      <c r="CQ951" s="26"/>
      <c r="CR951" s="26"/>
      <c r="CS951" s="26"/>
      <c r="CT951" s="26"/>
      <c r="CU951" s="26"/>
      <c r="CV951" s="26"/>
      <c r="CW951" s="26"/>
      <c r="CX951" s="26"/>
      <c r="CY951" s="26"/>
      <c r="CZ951" s="26"/>
      <c r="DA951" s="26"/>
      <c r="DB951" s="26"/>
      <c r="DC951" s="26"/>
      <c r="DD951" s="26"/>
      <c r="DE951" s="26"/>
      <c r="DF951" s="26"/>
      <c r="DG951" s="26"/>
      <c r="DH951" s="26"/>
      <c r="DI951" s="26"/>
      <c r="DJ951" s="26"/>
      <c r="DK951" s="26"/>
      <c r="DL951" s="26"/>
      <c r="DM951" s="26"/>
      <c r="DN951" s="26"/>
      <c r="DO951" s="26"/>
      <c r="DP951" s="26"/>
      <c r="DQ951" s="26"/>
      <c r="DR951" s="26"/>
      <c r="DS951" s="26"/>
      <c r="DT951" s="26"/>
      <c r="DU951" s="26"/>
      <c r="DV951" s="26"/>
      <c r="DW951" s="26"/>
      <c r="DX951" s="26"/>
      <c r="DY951" s="26"/>
      <c r="DZ951" s="26"/>
      <c r="EA951" s="26"/>
      <c r="EB951" s="26"/>
      <c r="EC951" s="26"/>
      <c r="ED951" s="26"/>
      <c r="EE951" s="26"/>
      <c r="EF951" s="26"/>
      <c r="EG951" s="26"/>
      <c r="EH951" s="26"/>
      <c r="EI951" s="26"/>
      <c r="EJ951" s="26"/>
      <c r="EK951" s="26"/>
      <c r="EL951" s="26"/>
      <c r="EM951" s="26"/>
      <c r="EN951" s="26"/>
      <c r="EO951" s="26"/>
      <c r="EP951" s="26"/>
      <c r="EQ951" s="26"/>
      <c r="ER951" s="26"/>
      <c r="ES951" s="26"/>
      <c r="ET951" s="26"/>
      <c r="EU951" s="26"/>
      <c r="EV951" s="26"/>
      <c r="EW951" s="26"/>
      <c r="EX951" s="26"/>
      <c r="EY951" s="26"/>
      <c r="EZ951" s="26"/>
      <c r="FA951" s="26"/>
      <c r="FB951" s="26"/>
      <c r="FC951" s="26"/>
      <c r="FD951" s="26"/>
      <c r="FE951" s="26"/>
      <c r="FF951" s="26"/>
      <c r="FG951" s="26"/>
      <c r="FH951" s="26"/>
      <c r="FI951" s="26"/>
      <c r="FJ951" s="26"/>
      <c r="FK951" s="26"/>
      <c r="FL951" s="26"/>
      <c r="FM951" s="26"/>
      <c r="FN951" s="26"/>
      <c r="FO951" s="26"/>
      <c r="FP951" s="26"/>
      <c r="FQ951" s="26"/>
      <c r="FR951" s="26"/>
      <c r="FS951" s="26"/>
      <c r="FT951" s="26"/>
      <c r="FU951" s="26"/>
      <c r="FV951" s="26"/>
      <c r="FW951" s="26"/>
      <c r="FX951" s="26"/>
      <c r="FY951" s="26"/>
      <c r="FZ951" s="26"/>
      <c r="GA951" s="26"/>
      <c r="GB951" s="26"/>
      <c r="GC951" s="26"/>
      <c r="GD951" s="26"/>
      <c r="GE951" s="26"/>
      <c r="GF951" s="26"/>
      <c r="GG951" s="26"/>
      <c r="GH951" s="26"/>
      <c r="GI951" s="26"/>
      <c r="GJ951" s="26"/>
      <c r="GK951" s="26"/>
      <c r="GL951" s="26"/>
      <c r="GM951" s="26"/>
      <c r="GN951" s="26"/>
      <c r="GO951" s="26"/>
      <c r="GP951" s="26"/>
      <c r="GQ951" s="26"/>
      <c r="GR951" s="26"/>
      <c r="GS951" s="26"/>
      <c r="GT951" s="26"/>
      <c r="GU951" s="26"/>
      <c r="GV951" s="26"/>
      <c r="GW951" s="26"/>
      <c r="GX951" s="26"/>
      <c r="GY951" s="26"/>
      <c r="GZ951" s="26"/>
      <c r="HA951" s="26"/>
      <c r="HB951" s="26"/>
      <c r="HC951" s="26"/>
      <c r="HD951" s="26"/>
      <c r="HE951" s="26"/>
      <c r="HF951" s="26"/>
      <c r="HG951" s="26"/>
      <c r="HH951" s="26"/>
      <c r="HI951" s="26"/>
      <c r="HJ951" s="26"/>
      <c r="HK951" s="26"/>
      <c r="HL951" s="26"/>
      <c r="HM951" s="26"/>
      <c r="HN951" s="26"/>
      <c r="HO951" s="26"/>
      <c r="HP951" s="26"/>
      <c r="HQ951" s="26"/>
      <c r="HR951" s="26"/>
      <c r="HS951" s="26"/>
      <c r="HT951" s="26"/>
      <c r="HU951" s="26"/>
      <c r="HV951" s="26"/>
      <c r="HW951" s="26"/>
      <c r="HX951" s="26"/>
      <c r="HY951" s="26"/>
      <c r="HZ951" s="26"/>
      <c r="IA951" s="26"/>
      <c r="IB951" s="26"/>
      <c r="IC951" s="26"/>
      <c r="ID951" s="26"/>
      <c r="IE951" s="26"/>
      <c r="IF951" s="26"/>
      <c r="IG951" s="26"/>
      <c r="IH951" s="26"/>
      <c r="II951" s="26"/>
      <c r="IJ951" s="26"/>
      <c r="IK951" s="26"/>
      <c r="IL951" s="26"/>
      <c r="IM951" s="26"/>
      <c r="IN951" s="26"/>
      <c r="IO951" s="26"/>
      <c r="IP951" s="26"/>
      <c r="IQ951" s="26"/>
      <c r="IR951" s="26"/>
      <c r="IS951" s="26"/>
      <c r="IT951" s="26"/>
      <c r="IU951" s="26"/>
      <c r="IV951" s="26"/>
      <c r="IW951" s="26"/>
      <c r="IX951" s="26"/>
    </row>
    <row r="952" spans="1:258" ht="21.95" customHeight="1" x14ac:dyDescent="0.25">
      <c r="A952" s="40" t="s">
        <v>1151</v>
      </c>
      <c r="B952" s="8" t="s">
        <v>698</v>
      </c>
      <c r="C952" s="2">
        <f t="shared" si="567"/>
        <v>1589500</v>
      </c>
      <c r="D952" s="3">
        <f t="shared" si="562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289</v>
      </c>
      <c r="N952" s="3">
        <f t="shared" si="572"/>
        <v>1589500</v>
      </c>
      <c r="O952" s="3">
        <v>0</v>
      </c>
      <c r="P952" s="3">
        <v>0</v>
      </c>
      <c r="Q952" s="3">
        <v>0</v>
      </c>
      <c r="R952" s="3">
        <f t="shared" si="564"/>
        <v>0</v>
      </c>
      <c r="S952" s="3">
        <v>0</v>
      </c>
      <c r="T952" s="5">
        <v>0</v>
      </c>
      <c r="U952" s="3">
        <v>0</v>
      </c>
      <c r="V952" s="6">
        <f t="shared" si="565"/>
        <v>5500</v>
      </c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  <c r="BI952" s="26"/>
      <c r="BJ952" s="26"/>
      <c r="BK952" s="26"/>
      <c r="BL952" s="26"/>
      <c r="BM952" s="26"/>
      <c r="BN952" s="26"/>
      <c r="BO952" s="26"/>
      <c r="BP952" s="26"/>
      <c r="BQ952" s="26"/>
      <c r="BR952" s="26"/>
      <c r="BS952" s="26"/>
      <c r="BT952" s="26"/>
      <c r="BU952" s="26"/>
      <c r="BV952" s="26"/>
      <c r="BW952" s="26"/>
      <c r="BX952" s="26"/>
      <c r="BY952" s="26"/>
      <c r="BZ952" s="26"/>
      <c r="CA952" s="26"/>
      <c r="CB952" s="26"/>
      <c r="CC952" s="26"/>
      <c r="CD952" s="26"/>
      <c r="CE952" s="26"/>
      <c r="CF952" s="26"/>
      <c r="CG952" s="26"/>
      <c r="CH952" s="26"/>
      <c r="CI952" s="26"/>
      <c r="CJ952" s="26"/>
      <c r="CK952" s="26"/>
      <c r="CL952" s="26"/>
      <c r="CM952" s="26"/>
      <c r="CN952" s="26"/>
      <c r="CO952" s="26"/>
      <c r="CP952" s="26"/>
      <c r="CQ952" s="26"/>
      <c r="CR952" s="26"/>
      <c r="CS952" s="26"/>
      <c r="CT952" s="26"/>
      <c r="CU952" s="26"/>
      <c r="CV952" s="26"/>
      <c r="CW952" s="26"/>
      <c r="CX952" s="26"/>
      <c r="CY952" s="26"/>
      <c r="CZ952" s="26"/>
      <c r="DA952" s="26"/>
      <c r="DB952" s="26"/>
      <c r="DC952" s="26"/>
      <c r="DD952" s="26"/>
      <c r="DE952" s="26"/>
      <c r="DF952" s="26"/>
      <c r="DG952" s="26"/>
      <c r="DH952" s="26"/>
      <c r="DI952" s="26"/>
      <c r="DJ952" s="26"/>
      <c r="DK952" s="26"/>
      <c r="DL952" s="26"/>
      <c r="DM952" s="26"/>
      <c r="DN952" s="26"/>
      <c r="DO952" s="26"/>
      <c r="DP952" s="26"/>
      <c r="DQ952" s="26"/>
      <c r="DR952" s="26"/>
      <c r="DS952" s="26"/>
      <c r="DT952" s="26"/>
      <c r="DU952" s="26"/>
      <c r="DV952" s="26"/>
      <c r="DW952" s="26"/>
      <c r="DX952" s="26"/>
      <c r="DY952" s="26"/>
      <c r="DZ952" s="26"/>
      <c r="EA952" s="26"/>
      <c r="EB952" s="26"/>
      <c r="EC952" s="26"/>
      <c r="ED952" s="26"/>
      <c r="EE952" s="26"/>
      <c r="EF952" s="26"/>
      <c r="EG952" s="26"/>
      <c r="EH952" s="26"/>
      <c r="EI952" s="26"/>
      <c r="EJ952" s="26"/>
      <c r="EK952" s="26"/>
      <c r="EL952" s="26"/>
      <c r="EM952" s="26"/>
      <c r="EN952" s="26"/>
      <c r="EO952" s="26"/>
      <c r="EP952" s="26"/>
      <c r="EQ952" s="26"/>
      <c r="ER952" s="26"/>
      <c r="ES952" s="26"/>
      <c r="ET952" s="26"/>
      <c r="EU952" s="26"/>
      <c r="EV952" s="26"/>
      <c r="EW952" s="26"/>
      <c r="EX952" s="26"/>
      <c r="EY952" s="26"/>
      <c r="EZ952" s="26"/>
      <c r="FA952" s="26"/>
      <c r="FB952" s="26"/>
      <c r="FC952" s="26"/>
      <c r="FD952" s="26"/>
      <c r="FE952" s="26"/>
      <c r="FF952" s="26"/>
      <c r="FG952" s="26"/>
      <c r="FH952" s="26"/>
      <c r="FI952" s="26"/>
      <c r="FJ952" s="26"/>
      <c r="FK952" s="26"/>
      <c r="FL952" s="26"/>
      <c r="FM952" s="26"/>
      <c r="FN952" s="26"/>
      <c r="FO952" s="26"/>
      <c r="FP952" s="26"/>
      <c r="FQ952" s="26"/>
      <c r="FR952" s="26"/>
      <c r="FS952" s="26"/>
      <c r="FT952" s="26"/>
      <c r="FU952" s="26"/>
      <c r="FV952" s="26"/>
      <c r="FW952" s="26"/>
      <c r="FX952" s="26"/>
      <c r="FY952" s="26"/>
      <c r="FZ952" s="26"/>
      <c r="GA952" s="26"/>
      <c r="GB952" s="26"/>
      <c r="GC952" s="26"/>
      <c r="GD952" s="26"/>
      <c r="GE952" s="26"/>
      <c r="GF952" s="26"/>
      <c r="GG952" s="26"/>
      <c r="GH952" s="26"/>
      <c r="GI952" s="26"/>
      <c r="GJ952" s="26"/>
      <c r="GK952" s="26"/>
      <c r="GL952" s="26"/>
      <c r="GM952" s="26"/>
      <c r="GN952" s="26"/>
      <c r="GO952" s="26"/>
      <c r="GP952" s="26"/>
      <c r="GQ952" s="26"/>
      <c r="GR952" s="26"/>
      <c r="GS952" s="26"/>
      <c r="GT952" s="26"/>
      <c r="GU952" s="26"/>
      <c r="GV952" s="26"/>
      <c r="GW952" s="26"/>
      <c r="GX952" s="26"/>
      <c r="GY952" s="26"/>
      <c r="GZ952" s="26"/>
      <c r="HA952" s="26"/>
      <c r="HB952" s="26"/>
      <c r="HC952" s="26"/>
      <c r="HD952" s="26"/>
      <c r="HE952" s="26"/>
      <c r="HF952" s="26"/>
      <c r="HG952" s="26"/>
      <c r="HH952" s="26"/>
      <c r="HI952" s="26"/>
      <c r="HJ952" s="26"/>
      <c r="HK952" s="26"/>
      <c r="HL952" s="26"/>
      <c r="HM952" s="26"/>
      <c r="HN952" s="26"/>
      <c r="HO952" s="26"/>
      <c r="HP952" s="26"/>
      <c r="HQ952" s="26"/>
      <c r="HR952" s="26"/>
      <c r="HS952" s="26"/>
      <c r="HT952" s="26"/>
      <c r="HU952" s="26"/>
      <c r="HV952" s="26"/>
      <c r="HW952" s="26"/>
      <c r="HX952" s="26"/>
      <c r="HY952" s="26"/>
      <c r="HZ952" s="26"/>
      <c r="IA952" s="26"/>
      <c r="IB952" s="26"/>
      <c r="IC952" s="26"/>
      <c r="ID952" s="26"/>
      <c r="IE952" s="26"/>
      <c r="IF952" s="26"/>
      <c r="IG952" s="26"/>
      <c r="IH952" s="26"/>
      <c r="II952" s="26"/>
      <c r="IJ952" s="26"/>
      <c r="IK952" s="26"/>
      <c r="IL952" s="26"/>
      <c r="IM952" s="26"/>
      <c r="IN952" s="26"/>
      <c r="IO952" s="26"/>
      <c r="IP952" s="26"/>
      <c r="IQ952" s="26"/>
      <c r="IR952" s="26"/>
      <c r="IS952" s="26"/>
      <c r="IT952" s="26"/>
      <c r="IU952" s="26"/>
      <c r="IV952" s="26"/>
      <c r="IW952" s="26"/>
      <c r="IX952" s="26"/>
    </row>
    <row r="953" spans="1:258" ht="21.95" customHeight="1" x14ac:dyDescent="0.25">
      <c r="A953" s="40" t="s">
        <v>1152</v>
      </c>
      <c r="B953" s="8" t="s">
        <v>784</v>
      </c>
      <c r="C953" s="2">
        <f t="shared" si="567"/>
        <v>3432000</v>
      </c>
      <c r="D953" s="3">
        <f t="shared" si="562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5">
        <v>624</v>
      </c>
      <c r="N953" s="3">
        <f t="shared" si="572"/>
        <v>3432000</v>
      </c>
      <c r="O953" s="3">
        <v>0</v>
      </c>
      <c r="P953" s="3">
        <v>0</v>
      </c>
      <c r="Q953" s="3">
        <v>0</v>
      </c>
      <c r="R953" s="3">
        <f t="shared" si="564"/>
        <v>0</v>
      </c>
      <c r="S953" s="3">
        <v>0</v>
      </c>
      <c r="T953" s="5">
        <v>0</v>
      </c>
      <c r="U953" s="3">
        <v>0</v>
      </c>
      <c r="V953" s="6">
        <f t="shared" si="565"/>
        <v>5500</v>
      </c>
    </row>
    <row r="954" spans="1:258" ht="21.95" customHeight="1" x14ac:dyDescent="0.25">
      <c r="A954" s="40" t="s">
        <v>1153</v>
      </c>
      <c r="B954" s="8" t="s">
        <v>699</v>
      </c>
      <c r="C954" s="2">
        <f t="shared" si="567"/>
        <v>1606000</v>
      </c>
      <c r="D954" s="3">
        <f t="shared" si="562"/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3">
        <v>292</v>
      </c>
      <c r="N954" s="3">
        <f t="shared" si="572"/>
        <v>1606000</v>
      </c>
      <c r="O954" s="3">
        <v>0</v>
      </c>
      <c r="P954" s="3">
        <v>0</v>
      </c>
      <c r="Q954" s="3">
        <v>0</v>
      </c>
      <c r="R954" s="3">
        <f t="shared" si="564"/>
        <v>0</v>
      </c>
      <c r="S954" s="3">
        <v>0</v>
      </c>
      <c r="T954" s="5">
        <v>0</v>
      </c>
      <c r="U954" s="3">
        <v>0</v>
      </c>
      <c r="V954" s="6">
        <f t="shared" si="565"/>
        <v>5500</v>
      </c>
    </row>
    <row r="955" spans="1:258" ht="21.95" customHeight="1" x14ac:dyDescent="0.25">
      <c r="A955" s="40" t="s">
        <v>1154</v>
      </c>
      <c r="B955" s="8" t="s">
        <v>700</v>
      </c>
      <c r="C955" s="2">
        <f t="shared" si="567"/>
        <v>1606000</v>
      </c>
      <c r="D955" s="3">
        <f t="shared" si="562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3">
        <v>292</v>
      </c>
      <c r="N955" s="3">
        <f t="shared" si="572"/>
        <v>1606000</v>
      </c>
      <c r="O955" s="3">
        <v>0</v>
      </c>
      <c r="P955" s="3">
        <v>0</v>
      </c>
      <c r="Q955" s="3">
        <v>0</v>
      </c>
      <c r="R955" s="3">
        <f t="shared" si="564"/>
        <v>0</v>
      </c>
      <c r="S955" s="3">
        <v>0</v>
      </c>
      <c r="T955" s="5">
        <v>0</v>
      </c>
      <c r="U955" s="3">
        <v>0</v>
      </c>
      <c r="V955" s="6">
        <f t="shared" si="565"/>
        <v>5500</v>
      </c>
    </row>
    <row r="956" spans="1:258" ht="21.95" customHeight="1" x14ac:dyDescent="0.25">
      <c r="A956" s="40" t="s">
        <v>1155</v>
      </c>
      <c r="B956" s="8" t="s">
        <v>701</v>
      </c>
      <c r="C956" s="2">
        <f t="shared" si="567"/>
        <v>3701500</v>
      </c>
      <c r="D956" s="3">
        <f t="shared" si="562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4">
        <v>0</v>
      </c>
      <c r="L956" s="3">
        <v>0</v>
      </c>
      <c r="M956" s="3">
        <v>673</v>
      </c>
      <c r="N956" s="3">
        <f t="shared" si="572"/>
        <v>3701500</v>
      </c>
      <c r="O956" s="3">
        <v>0</v>
      </c>
      <c r="P956" s="3">
        <v>0</v>
      </c>
      <c r="Q956" s="3">
        <v>0</v>
      </c>
      <c r="R956" s="3">
        <f t="shared" si="564"/>
        <v>0</v>
      </c>
      <c r="S956" s="3">
        <v>0</v>
      </c>
      <c r="T956" s="5">
        <v>0</v>
      </c>
      <c r="U956" s="3">
        <v>0</v>
      </c>
      <c r="V956" s="6">
        <f t="shared" si="565"/>
        <v>5500</v>
      </c>
    </row>
    <row r="957" spans="1:258" ht="21.95" customHeight="1" x14ac:dyDescent="0.25">
      <c r="A957" s="40" t="s">
        <v>1156</v>
      </c>
      <c r="B957" s="8" t="s">
        <v>702</v>
      </c>
      <c r="C957" s="2">
        <f t="shared" si="567"/>
        <v>1633500</v>
      </c>
      <c r="D957" s="3">
        <f t="shared" si="562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3">
        <v>297</v>
      </c>
      <c r="N957" s="3">
        <f t="shared" si="572"/>
        <v>1633500</v>
      </c>
      <c r="O957" s="3">
        <v>0</v>
      </c>
      <c r="P957" s="3">
        <v>0</v>
      </c>
      <c r="Q957" s="3">
        <v>0</v>
      </c>
      <c r="R957" s="3">
        <f t="shared" si="564"/>
        <v>0</v>
      </c>
      <c r="S957" s="3">
        <v>0</v>
      </c>
      <c r="T957" s="5">
        <v>0</v>
      </c>
      <c r="U957" s="3">
        <v>0</v>
      </c>
      <c r="V957" s="6">
        <f t="shared" si="565"/>
        <v>5500</v>
      </c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  <c r="BO957" s="17"/>
      <c r="BP957" s="17"/>
      <c r="BQ957" s="17"/>
      <c r="BR957" s="17"/>
      <c r="BS957" s="17"/>
      <c r="BT957" s="17"/>
      <c r="BU957" s="17"/>
      <c r="BV957" s="17"/>
      <c r="BW957" s="17"/>
      <c r="BX957" s="17"/>
      <c r="BY957" s="17"/>
      <c r="BZ957" s="17"/>
      <c r="CA957" s="17"/>
      <c r="CB957" s="17"/>
      <c r="CC957" s="17"/>
      <c r="CD957" s="17"/>
      <c r="CE957" s="17"/>
      <c r="CF957" s="17"/>
      <c r="CG957" s="17"/>
      <c r="CH957" s="17"/>
      <c r="CI957" s="17"/>
      <c r="CJ957" s="17"/>
      <c r="CK957" s="17"/>
      <c r="CL957" s="17"/>
      <c r="CM957" s="17"/>
      <c r="CN957" s="17"/>
      <c r="CO957" s="17"/>
      <c r="CP957" s="17"/>
      <c r="CQ957" s="17"/>
      <c r="CR957" s="17"/>
      <c r="CS957" s="17"/>
      <c r="CT957" s="17"/>
      <c r="CU957" s="17"/>
      <c r="CV957" s="17"/>
      <c r="CW957" s="17"/>
      <c r="CX957" s="17"/>
      <c r="CY957" s="17"/>
      <c r="CZ957" s="17"/>
      <c r="DA957" s="17"/>
      <c r="DB957" s="17"/>
      <c r="DC957" s="17"/>
      <c r="DD957" s="17"/>
      <c r="DE957" s="17"/>
      <c r="DF957" s="17"/>
      <c r="DG957" s="17"/>
      <c r="DH957" s="17"/>
      <c r="DI957" s="17"/>
      <c r="DJ957" s="17"/>
      <c r="DK957" s="17"/>
      <c r="DL957" s="17"/>
      <c r="DM957" s="17"/>
      <c r="DN957" s="17"/>
      <c r="DO957" s="17"/>
      <c r="DP957" s="17"/>
      <c r="DQ957" s="17"/>
      <c r="DR957" s="17"/>
      <c r="DS957" s="17"/>
      <c r="DT957" s="17"/>
      <c r="DU957" s="17"/>
      <c r="DV957" s="17"/>
      <c r="DW957" s="17"/>
      <c r="DX957" s="17"/>
      <c r="DY957" s="17"/>
      <c r="DZ957" s="17"/>
      <c r="EA957" s="17"/>
      <c r="EB957" s="17"/>
      <c r="EC957" s="17"/>
      <c r="ED957" s="17"/>
      <c r="EE957" s="17"/>
      <c r="EF957" s="17"/>
      <c r="EG957" s="17"/>
      <c r="EH957" s="17"/>
      <c r="EI957" s="17"/>
      <c r="EJ957" s="17"/>
      <c r="EK957" s="17"/>
      <c r="EL957" s="17"/>
      <c r="EM957" s="17"/>
      <c r="EN957" s="17"/>
      <c r="EO957" s="17"/>
      <c r="EP957" s="17"/>
      <c r="EQ957" s="17"/>
      <c r="ER957" s="17"/>
      <c r="ES957" s="17"/>
      <c r="ET957" s="17"/>
      <c r="EU957" s="17"/>
      <c r="EV957" s="17"/>
      <c r="EW957" s="17"/>
      <c r="EX957" s="17"/>
      <c r="EY957" s="17"/>
      <c r="EZ957" s="17"/>
      <c r="FA957" s="17"/>
      <c r="FB957" s="17"/>
      <c r="FC957" s="17"/>
      <c r="FD957" s="17"/>
      <c r="FE957" s="17"/>
      <c r="FF957" s="17"/>
      <c r="FG957" s="17"/>
      <c r="FH957" s="17"/>
      <c r="FI957" s="17"/>
      <c r="FJ957" s="17"/>
      <c r="FK957" s="17"/>
      <c r="FL957" s="17"/>
      <c r="FM957" s="17"/>
      <c r="FN957" s="17"/>
      <c r="FO957" s="17"/>
      <c r="FP957" s="17"/>
      <c r="FQ957" s="17"/>
      <c r="FR957" s="17"/>
      <c r="FS957" s="17"/>
      <c r="FT957" s="17"/>
      <c r="FU957" s="17"/>
      <c r="FV957" s="17"/>
      <c r="FW957" s="17"/>
      <c r="FX957" s="17"/>
      <c r="FY957" s="17"/>
      <c r="FZ957" s="17"/>
      <c r="GA957" s="17"/>
      <c r="GB957" s="17"/>
      <c r="GC957" s="17"/>
      <c r="GD957" s="17"/>
      <c r="GE957" s="17"/>
      <c r="GF957" s="17"/>
      <c r="GG957" s="17"/>
      <c r="GH957" s="17"/>
      <c r="GI957" s="17"/>
      <c r="GJ957" s="17"/>
      <c r="GK957" s="17"/>
      <c r="GL957" s="17"/>
      <c r="GM957" s="17"/>
      <c r="GN957" s="17"/>
      <c r="GO957" s="17"/>
      <c r="GP957" s="17"/>
      <c r="GQ957" s="17"/>
      <c r="GR957" s="17"/>
      <c r="GS957" s="17"/>
      <c r="GT957" s="17"/>
      <c r="GU957" s="17"/>
      <c r="GV957" s="17"/>
      <c r="GW957" s="17"/>
      <c r="GX957" s="17"/>
      <c r="GY957" s="17"/>
      <c r="GZ957" s="17"/>
      <c r="HA957" s="17"/>
      <c r="HB957" s="17"/>
      <c r="HC957" s="17"/>
      <c r="HD957" s="17"/>
      <c r="HE957" s="17"/>
      <c r="HF957" s="17"/>
      <c r="HG957" s="17"/>
      <c r="HH957" s="17"/>
      <c r="HI957" s="17"/>
      <c r="HJ957" s="17"/>
      <c r="HK957" s="17"/>
      <c r="HL957" s="17"/>
      <c r="HM957" s="17"/>
      <c r="HN957" s="17"/>
      <c r="HO957" s="17"/>
      <c r="HP957" s="17"/>
      <c r="HQ957" s="17"/>
      <c r="HR957" s="17"/>
      <c r="HS957" s="17"/>
      <c r="HT957" s="17"/>
      <c r="HU957" s="17"/>
      <c r="HV957" s="17"/>
      <c r="HW957" s="17"/>
      <c r="HX957" s="17"/>
      <c r="HY957" s="17"/>
      <c r="HZ957" s="17"/>
      <c r="IA957" s="17"/>
      <c r="IB957" s="17"/>
      <c r="IC957" s="17"/>
      <c r="ID957" s="17"/>
      <c r="IE957" s="17"/>
      <c r="IF957" s="17"/>
      <c r="IG957" s="17"/>
      <c r="IH957" s="17"/>
      <c r="II957" s="17"/>
      <c r="IJ957" s="17"/>
      <c r="IK957" s="17"/>
      <c r="IL957" s="17"/>
      <c r="IM957" s="17"/>
      <c r="IN957" s="17"/>
      <c r="IO957" s="17"/>
      <c r="IP957" s="17"/>
      <c r="IQ957" s="17"/>
      <c r="IR957" s="17"/>
      <c r="IS957" s="17"/>
      <c r="IT957" s="17"/>
      <c r="IU957" s="17"/>
      <c r="IV957" s="17"/>
      <c r="IW957" s="17"/>
      <c r="IX957" s="17"/>
    </row>
    <row r="958" spans="1:258" ht="21.95" customHeight="1" x14ac:dyDescent="0.25">
      <c r="A958" s="40" t="s">
        <v>1157</v>
      </c>
      <c r="B958" s="8" t="s">
        <v>692</v>
      </c>
      <c r="C958" s="2">
        <f>D958+L958+N958+P958+R958+S958+T958+U958</f>
        <v>1606000</v>
      </c>
      <c r="D958" s="3">
        <f>SUM(E958:J958)</f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4">
        <v>0</v>
      </c>
      <c r="L958" s="3">
        <v>0</v>
      </c>
      <c r="M958" s="3">
        <v>292</v>
      </c>
      <c r="N958" s="3">
        <f>M958*5500</f>
        <v>1606000</v>
      </c>
      <c r="O958" s="3">
        <v>0</v>
      </c>
      <c r="P958" s="3">
        <v>0</v>
      </c>
      <c r="Q958" s="3">
        <v>0</v>
      </c>
      <c r="R958" s="3">
        <f>Q958*3000</f>
        <v>0</v>
      </c>
      <c r="S958" s="3">
        <v>0</v>
      </c>
      <c r="T958" s="5">
        <v>0</v>
      </c>
      <c r="U958" s="3">
        <v>0</v>
      </c>
      <c r="V958" s="6">
        <f>N958/M958</f>
        <v>5500</v>
      </c>
    </row>
    <row r="959" spans="1:258" ht="21.95" customHeight="1" x14ac:dyDescent="0.25">
      <c r="A959" s="40" t="s">
        <v>1158</v>
      </c>
      <c r="B959" s="8" t="s">
        <v>785</v>
      </c>
      <c r="C959" s="2">
        <f t="shared" si="567"/>
        <v>2931500</v>
      </c>
      <c r="D959" s="3">
        <f t="shared" si="562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5">
        <v>533</v>
      </c>
      <c r="N959" s="3">
        <f t="shared" si="572"/>
        <v>2931500</v>
      </c>
      <c r="O959" s="3">
        <v>0</v>
      </c>
      <c r="P959" s="3">
        <v>0</v>
      </c>
      <c r="Q959" s="3">
        <v>0</v>
      </c>
      <c r="R959" s="3">
        <f t="shared" si="564"/>
        <v>0</v>
      </c>
      <c r="S959" s="3">
        <v>0</v>
      </c>
      <c r="T959" s="5">
        <v>0</v>
      </c>
      <c r="U959" s="3">
        <v>0</v>
      </c>
      <c r="V959" s="6">
        <f t="shared" si="565"/>
        <v>5500</v>
      </c>
    </row>
    <row r="960" spans="1:258" ht="21.95" customHeight="1" x14ac:dyDescent="0.25">
      <c r="A960" s="40" t="s">
        <v>1159</v>
      </c>
      <c r="B960" s="8" t="s">
        <v>703</v>
      </c>
      <c r="C960" s="2">
        <f t="shared" si="567"/>
        <v>1358500</v>
      </c>
      <c r="D960" s="3">
        <f t="shared" si="562"/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4">
        <v>0</v>
      </c>
      <c r="L960" s="3">
        <v>0</v>
      </c>
      <c r="M960" s="3">
        <v>247</v>
      </c>
      <c r="N960" s="3">
        <f t="shared" si="572"/>
        <v>1358500</v>
      </c>
      <c r="O960" s="3">
        <v>0</v>
      </c>
      <c r="P960" s="3">
        <v>0</v>
      </c>
      <c r="Q960" s="3">
        <v>0</v>
      </c>
      <c r="R960" s="3">
        <f t="shared" si="564"/>
        <v>0</v>
      </c>
      <c r="S960" s="3">
        <v>0</v>
      </c>
      <c r="T960" s="5">
        <v>0</v>
      </c>
      <c r="U960" s="3">
        <v>0</v>
      </c>
      <c r="V960" s="6">
        <f t="shared" si="565"/>
        <v>5500</v>
      </c>
    </row>
    <row r="961" spans="1:258" ht="21.95" customHeight="1" x14ac:dyDescent="0.25">
      <c r="A961" s="40" t="s">
        <v>1329</v>
      </c>
      <c r="B961" s="8" t="s">
        <v>704</v>
      </c>
      <c r="C961" s="2">
        <f t="shared" si="567"/>
        <v>2755500</v>
      </c>
      <c r="D961" s="3">
        <f t="shared" si="562"/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3">
        <v>501</v>
      </c>
      <c r="N961" s="3">
        <f t="shared" si="572"/>
        <v>2755500</v>
      </c>
      <c r="O961" s="3">
        <v>0</v>
      </c>
      <c r="P961" s="3">
        <v>0</v>
      </c>
      <c r="Q961" s="3">
        <v>0</v>
      </c>
      <c r="R961" s="3">
        <f t="shared" si="564"/>
        <v>0</v>
      </c>
      <c r="S961" s="3">
        <v>0</v>
      </c>
      <c r="T961" s="5">
        <v>0</v>
      </c>
      <c r="U961" s="3">
        <v>0</v>
      </c>
      <c r="V961" s="6">
        <f t="shared" si="565"/>
        <v>5500</v>
      </c>
    </row>
    <row r="962" spans="1:258" ht="21.95" customHeight="1" x14ac:dyDescent="0.25">
      <c r="A962" s="40" t="s">
        <v>1160</v>
      </c>
      <c r="B962" s="8" t="s">
        <v>705</v>
      </c>
      <c r="C962" s="2">
        <f t="shared" si="567"/>
        <v>2148300</v>
      </c>
      <c r="D962" s="3">
        <f t="shared" si="562"/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4">
        <v>0</v>
      </c>
      <c r="L962" s="3">
        <v>0</v>
      </c>
      <c r="M962" s="3">
        <v>390.6</v>
      </c>
      <c r="N962" s="3">
        <f t="shared" si="572"/>
        <v>2148300</v>
      </c>
      <c r="O962" s="3">
        <v>0</v>
      </c>
      <c r="P962" s="3">
        <v>0</v>
      </c>
      <c r="Q962" s="5">
        <v>0</v>
      </c>
      <c r="R962" s="3">
        <f t="shared" si="564"/>
        <v>0</v>
      </c>
      <c r="S962" s="3">
        <v>0</v>
      </c>
      <c r="T962" s="5">
        <v>0</v>
      </c>
      <c r="U962" s="3">
        <v>0</v>
      </c>
      <c r="V962" s="6">
        <f t="shared" si="565"/>
        <v>5500</v>
      </c>
    </row>
    <row r="963" spans="1:258" ht="21.95" customHeight="1" x14ac:dyDescent="0.25">
      <c r="A963" s="40" t="s">
        <v>1163</v>
      </c>
      <c r="B963" s="8" t="s">
        <v>1565</v>
      </c>
      <c r="C963" s="2">
        <f t="shared" si="567"/>
        <v>10500000</v>
      </c>
      <c r="D963" s="3">
        <f t="shared" si="562"/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4">
        <v>0</v>
      </c>
      <c r="L963" s="3">
        <v>0</v>
      </c>
      <c r="M963" s="3">
        <v>0</v>
      </c>
      <c r="N963" s="3">
        <v>0</v>
      </c>
      <c r="O963" s="3">
        <v>0</v>
      </c>
      <c r="P963" s="3">
        <v>0</v>
      </c>
      <c r="Q963" s="3">
        <v>3500</v>
      </c>
      <c r="R963" s="3">
        <f t="shared" si="564"/>
        <v>10500000</v>
      </c>
      <c r="S963" s="3">
        <v>0</v>
      </c>
      <c r="T963" s="5">
        <v>0</v>
      </c>
      <c r="U963" s="3">
        <v>0</v>
      </c>
      <c r="V963" s="6" t="e">
        <f t="shared" si="565"/>
        <v>#DIV/0!</v>
      </c>
    </row>
    <row r="964" spans="1:258" ht="21.95" customHeight="1" x14ac:dyDescent="0.25">
      <c r="A964" s="40" t="s">
        <v>1330</v>
      </c>
      <c r="B964" s="8" t="s">
        <v>706</v>
      </c>
      <c r="C964" s="2">
        <f t="shared" si="567"/>
        <v>2863300</v>
      </c>
      <c r="D964" s="3">
        <f t="shared" si="562"/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3">
        <v>520.6</v>
      </c>
      <c r="N964" s="3">
        <f t="shared" ref="N964:N967" si="573">M964*5500</f>
        <v>2863300</v>
      </c>
      <c r="O964" s="3">
        <v>0</v>
      </c>
      <c r="P964" s="3">
        <v>0</v>
      </c>
      <c r="Q964" s="5">
        <v>0</v>
      </c>
      <c r="R964" s="3">
        <f t="shared" si="564"/>
        <v>0</v>
      </c>
      <c r="S964" s="3">
        <v>0</v>
      </c>
      <c r="T964" s="5">
        <v>0</v>
      </c>
      <c r="U964" s="3">
        <v>0</v>
      </c>
      <c r="V964" s="6">
        <f t="shared" si="565"/>
        <v>5500</v>
      </c>
    </row>
    <row r="965" spans="1:258" ht="21.95" customHeight="1" x14ac:dyDescent="0.25">
      <c r="A965" s="40" t="s">
        <v>1331</v>
      </c>
      <c r="B965" s="8" t="s">
        <v>707</v>
      </c>
      <c r="C965" s="2">
        <f t="shared" si="567"/>
        <v>1611500</v>
      </c>
      <c r="D965" s="3">
        <f t="shared" si="562"/>
        <v>0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4">
        <v>0</v>
      </c>
      <c r="L965" s="3">
        <v>0</v>
      </c>
      <c r="M965" s="3">
        <v>293</v>
      </c>
      <c r="N965" s="3">
        <f t="shared" si="573"/>
        <v>1611500</v>
      </c>
      <c r="O965" s="3">
        <v>0</v>
      </c>
      <c r="P965" s="3">
        <v>0</v>
      </c>
      <c r="Q965" s="5">
        <v>0</v>
      </c>
      <c r="R965" s="3">
        <f t="shared" si="564"/>
        <v>0</v>
      </c>
      <c r="S965" s="3">
        <v>0</v>
      </c>
      <c r="T965" s="5">
        <v>0</v>
      </c>
      <c r="U965" s="3">
        <v>0</v>
      </c>
      <c r="V965" s="6">
        <f t="shared" si="565"/>
        <v>5500</v>
      </c>
    </row>
    <row r="966" spans="1:258" ht="21.95" customHeight="1" x14ac:dyDescent="0.25">
      <c r="A966" s="40" t="s">
        <v>1332</v>
      </c>
      <c r="B966" s="23" t="s">
        <v>827</v>
      </c>
      <c r="C966" s="2">
        <f t="shared" si="567"/>
        <v>5694087.5</v>
      </c>
      <c r="D966" s="3">
        <f t="shared" si="562"/>
        <v>1286037.5</v>
      </c>
      <c r="E966" s="3">
        <f>350*547.25</f>
        <v>191537.5</v>
      </c>
      <c r="F966" s="3">
        <f>1050*547.25</f>
        <v>574612.5</v>
      </c>
      <c r="G966" s="3">
        <f>300*547.25</f>
        <v>164175</v>
      </c>
      <c r="H966" s="3">
        <f>400*547.25</f>
        <v>218900</v>
      </c>
      <c r="I966" s="3">
        <f>250*547.25</f>
        <v>136812.5</v>
      </c>
      <c r="J966" s="3">
        <v>0</v>
      </c>
      <c r="K966" s="4">
        <v>0</v>
      </c>
      <c r="L966" s="3">
        <v>0</v>
      </c>
      <c r="M966" s="5">
        <v>493.1</v>
      </c>
      <c r="N966" s="3">
        <f t="shared" si="573"/>
        <v>2712050</v>
      </c>
      <c r="O966" s="3">
        <v>0</v>
      </c>
      <c r="P966" s="3">
        <v>0</v>
      </c>
      <c r="Q966" s="3">
        <v>532</v>
      </c>
      <c r="R966" s="3">
        <f t="shared" si="564"/>
        <v>1596000</v>
      </c>
      <c r="S966" s="3">
        <v>0</v>
      </c>
      <c r="T966" s="5">
        <v>0</v>
      </c>
      <c r="U966" s="3">
        <v>100000</v>
      </c>
      <c r="V966" s="6">
        <f t="shared" si="565"/>
        <v>5500</v>
      </c>
    </row>
    <row r="967" spans="1:258" ht="21.95" customHeight="1" x14ac:dyDescent="0.25">
      <c r="A967" s="40" t="s">
        <v>1333</v>
      </c>
      <c r="B967" s="8" t="s">
        <v>787</v>
      </c>
      <c r="C967" s="2">
        <f t="shared" si="567"/>
        <v>1677500</v>
      </c>
      <c r="D967" s="3">
        <f t="shared" si="562"/>
        <v>0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4">
        <v>0</v>
      </c>
      <c r="L967" s="3">
        <v>0</v>
      </c>
      <c r="M967" s="3">
        <v>305</v>
      </c>
      <c r="N967" s="3">
        <f t="shared" si="573"/>
        <v>1677500</v>
      </c>
      <c r="O967" s="3">
        <v>0</v>
      </c>
      <c r="P967" s="3">
        <v>0</v>
      </c>
      <c r="Q967" s="5">
        <v>0</v>
      </c>
      <c r="R967" s="3">
        <f t="shared" si="564"/>
        <v>0</v>
      </c>
      <c r="S967" s="3">
        <v>0</v>
      </c>
      <c r="T967" s="5">
        <v>0</v>
      </c>
      <c r="U967" s="3">
        <v>0</v>
      </c>
      <c r="V967" s="6">
        <f t="shared" si="565"/>
        <v>5500</v>
      </c>
    </row>
    <row r="968" spans="1:258" ht="21.95" customHeight="1" x14ac:dyDescent="0.25">
      <c r="A968" s="40" t="s">
        <v>1334</v>
      </c>
      <c r="B968" s="8" t="s">
        <v>788</v>
      </c>
      <c r="C968" s="2">
        <f t="shared" si="567"/>
        <v>1415699.9999999998</v>
      </c>
      <c r="D968" s="3">
        <f t="shared" si="562"/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4">
        <v>0</v>
      </c>
      <c r="L968" s="3">
        <v>0</v>
      </c>
      <c r="M968" s="3">
        <v>257.39999999999998</v>
      </c>
      <c r="N968" s="3">
        <f t="shared" ref="N968:N976" si="574">M968*5500</f>
        <v>1415699.9999999998</v>
      </c>
      <c r="O968" s="3">
        <v>0</v>
      </c>
      <c r="P968" s="3">
        <v>0</v>
      </c>
      <c r="Q968" s="5">
        <v>0</v>
      </c>
      <c r="R968" s="3">
        <f t="shared" si="564"/>
        <v>0</v>
      </c>
      <c r="S968" s="3">
        <v>0</v>
      </c>
      <c r="T968" s="5">
        <v>0</v>
      </c>
      <c r="U968" s="3">
        <v>0</v>
      </c>
      <c r="V968" s="6">
        <f t="shared" si="565"/>
        <v>5500</v>
      </c>
    </row>
    <row r="969" spans="1:258" ht="21.95" customHeight="1" x14ac:dyDescent="0.25">
      <c r="A969" s="40" t="s">
        <v>1335</v>
      </c>
      <c r="B969" s="8" t="s">
        <v>789</v>
      </c>
      <c r="C969" s="2">
        <f t="shared" si="567"/>
        <v>21761490</v>
      </c>
      <c r="D969" s="3">
        <f t="shared" si="562"/>
        <v>18220490</v>
      </c>
      <c r="E969" s="3">
        <f>350*7753.4</f>
        <v>2713690</v>
      </c>
      <c r="F969" s="3">
        <f>1050*7753.4</f>
        <v>8141070</v>
      </c>
      <c r="G969" s="3">
        <f>300*7753.4</f>
        <v>2326020</v>
      </c>
      <c r="H969" s="3">
        <f>400*7753.4</f>
        <v>3101360</v>
      </c>
      <c r="I969" s="3">
        <f>250*7753.4</f>
        <v>1938350</v>
      </c>
      <c r="J969" s="3">
        <v>0</v>
      </c>
      <c r="K969" s="4">
        <v>0</v>
      </c>
      <c r="L969" s="3">
        <v>0</v>
      </c>
      <c r="M969" s="3">
        <v>438</v>
      </c>
      <c r="N969" s="3">
        <f t="shared" si="574"/>
        <v>2409000</v>
      </c>
      <c r="O969" s="3">
        <v>0</v>
      </c>
      <c r="P969" s="3">
        <v>0</v>
      </c>
      <c r="Q969" s="3">
        <v>344</v>
      </c>
      <c r="R969" s="3">
        <f t="shared" si="564"/>
        <v>1032000</v>
      </c>
      <c r="S969" s="3">
        <v>0</v>
      </c>
      <c r="T969" s="5">
        <v>0</v>
      </c>
      <c r="U969" s="3">
        <v>100000</v>
      </c>
      <c r="V969" s="6">
        <f t="shared" si="565"/>
        <v>5500</v>
      </c>
    </row>
    <row r="970" spans="1:258" s="28" customFormat="1" ht="21.95" customHeight="1" x14ac:dyDescent="0.25">
      <c r="A970" s="40" t="s">
        <v>1336</v>
      </c>
      <c r="B970" s="8" t="s">
        <v>708</v>
      </c>
      <c r="C970" s="2">
        <f t="shared" si="567"/>
        <v>1418449.9999999998</v>
      </c>
      <c r="D970" s="3">
        <f t="shared" si="562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4">
        <v>0</v>
      </c>
      <c r="L970" s="3">
        <v>0</v>
      </c>
      <c r="M970" s="3">
        <v>257.89999999999998</v>
      </c>
      <c r="N970" s="3">
        <f t="shared" si="574"/>
        <v>1418449.9999999998</v>
      </c>
      <c r="O970" s="3">
        <v>0</v>
      </c>
      <c r="P970" s="3">
        <v>0</v>
      </c>
      <c r="Q970" s="5">
        <v>0</v>
      </c>
      <c r="R970" s="3">
        <f t="shared" si="564"/>
        <v>0</v>
      </c>
      <c r="S970" s="3">
        <v>0</v>
      </c>
      <c r="T970" s="5">
        <v>0</v>
      </c>
      <c r="U970" s="3">
        <v>0</v>
      </c>
      <c r="V970" s="6">
        <f t="shared" si="565"/>
        <v>5500</v>
      </c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7"/>
      <c r="DO970" s="7"/>
      <c r="DP970" s="7"/>
      <c r="DQ970" s="7"/>
      <c r="DR970" s="7"/>
      <c r="DS970" s="7"/>
      <c r="DT970" s="7"/>
      <c r="DU970" s="7"/>
      <c r="DV970" s="7"/>
      <c r="DW970" s="7"/>
      <c r="DX970" s="7"/>
      <c r="DY970" s="7"/>
      <c r="DZ970" s="7"/>
      <c r="EA970" s="7"/>
      <c r="EB970" s="7"/>
      <c r="EC970" s="7"/>
      <c r="ED970" s="7"/>
      <c r="EE970" s="7"/>
      <c r="EF970" s="7"/>
      <c r="EG970" s="7"/>
      <c r="EH970" s="7"/>
      <c r="EI970" s="7"/>
      <c r="EJ970" s="7"/>
      <c r="EK970" s="7"/>
      <c r="EL970" s="7"/>
      <c r="EM970" s="7"/>
      <c r="EN970" s="7"/>
      <c r="EO970" s="7"/>
      <c r="EP970" s="7"/>
      <c r="EQ970" s="7"/>
      <c r="ER970" s="7"/>
      <c r="ES970" s="7"/>
      <c r="ET970" s="7"/>
      <c r="EU970" s="7"/>
      <c r="EV970" s="7"/>
      <c r="EW970" s="7"/>
      <c r="EX970" s="7"/>
      <c r="EY970" s="7"/>
      <c r="EZ970" s="7"/>
      <c r="FA970" s="7"/>
      <c r="FB970" s="7"/>
      <c r="FC970" s="7"/>
      <c r="FD970" s="7"/>
      <c r="FE970" s="7"/>
      <c r="FF970" s="7"/>
      <c r="FG970" s="7"/>
      <c r="FH970" s="7"/>
      <c r="FI970" s="7"/>
      <c r="FJ970" s="7"/>
      <c r="FK970" s="7"/>
      <c r="FL970" s="7"/>
      <c r="FM970" s="7"/>
      <c r="FN970" s="7"/>
      <c r="FO970" s="7"/>
      <c r="FP970" s="7"/>
      <c r="FQ970" s="7"/>
      <c r="FR970" s="7"/>
      <c r="FS970" s="7"/>
      <c r="FT970" s="7"/>
      <c r="FU970" s="7"/>
      <c r="FV970" s="7"/>
      <c r="FW970" s="7"/>
      <c r="FX970" s="7"/>
      <c r="FY970" s="7"/>
      <c r="FZ970" s="7"/>
      <c r="GA970" s="7"/>
      <c r="GB970" s="7"/>
      <c r="GC970" s="7"/>
      <c r="GD970" s="7"/>
      <c r="GE970" s="7"/>
      <c r="GF970" s="7"/>
      <c r="GG970" s="7"/>
      <c r="GH970" s="7"/>
      <c r="GI970" s="7"/>
      <c r="GJ970" s="7"/>
      <c r="GK970" s="7"/>
      <c r="GL970" s="7"/>
      <c r="GM970" s="7"/>
      <c r="GN970" s="7"/>
      <c r="GO970" s="7"/>
      <c r="GP970" s="7"/>
      <c r="GQ970" s="7"/>
      <c r="GR970" s="7"/>
      <c r="GS970" s="7"/>
      <c r="GT970" s="7"/>
      <c r="GU970" s="7"/>
      <c r="GV970" s="7"/>
      <c r="GW970" s="7"/>
      <c r="GX970" s="7"/>
      <c r="GY970" s="7"/>
      <c r="GZ970" s="7"/>
      <c r="HA970" s="7"/>
      <c r="HB970" s="7"/>
      <c r="HC970" s="7"/>
      <c r="HD970" s="7"/>
      <c r="HE970" s="7"/>
      <c r="HF970" s="7"/>
      <c r="HG970" s="7"/>
      <c r="HH970" s="7"/>
      <c r="HI970" s="7"/>
      <c r="HJ970" s="7"/>
      <c r="HK970" s="7"/>
      <c r="HL970" s="7"/>
      <c r="HM970" s="7"/>
      <c r="HN970" s="7"/>
      <c r="HO970" s="7"/>
      <c r="HP970" s="7"/>
      <c r="HQ970" s="7"/>
      <c r="HR970" s="7"/>
      <c r="HS970" s="7"/>
      <c r="HT970" s="7"/>
      <c r="HU970" s="7"/>
      <c r="HV970" s="7"/>
      <c r="HW970" s="7"/>
      <c r="HX970" s="7"/>
      <c r="HY970" s="7"/>
      <c r="HZ970" s="7"/>
      <c r="IA970" s="7"/>
      <c r="IB970" s="7"/>
      <c r="IC970" s="7"/>
      <c r="ID970" s="7"/>
      <c r="IE970" s="7"/>
      <c r="IF970" s="7"/>
      <c r="IG970" s="7"/>
      <c r="IH970" s="7"/>
      <c r="II970" s="7"/>
      <c r="IJ970" s="7"/>
      <c r="IK970" s="7"/>
      <c r="IL970" s="7"/>
      <c r="IM970" s="7"/>
      <c r="IN970" s="7"/>
      <c r="IO970" s="7"/>
      <c r="IP970" s="7"/>
      <c r="IQ970" s="7"/>
      <c r="IR970" s="7"/>
      <c r="IS970" s="7"/>
      <c r="IT970" s="7"/>
      <c r="IU970" s="7"/>
      <c r="IV970" s="7"/>
      <c r="IW970" s="7"/>
      <c r="IX970" s="7"/>
    </row>
    <row r="971" spans="1:258" ht="21.95" customHeight="1" x14ac:dyDescent="0.25">
      <c r="A971" s="40" t="s">
        <v>1337</v>
      </c>
      <c r="B971" s="8" t="s">
        <v>709</v>
      </c>
      <c r="C971" s="2">
        <f t="shared" si="567"/>
        <v>1408000</v>
      </c>
      <c r="D971" s="3">
        <f t="shared" si="562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4">
        <v>0</v>
      </c>
      <c r="L971" s="3">
        <v>0</v>
      </c>
      <c r="M971" s="3">
        <v>256</v>
      </c>
      <c r="N971" s="3">
        <f t="shared" si="574"/>
        <v>1408000</v>
      </c>
      <c r="O971" s="3">
        <v>0</v>
      </c>
      <c r="P971" s="3">
        <v>0</v>
      </c>
      <c r="Q971" s="5">
        <v>0</v>
      </c>
      <c r="R971" s="3">
        <f t="shared" si="564"/>
        <v>0</v>
      </c>
      <c r="S971" s="3">
        <v>0</v>
      </c>
      <c r="T971" s="5">
        <v>0</v>
      </c>
      <c r="U971" s="3">
        <v>0</v>
      </c>
      <c r="V971" s="6">
        <f t="shared" si="565"/>
        <v>5500</v>
      </c>
    </row>
    <row r="972" spans="1:258" ht="21.95" customHeight="1" x14ac:dyDescent="0.25">
      <c r="A972" s="40" t="s">
        <v>1338</v>
      </c>
      <c r="B972" s="23" t="s">
        <v>790</v>
      </c>
      <c r="C972" s="2">
        <f t="shared" si="567"/>
        <v>2695000</v>
      </c>
      <c r="D972" s="3">
        <f t="shared" si="562"/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4">
        <v>0</v>
      </c>
      <c r="L972" s="3">
        <v>0</v>
      </c>
      <c r="M972" s="3">
        <v>490</v>
      </c>
      <c r="N972" s="3">
        <f t="shared" si="574"/>
        <v>2695000</v>
      </c>
      <c r="O972" s="3">
        <v>0</v>
      </c>
      <c r="P972" s="3">
        <v>0</v>
      </c>
      <c r="Q972" s="5">
        <v>0</v>
      </c>
      <c r="R972" s="3">
        <f t="shared" si="564"/>
        <v>0</v>
      </c>
      <c r="S972" s="3">
        <v>0</v>
      </c>
      <c r="T972" s="5">
        <v>0</v>
      </c>
      <c r="U972" s="3">
        <v>0</v>
      </c>
      <c r="V972" s="6">
        <f t="shared" si="565"/>
        <v>5500</v>
      </c>
    </row>
    <row r="973" spans="1:258" ht="21.95" customHeight="1" x14ac:dyDescent="0.25">
      <c r="A973" s="40" t="s">
        <v>1339</v>
      </c>
      <c r="B973" s="8" t="s">
        <v>710</v>
      </c>
      <c r="C973" s="2">
        <f t="shared" si="567"/>
        <v>2881450</v>
      </c>
      <c r="D973" s="3">
        <f t="shared" si="562"/>
        <v>0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4">
        <v>0</v>
      </c>
      <c r="L973" s="3">
        <v>0</v>
      </c>
      <c r="M973" s="3">
        <v>523.9</v>
      </c>
      <c r="N973" s="3">
        <f t="shared" si="574"/>
        <v>2881450</v>
      </c>
      <c r="O973" s="3">
        <v>0</v>
      </c>
      <c r="P973" s="3">
        <v>0</v>
      </c>
      <c r="Q973" s="5">
        <v>0</v>
      </c>
      <c r="R973" s="3">
        <f t="shared" si="564"/>
        <v>0</v>
      </c>
      <c r="S973" s="3">
        <v>0</v>
      </c>
      <c r="T973" s="5">
        <v>0</v>
      </c>
      <c r="U973" s="3">
        <v>0</v>
      </c>
      <c r="V973" s="6">
        <f t="shared" si="565"/>
        <v>5500</v>
      </c>
    </row>
    <row r="974" spans="1:258" ht="21.95" customHeight="1" x14ac:dyDescent="0.25">
      <c r="A974" s="40" t="s">
        <v>1340</v>
      </c>
      <c r="B974" s="8" t="s">
        <v>791</v>
      </c>
      <c r="C974" s="2">
        <f t="shared" si="567"/>
        <v>3140500</v>
      </c>
      <c r="D974" s="3">
        <f t="shared" si="562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4">
        <v>0</v>
      </c>
      <c r="L974" s="3">
        <v>0</v>
      </c>
      <c r="M974" s="3">
        <v>571</v>
      </c>
      <c r="N974" s="3">
        <f t="shared" si="574"/>
        <v>3140500</v>
      </c>
      <c r="O974" s="3">
        <v>0</v>
      </c>
      <c r="P974" s="3">
        <v>0</v>
      </c>
      <c r="Q974" s="5">
        <v>0</v>
      </c>
      <c r="R974" s="3">
        <f t="shared" si="564"/>
        <v>0</v>
      </c>
      <c r="S974" s="3">
        <v>0</v>
      </c>
      <c r="T974" s="5">
        <v>0</v>
      </c>
      <c r="U974" s="3">
        <v>0</v>
      </c>
      <c r="V974" s="6">
        <f t="shared" si="565"/>
        <v>5500</v>
      </c>
    </row>
    <row r="975" spans="1:258" s="29" customFormat="1" ht="21.95" customHeight="1" x14ac:dyDescent="0.25">
      <c r="A975" s="40" t="s">
        <v>1341</v>
      </c>
      <c r="B975" s="8" t="s">
        <v>711</v>
      </c>
      <c r="C975" s="2">
        <f t="shared" si="567"/>
        <v>2743950</v>
      </c>
      <c r="D975" s="3">
        <f t="shared" si="562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4">
        <v>0</v>
      </c>
      <c r="L975" s="3">
        <v>0</v>
      </c>
      <c r="M975" s="3">
        <v>498.9</v>
      </c>
      <c r="N975" s="3">
        <f t="shared" si="574"/>
        <v>2743950</v>
      </c>
      <c r="O975" s="3">
        <v>0</v>
      </c>
      <c r="P975" s="3">
        <v>0</v>
      </c>
      <c r="Q975" s="5">
        <v>0</v>
      </c>
      <c r="R975" s="3">
        <f t="shared" si="564"/>
        <v>0</v>
      </c>
      <c r="S975" s="3">
        <v>0</v>
      </c>
      <c r="T975" s="5">
        <v>0</v>
      </c>
      <c r="U975" s="3">
        <v>0</v>
      </c>
      <c r="V975" s="6">
        <f t="shared" si="565"/>
        <v>5500</v>
      </c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  <c r="CU975" s="7"/>
      <c r="CV975" s="7"/>
      <c r="CW975" s="7"/>
      <c r="CX975" s="7"/>
      <c r="CY975" s="7"/>
      <c r="CZ975" s="7"/>
      <c r="DA975" s="7"/>
      <c r="DB975" s="7"/>
      <c r="DC975" s="7"/>
      <c r="DD975" s="7"/>
      <c r="DE975" s="7"/>
      <c r="DF975" s="7"/>
      <c r="DG975" s="7"/>
      <c r="DH975" s="7"/>
      <c r="DI975" s="7"/>
      <c r="DJ975" s="7"/>
      <c r="DK975" s="7"/>
      <c r="DL975" s="7"/>
      <c r="DM975" s="7"/>
      <c r="DN975" s="7"/>
      <c r="DO975" s="7"/>
      <c r="DP975" s="7"/>
      <c r="DQ975" s="7"/>
      <c r="DR975" s="7"/>
      <c r="DS975" s="7"/>
      <c r="DT975" s="7"/>
      <c r="DU975" s="7"/>
      <c r="DV975" s="7"/>
      <c r="DW975" s="7"/>
      <c r="DX975" s="7"/>
      <c r="DY975" s="7"/>
      <c r="DZ975" s="7"/>
      <c r="EA975" s="7"/>
      <c r="EB975" s="7"/>
      <c r="EC975" s="7"/>
      <c r="ED975" s="7"/>
      <c r="EE975" s="7"/>
      <c r="EF975" s="7"/>
      <c r="EG975" s="7"/>
      <c r="EH975" s="7"/>
      <c r="EI975" s="7"/>
      <c r="EJ975" s="7"/>
      <c r="EK975" s="7"/>
      <c r="EL975" s="7"/>
      <c r="EM975" s="7"/>
      <c r="EN975" s="7"/>
      <c r="EO975" s="7"/>
      <c r="EP975" s="7"/>
      <c r="EQ975" s="7"/>
      <c r="ER975" s="7"/>
      <c r="ES975" s="7"/>
      <c r="ET975" s="7"/>
      <c r="EU975" s="7"/>
      <c r="EV975" s="7"/>
      <c r="EW975" s="7"/>
      <c r="EX975" s="7"/>
      <c r="EY975" s="7"/>
      <c r="EZ975" s="7"/>
      <c r="FA975" s="7"/>
      <c r="FB975" s="7"/>
      <c r="FC975" s="7"/>
      <c r="FD975" s="7"/>
      <c r="FE975" s="7"/>
      <c r="FF975" s="7"/>
      <c r="FG975" s="7"/>
      <c r="FH975" s="7"/>
      <c r="FI975" s="7"/>
      <c r="FJ975" s="7"/>
      <c r="FK975" s="7"/>
      <c r="FL975" s="7"/>
      <c r="FM975" s="7"/>
      <c r="FN975" s="7"/>
      <c r="FO975" s="7"/>
      <c r="FP975" s="7"/>
      <c r="FQ975" s="7"/>
      <c r="FR975" s="7"/>
      <c r="FS975" s="7"/>
      <c r="FT975" s="7"/>
      <c r="FU975" s="7"/>
      <c r="FV975" s="7"/>
      <c r="FW975" s="7"/>
      <c r="FX975" s="7"/>
      <c r="FY975" s="7"/>
      <c r="FZ975" s="7"/>
      <c r="GA975" s="7"/>
      <c r="GB975" s="7"/>
      <c r="GC975" s="7"/>
      <c r="GD975" s="7"/>
      <c r="GE975" s="7"/>
      <c r="GF975" s="7"/>
      <c r="GG975" s="7"/>
      <c r="GH975" s="7"/>
      <c r="GI975" s="7"/>
      <c r="GJ975" s="7"/>
      <c r="GK975" s="7"/>
      <c r="GL975" s="7"/>
      <c r="GM975" s="7"/>
      <c r="GN975" s="7"/>
      <c r="GO975" s="7"/>
      <c r="GP975" s="7"/>
      <c r="GQ975" s="7"/>
      <c r="GR975" s="7"/>
      <c r="GS975" s="7"/>
      <c r="GT975" s="7"/>
      <c r="GU975" s="7"/>
      <c r="GV975" s="7"/>
      <c r="GW975" s="7"/>
      <c r="GX975" s="7"/>
      <c r="GY975" s="7"/>
      <c r="GZ975" s="7"/>
      <c r="HA975" s="7"/>
      <c r="HB975" s="7"/>
      <c r="HC975" s="7"/>
      <c r="HD975" s="7"/>
      <c r="HE975" s="7"/>
      <c r="HF975" s="7"/>
      <c r="HG975" s="7"/>
      <c r="HH975" s="7"/>
      <c r="HI975" s="7"/>
      <c r="HJ975" s="7"/>
      <c r="HK975" s="7"/>
      <c r="HL975" s="7"/>
      <c r="HM975" s="7"/>
      <c r="HN975" s="7"/>
      <c r="HO975" s="7"/>
      <c r="HP975" s="7"/>
      <c r="HQ975" s="7"/>
      <c r="HR975" s="7"/>
      <c r="HS975" s="7"/>
      <c r="HT975" s="7"/>
      <c r="HU975" s="7"/>
      <c r="HV975" s="7"/>
      <c r="HW975" s="7"/>
      <c r="HX975" s="7"/>
      <c r="HY975" s="7"/>
      <c r="HZ975" s="7"/>
      <c r="IA975" s="7"/>
      <c r="IB975" s="7"/>
      <c r="IC975" s="7"/>
      <c r="ID975" s="7"/>
      <c r="IE975" s="7"/>
      <c r="IF975" s="7"/>
      <c r="IG975" s="7"/>
      <c r="IH975" s="7"/>
      <c r="II975" s="7"/>
      <c r="IJ975" s="7"/>
      <c r="IK975" s="7"/>
      <c r="IL975" s="7"/>
      <c r="IM975" s="7"/>
      <c r="IN975" s="7"/>
      <c r="IO975" s="7"/>
      <c r="IP975" s="7"/>
      <c r="IQ975" s="7"/>
      <c r="IR975" s="7"/>
      <c r="IS975" s="7"/>
      <c r="IT975" s="7"/>
      <c r="IU975" s="7"/>
      <c r="IV975" s="7"/>
      <c r="IW975" s="7"/>
      <c r="IX975" s="7"/>
    </row>
    <row r="976" spans="1:258" ht="21.95" customHeight="1" x14ac:dyDescent="0.25">
      <c r="A976" s="40" t="s">
        <v>1423</v>
      </c>
      <c r="B976" s="8" t="s">
        <v>712</v>
      </c>
      <c r="C976" s="2">
        <f t="shared" si="567"/>
        <v>2743950</v>
      </c>
      <c r="D976" s="3">
        <f t="shared" si="562"/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4">
        <v>0</v>
      </c>
      <c r="L976" s="3">
        <v>0</v>
      </c>
      <c r="M976" s="3">
        <v>498.9</v>
      </c>
      <c r="N976" s="3">
        <f t="shared" si="574"/>
        <v>2743950</v>
      </c>
      <c r="O976" s="3">
        <v>0</v>
      </c>
      <c r="P976" s="3">
        <v>0</v>
      </c>
      <c r="Q976" s="5">
        <v>0</v>
      </c>
      <c r="R976" s="3">
        <f t="shared" si="564"/>
        <v>0</v>
      </c>
      <c r="S976" s="3">
        <v>0</v>
      </c>
      <c r="T976" s="5">
        <v>0</v>
      </c>
      <c r="U976" s="3">
        <v>0</v>
      </c>
      <c r="V976" s="6">
        <f t="shared" si="565"/>
        <v>5500</v>
      </c>
    </row>
    <row r="977" spans="1:258" ht="21.95" customHeight="1" x14ac:dyDescent="0.25">
      <c r="A977" s="40" t="s">
        <v>1424</v>
      </c>
      <c r="B977" s="8" t="s">
        <v>792</v>
      </c>
      <c r="C977" s="2">
        <f t="shared" si="567"/>
        <v>5720000</v>
      </c>
      <c r="D977" s="3">
        <f t="shared" si="562"/>
        <v>0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4">
        <v>0</v>
      </c>
      <c r="L977" s="3">
        <v>0</v>
      </c>
      <c r="M977" s="3">
        <v>1040</v>
      </c>
      <c r="N977" s="3">
        <f t="shared" ref="N977:N983" si="575">M977*5500</f>
        <v>5720000</v>
      </c>
      <c r="O977" s="3">
        <v>0</v>
      </c>
      <c r="P977" s="3">
        <v>0</v>
      </c>
      <c r="Q977" s="5">
        <v>0</v>
      </c>
      <c r="R977" s="3">
        <f t="shared" si="564"/>
        <v>0</v>
      </c>
      <c r="S977" s="3">
        <v>0</v>
      </c>
      <c r="T977" s="5">
        <v>0</v>
      </c>
      <c r="U977" s="3">
        <v>0</v>
      </c>
      <c r="V977" s="6">
        <f t="shared" si="565"/>
        <v>5500</v>
      </c>
    </row>
    <row r="978" spans="1:258" ht="21.95" customHeight="1" x14ac:dyDescent="0.25">
      <c r="A978" s="40" t="s">
        <v>1425</v>
      </c>
      <c r="B978" s="23" t="s">
        <v>794</v>
      </c>
      <c r="C978" s="2">
        <f>D978+L978+N978+P978+R978+S978+T978+U978</f>
        <v>3371500</v>
      </c>
      <c r="D978" s="3">
        <f>SUM(E978:J978)</f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4">
        <v>0</v>
      </c>
      <c r="L978" s="3">
        <v>0</v>
      </c>
      <c r="M978" s="5">
        <v>613</v>
      </c>
      <c r="N978" s="3">
        <f>M978*5500</f>
        <v>3371500</v>
      </c>
      <c r="O978" s="3">
        <v>0</v>
      </c>
      <c r="P978" s="3">
        <v>0</v>
      </c>
      <c r="Q978" s="5">
        <v>0</v>
      </c>
      <c r="R978" s="3">
        <f>Q978*3000</f>
        <v>0</v>
      </c>
      <c r="S978" s="3">
        <v>0</v>
      </c>
      <c r="T978" s="5">
        <v>0</v>
      </c>
      <c r="U978" s="3">
        <v>0</v>
      </c>
      <c r="V978" s="6">
        <f>N978/M978</f>
        <v>5500</v>
      </c>
    </row>
    <row r="979" spans="1:258" ht="21.95" customHeight="1" x14ac:dyDescent="0.25">
      <c r="A979" s="40" t="s">
        <v>1426</v>
      </c>
      <c r="B979" s="23" t="s">
        <v>793</v>
      </c>
      <c r="C979" s="2">
        <f t="shared" si="567"/>
        <v>3602500</v>
      </c>
      <c r="D979" s="3">
        <f t="shared" si="562"/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4">
        <v>0</v>
      </c>
      <c r="L979" s="3">
        <v>0</v>
      </c>
      <c r="M979" s="5">
        <v>655</v>
      </c>
      <c r="N979" s="3">
        <f t="shared" si="575"/>
        <v>3602500</v>
      </c>
      <c r="O979" s="3">
        <v>0</v>
      </c>
      <c r="P979" s="3">
        <v>0</v>
      </c>
      <c r="Q979" s="5">
        <v>0</v>
      </c>
      <c r="R979" s="3">
        <f t="shared" ref="R979:R1045" si="576">Q979*3000</f>
        <v>0</v>
      </c>
      <c r="S979" s="3">
        <v>0</v>
      </c>
      <c r="T979" s="5">
        <v>0</v>
      </c>
      <c r="U979" s="3">
        <v>0</v>
      </c>
      <c r="V979" s="6">
        <f t="shared" ref="V979:V1045" si="577">N979/M979</f>
        <v>5500</v>
      </c>
    </row>
    <row r="980" spans="1:258" ht="21.95" customHeight="1" x14ac:dyDescent="0.25">
      <c r="A980" s="40" t="s">
        <v>1427</v>
      </c>
      <c r="B980" s="24" t="s">
        <v>1179</v>
      </c>
      <c r="C980" s="2">
        <f t="shared" si="567"/>
        <v>9162100</v>
      </c>
      <c r="D980" s="3">
        <f t="shared" ref="D980:D1046" si="578">SUM(E980:J980)</f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3">
        <v>960.7</v>
      </c>
      <c r="N980" s="3">
        <f t="shared" si="575"/>
        <v>5283850</v>
      </c>
      <c r="O980" s="3">
        <v>0</v>
      </c>
      <c r="P980" s="3">
        <v>0</v>
      </c>
      <c r="Q980" s="3">
        <v>1292.75</v>
      </c>
      <c r="R980" s="3">
        <f t="shared" si="576"/>
        <v>3878250</v>
      </c>
      <c r="S980" s="3">
        <v>0</v>
      </c>
      <c r="T980" s="5">
        <v>0</v>
      </c>
      <c r="U980" s="3">
        <v>0</v>
      </c>
      <c r="V980" s="6">
        <f t="shared" si="577"/>
        <v>5500</v>
      </c>
    </row>
    <row r="981" spans="1:258" ht="21.95" customHeight="1" x14ac:dyDescent="0.25">
      <c r="A981" s="40" t="s">
        <v>1428</v>
      </c>
      <c r="B981" s="8" t="s">
        <v>713</v>
      </c>
      <c r="C981" s="2">
        <f t="shared" si="567"/>
        <v>1545500</v>
      </c>
      <c r="D981" s="3">
        <f t="shared" si="578"/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3">
        <v>281</v>
      </c>
      <c r="N981" s="3">
        <f t="shared" si="575"/>
        <v>1545500</v>
      </c>
      <c r="O981" s="3">
        <v>0</v>
      </c>
      <c r="P981" s="3">
        <v>0</v>
      </c>
      <c r="Q981" s="5">
        <v>0</v>
      </c>
      <c r="R981" s="3">
        <f t="shared" si="576"/>
        <v>0</v>
      </c>
      <c r="S981" s="3">
        <v>0</v>
      </c>
      <c r="T981" s="5">
        <v>0</v>
      </c>
      <c r="U981" s="3">
        <v>0</v>
      </c>
      <c r="V981" s="6">
        <f t="shared" si="577"/>
        <v>5500</v>
      </c>
    </row>
    <row r="982" spans="1:258" ht="21.95" customHeight="1" x14ac:dyDescent="0.25">
      <c r="A982" s="40" t="s">
        <v>1429</v>
      </c>
      <c r="B982" s="23" t="s">
        <v>714</v>
      </c>
      <c r="C982" s="2">
        <f t="shared" ref="C982:C1051" si="579">D982+L982+N982+P982+R982+S982+T982+U982</f>
        <v>5954299.9999999991</v>
      </c>
      <c r="D982" s="3">
        <f t="shared" si="578"/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4">
        <v>0</v>
      </c>
      <c r="L982" s="3">
        <v>0</v>
      </c>
      <c r="M982" s="5">
        <v>1082.5999999999999</v>
      </c>
      <c r="N982" s="3">
        <f t="shared" si="575"/>
        <v>5954299.9999999991</v>
      </c>
      <c r="O982" s="3">
        <v>0</v>
      </c>
      <c r="P982" s="3">
        <v>0</v>
      </c>
      <c r="Q982" s="5">
        <v>0</v>
      </c>
      <c r="R982" s="3">
        <f t="shared" si="576"/>
        <v>0</v>
      </c>
      <c r="S982" s="3">
        <v>0</v>
      </c>
      <c r="T982" s="5">
        <v>0</v>
      </c>
      <c r="U982" s="3">
        <v>0</v>
      </c>
      <c r="V982" s="6">
        <f t="shared" si="577"/>
        <v>5500</v>
      </c>
    </row>
    <row r="983" spans="1:258" ht="21.95" customHeight="1" x14ac:dyDescent="0.25">
      <c r="A983" s="40" t="s">
        <v>1430</v>
      </c>
      <c r="B983" s="8" t="s">
        <v>797</v>
      </c>
      <c r="C983" s="2">
        <f t="shared" si="579"/>
        <v>2952950</v>
      </c>
      <c r="D983" s="3">
        <f t="shared" si="578"/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4">
        <v>0</v>
      </c>
      <c r="L983" s="3">
        <v>0</v>
      </c>
      <c r="M983" s="5">
        <v>536.9</v>
      </c>
      <c r="N983" s="3">
        <f t="shared" si="575"/>
        <v>2952950</v>
      </c>
      <c r="O983" s="3">
        <v>0</v>
      </c>
      <c r="P983" s="3">
        <v>0</v>
      </c>
      <c r="Q983" s="5">
        <v>0</v>
      </c>
      <c r="R983" s="3">
        <f t="shared" si="576"/>
        <v>0</v>
      </c>
      <c r="S983" s="3">
        <v>0</v>
      </c>
      <c r="T983" s="5">
        <v>0</v>
      </c>
      <c r="U983" s="3">
        <v>0</v>
      </c>
      <c r="V983" s="6">
        <f t="shared" si="577"/>
        <v>5500</v>
      </c>
    </row>
    <row r="984" spans="1:258" s="17" customFormat="1" ht="21.95" customHeight="1" x14ac:dyDescent="0.25">
      <c r="A984" s="40" t="s">
        <v>1431</v>
      </c>
      <c r="B984" s="8" t="s">
        <v>795</v>
      </c>
      <c r="C984" s="2">
        <f>D984+L984+N984+P984+R984+S984+T984+U984</f>
        <v>5953200.0000000009</v>
      </c>
      <c r="D984" s="3">
        <f>SUM(E984:J984)</f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5">
        <v>1082.4000000000001</v>
      </c>
      <c r="N984" s="3">
        <f>M984*5500</f>
        <v>5953200.0000000009</v>
      </c>
      <c r="O984" s="3">
        <v>0</v>
      </c>
      <c r="P984" s="3">
        <v>0</v>
      </c>
      <c r="Q984" s="5">
        <v>0</v>
      </c>
      <c r="R984" s="3">
        <f>Q984*3000</f>
        <v>0</v>
      </c>
      <c r="S984" s="3">
        <v>0</v>
      </c>
      <c r="T984" s="5">
        <v>0</v>
      </c>
      <c r="U984" s="3">
        <v>0</v>
      </c>
      <c r="V984" s="6">
        <f>N984/M984</f>
        <v>5500</v>
      </c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7"/>
      <c r="CR984" s="7"/>
      <c r="CS984" s="7"/>
      <c r="CT984" s="7"/>
      <c r="CU984" s="7"/>
      <c r="CV984" s="7"/>
      <c r="CW984" s="7"/>
      <c r="CX984" s="7"/>
      <c r="CY984" s="7"/>
      <c r="CZ984" s="7"/>
      <c r="DA984" s="7"/>
      <c r="DB984" s="7"/>
      <c r="DC984" s="7"/>
      <c r="DD984" s="7"/>
      <c r="DE984" s="7"/>
      <c r="DF984" s="7"/>
      <c r="DG984" s="7"/>
      <c r="DH984" s="7"/>
      <c r="DI984" s="7"/>
      <c r="DJ984" s="7"/>
      <c r="DK984" s="7"/>
      <c r="DL984" s="7"/>
      <c r="DM984" s="7"/>
      <c r="DN984" s="7"/>
      <c r="DO984" s="7"/>
      <c r="DP984" s="7"/>
      <c r="DQ984" s="7"/>
      <c r="DR984" s="7"/>
      <c r="DS984" s="7"/>
      <c r="DT984" s="7"/>
      <c r="DU984" s="7"/>
      <c r="DV984" s="7"/>
      <c r="DW984" s="7"/>
      <c r="DX984" s="7"/>
      <c r="DY984" s="7"/>
      <c r="DZ984" s="7"/>
      <c r="EA984" s="7"/>
      <c r="EB984" s="7"/>
      <c r="EC984" s="7"/>
      <c r="ED984" s="7"/>
      <c r="EE984" s="7"/>
      <c r="EF984" s="7"/>
      <c r="EG984" s="7"/>
      <c r="EH984" s="7"/>
      <c r="EI984" s="7"/>
      <c r="EJ984" s="7"/>
      <c r="EK984" s="7"/>
      <c r="EL984" s="7"/>
      <c r="EM984" s="7"/>
      <c r="EN984" s="7"/>
      <c r="EO984" s="7"/>
      <c r="EP984" s="7"/>
      <c r="EQ984" s="7"/>
      <c r="ER984" s="7"/>
      <c r="ES984" s="7"/>
      <c r="ET984" s="7"/>
      <c r="EU984" s="7"/>
      <c r="EV984" s="7"/>
      <c r="EW984" s="7"/>
      <c r="EX984" s="7"/>
      <c r="EY984" s="7"/>
      <c r="EZ984" s="7"/>
      <c r="FA984" s="7"/>
      <c r="FB984" s="7"/>
      <c r="FC984" s="7"/>
      <c r="FD984" s="7"/>
      <c r="FE984" s="7"/>
      <c r="FF984" s="7"/>
      <c r="FG984" s="7"/>
      <c r="FH984" s="7"/>
      <c r="FI984" s="7"/>
      <c r="FJ984" s="7"/>
      <c r="FK984" s="7"/>
      <c r="FL984" s="7"/>
      <c r="FM984" s="7"/>
      <c r="FN984" s="7"/>
      <c r="FO984" s="7"/>
      <c r="FP984" s="7"/>
      <c r="FQ984" s="7"/>
      <c r="FR984" s="7"/>
      <c r="FS984" s="7"/>
      <c r="FT984" s="7"/>
      <c r="FU984" s="7"/>
      <c r="FV984" s="7"/>
      <c r="FW984" s="7"/>
      <c r="FX984" s="7"/>
      <c r="FY984" s="7"/>
      <c r="FZ984" s="7"/>
      <c r="GA984" s="7"/>
      <c r="GB984" s="7"/>
      <c r="GC984" s="7"/>
      <c r="GD984" s="7"/>
      <c r="GE984" s="7"/>
      <c r="GF984" s="7"/>
      <c r="GG984" s="7"/>
      <c r="GH984" s="7"/>
      <c r="GI984" s="7"/>
      <c r="GJ984" s="7"/>
      <c r="GK984" s="7"/>
      <c r="GL984" s="7"/>
      <c r="GM984" s="7"/>
      <c r="GN984" s="7"/>
      <c r="GO984" s="7"/>
      <c r="GP984" s="7"/>
      <c r="GQ984" s="7"/>
      <c r="GR984" s="7"/>
      <c r="GS984" s="7"/>
      <c r="GT984" s="7"/>
      <c r="GU984" s="7"/>
      <c r="GV984" s="7"/>
      <c r="GW984" s="7"/>
      <c r="GX984" s="7"/>
      <c r="GY984" s="7"/>
      <c r="GZ984" s="7"/>
      <c r="HA984" s="7"/>
      <c r="HB984" s="7"/>
      <c r="HC984" s="7"/>
      <c r="HD984" s="7"/>
      <c r="HE984" s="7"/>
      <c r="HF984" s="7"/>
      <c r="HG984" s="7"/>
      <c r="HH984" s="7"/>
      <c r="HI984" s="7"/>
      <c r="HJ984" s="7"/>
      <c r="HK984" s="7"/>
      <c r="HL984" s="7"/>
      <c r="HM984" s="7"/>
      <c r="HN984" s="7"/>
      <c r="HO984" s="7"/>
      <c r="HP984" s="7"/>
      <c r="HQ984" s="7"/>
      <c r="HR984" s="7"/>
      <c r="HS984" s="7"/>
      <c r="HT984" s="7"/>
      <c r="HU984" s="7"/>
      <c r="HV984" s="7"/>
      <c r="HW984" s="7"/>
      <c r="HX984" s="7"/>
      <c r="HY984" s="7"/>
      <c r="HZ984" s="7"/>
      <c r="IA984" s="7"/>
      <c r="IB984" s="7"/>
      <c r="IC984" s="7"/>
      <c r="ID984" s="7"/>
      <c r="IE984" s="7"/>
      <c r="IF984" s="7"/>
      <c r="IG984" s="7"/>
      <c r="IH984" s="7"/>
      <c r="II984" s="7"/>
      <c r="IJ984" s="7"/>
      <c r="IK984" s="7"/>
      <c r="IL984" s="7"/>
      <c r="IM984" s="7"/>
      <c r="IN984" s="7"/>
      <c r="IO984" s="7"/>
      <c r="IP984" s="7"/>
      <c r="IQ984" s="7"/>
      <c r="IR984" s="7"/>
      <c r="IS984" s="7"/>
      <c r="IT984" s="7"/>
      <c r="IU984" s="7"/>
      <c r="IV984" s="7"/>
      <c r="IW984" s="7"/>
      <c r="IX984" s="7"/>
    </row>
    <row r="985" spans="1:258" ht="21.95" customHeight="1" x14ac:dyDescent="0.25">
      <c r="A985" s="40" t="s">
        <v>1432</v>
      </c>
      <c r="B985" s="8" t="s">
        <v>715</v>
      </c>
      <c r="C985" s="2">
        <f t="shared" si="579"/>
        <v>3045350.0000000005</v>
      </c>
      <c r="D985" s="3">
        <f t="shared" si="578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3">
        <v>553.70000000000005</v>
      </c>
      <c r="N985" s="3">
        <f t="shared" ref="N985:N993" si="580">M985*5500</f>
        <v>3045350.0000000005</v>
      </c>
      <c r="O985" s="3">
        <v>0</v>
      </c>
      <c r="P985" s="3">
        <v>0</v>
      </c>
      <c r="Q985" s="5">
        <v>0</v>
      </c>
      <c r="R985" s="3">
        <f t="shared" si="576"/>
        <v>0</v>
      </c>
      <c r="S985" s="3">
        <v>0</v>
      </c>
      <c r="T985" s="5">
        <v>0</v>
      </c>
      <c r="U985" s="3">
        <v>0</v>
      </c>
      <c r="V985" s="6">
        <f t="shared" si="577"/>
        <v>5500</v>
      </c>
    </row>
    <row r="986" spans="1:258" ht="21.95" customHeight="1" x14ac:dyDescent="0.25">
      <c r="A986" s="40" t="s">
        <v>1433</v>
      </c>
      <c r="B986" s="8" t="s">
        <v>718</v>
      </c>
      <c r="C986" s="2">
        <f t="shared" si="579"/>
        <v>2997500</v>
      </c>
      <c r="D986" s="3">
        <f t="shared" si="578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4">
        <v>0</v>
      </c>
      <c r="L986" s="3">
        <v>0</v>
      </c>
      <c r="M986" s="3">
        <v>545</v>
      </c>
      <c r="N986" s="3">
        <f t="shared" si="580"/>
        <v>2997500</v>
      </c>
      <c r="O986" s="3">
        <v>0</v>
      </c>
      <c r="P986" s="3">
        <v>0</v>
      </c>
      <c r="Q986" s="5">
        <v>0</v>
      </c>
      <c r="R986" s="3">
        <f t="shared" si="576"/>
        <v>0</v>
      </c>
      <c r="S986" s="3">
        <v>0</v>
      </c>
      <c r="T986" s="5">
        <v>0</v>
      </c>
      <c r="U986" s="3">
        <v>0</v>
      </c>
      <c r="V986" s="6">
        <f t="shared" si="577"/>
        <v>5500</v>
      </c>
    </row>
    <row r="987" spans="1:258" ht="21.95" customHeight="1" x14ac:dyDescent="0.25">
      <c r="A987" s="40" t="s">
        <v>1434</v>
      </c>
      <c r="B987" s="8" t="s">
        <v>719</v>
      </c>
      <c r="C987" s="2">
        <f t="shared" si="579"/>
        <v>2392500</v>
      </c>
      <c r="D987" s="3">
        <f t="shared" si="578"/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4">
        <v>0</v>
      </c>
      <c r="L987" s="3">
        <v>0</v>
      </c>
      <c r="M987" s="3">
        <v>435</v>
      </c>
      <c r="N987" s="3">
        <f t="shared" si="580"/>
        <v>2392500</v>
      </c>
      <c r="O987" s="3">
        <v>0</v>
      </c>
      <c r="P987" s="3">
        <v>0</v>
      </c>
      <c r="Q987" s="5">
        <v>0</v>
      </c>
      <c r="R987" s="3">
        <f t="shared" si="576"/>
        <v>0</v>
      </c>
      <c r="S987" s="3">
        <v>0</v>
      </c>
      <c r="T987" s="5">
        <v>0</v>
      </c>
      <c r="U987" s="3">
        <v>0</v>
      </c>
      <c r="V987" s="6">
        <f t="shared" si="577"/>
        <v>5500</v>
      </c>
    </row>
    <row r="988" spans="1:258" ht="21.95" customHeight="1" x14ac:dyDescent="0.25">
      <c r="A988" s="40" t="s">
        <v>1435</v>
      </c>
      <c r="B988" s="8" t="s">
        <v>720</v>
      </c>
      <c r="C988" s="2">
        <f t="shared" si="579"/>
        <v>3247200</v>
      </c>
      <c r="D988" s="3">
        <f t="shared" si="578"/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5">
        <v>590.4</v>
      </c>
      <c r="N988" s="3">
        <f t="shared" si="580"/>
        <v>3247200</v>
      </c>
      <c r="O988" s="3">
        <v>0</v>
      </c>
      <c r="P988" s="3">
        <v>0</v>
      </c>
      <c r="Q988" s="5">
        <v>0</v>
      </c>
      <c r="R988" s="3">
        <f t="shared" si="576"/>
        <v>0</v>
      </c>
      <c r="S988" s="3">
        <v>0</v>
      </c>
      <c r="T988" s="5">
        <v>0</v>
      </c>
      <c r="U988" s="3">
        <v>0</v>
      </c>
      <c r="V988" s="6">
        <f t="shared" si="577"/>
        <v>5500</v>
      </c>
    </row>
    <row r="989" spans="1:258" ht="21.95" customHeight="1" x14ac:dyDescent="0.25">
      <c r="A989" s="40" t="s">
        <v>1436</v>
      </c>
      <c r="B989" s="8" t="s">
        <v>721</v>
      </c>
      <c r="C989" s="2">
        <f t="shared" si="579"/>
        <v>3011250</v>
      </c>
      <c r="D989" s="3">
        <f t="shared" si="578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3">
        <v>547.5</v>
      </c>
      <c r="N989" s="3">
        <f t="shared" si="580"/>
        <v>3011250</v>
      </c>
      <c r="O989" s="3">
        <v>0</v>
      </c>
      <c r="P989" s="3">
        <v>0</v>
      </c>
      <c r="Q989" s="5">
        <v>0</v>
      </c>
      <c r="R989" s="3">
        <f t="shared" si="576"/>
        <v>0</v>
      </c>
      <c r="S989" s="3">
        <v>0</v>
      </c>
      <c r="T989" s="5">
        <v>0</v>
      </c>
      <c r="U989" s="3">
        <v>0</v>
      </c>
      <c r="V989" s="6">
        <f t="shared" si="577"/>
        <v>5500</v>
      </c>
    </row>
    <row r="990" spans="1:258" ht="21.95" customHeight="1" x14ac:dyDescent="0.25">
      <c r="A990" s="40" t="s">
        <v>1437</v>
      </c>
      <c r="B990" s="8" t="s">
        <v>796</v>
      </c>
      <c r="C990" s="2">
        <f>D990+L990+N990+P990+R990+S990+T990+U990</f>
        <v>2640000</v>
      </c>
      <c r="D990" s="3">
        <f>SUM(E990:J990)</f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5">
        <v>480</v>
      </c>
      <c r="N990" s="3">
        <f>M990*5500</f>
        <v>2640000</v>
      </c>
      <c r="O990" s="3">
        <v>0</v>
      </c>
      <c r="P990" s="3">
        <v>0</v>
      </c>
      <c r="Q990" s="5">
        <v>0</v>
      </c>
      <c r="R990" s="3">
        <f>Q990*3000</f>
        <v>0</v>
      </c>
      <c r="S990" s="3">
        <v>0</v>
      </c>
      <c r="T990" s="5">
        <v>0</v>
      </c>
      <c r="U990" s="3">
        <v>0</v>
      </c>
      <c r="V990" s="6">
        <f>N990/M990</f>
        <v>5500</v>
      </c>
    </row>
    <row r="991" spans="1:258" ht="21.95" customHeight="1" x14ac:dyDescent="0.25">
      <c r="A991" s="40" t="s">
        <v>1438</v>
      </c>
      <c r="B991" s="8" t="s">
        <v>716</v>
      </c>
      <c r="C991" s="2">
        <f>D991+L991+N991+P991+R991+S991+T991+U991</f>
        <v>2640000</v>
      </c>
      <c r="D991" s="3">
        <f>SUM(E991:J991)</f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3">
        <v>480</v>
      </c>
      <c r="N991" s="3">
        <f>M991*5500</f>
        <v>2640000</v>
      </c>
      <c r="O991" s="3">
        <v>0</v>
      </c>
      <c r="P991" s="3">
        <v>0</v>
      </c>
      <c r="Q991" s="5">
        <v>0</v>
      </c>
      <c r="R991" s="3">
        <f>Q991*3000</f>
        <v>0</v>
      </c>
      <c r="S991" s="3">
        <v>0</v>
      </c>
      <c r="T991" s="5">
        <v>0</v>
      </c>
      <c r="U991" s="3">
        <v>0</v>
      </c>
      <c r="V991" s="6">
        <f>N991/M991</f>
        <v>5500</v>
      </c>
    </row>
    <row r="992" spans="1:258" ht="21.95" customHeight="1" x14ac:dyDescent="0.25">
      <c r="A992" s="40" t="s">
        <v>1439</v>
      </c>
      <c r="B992" s="8" t="s">
        <v>717</v>
      </c>
      <c r="C992" s="2">
        <f>D992+L992+N992+P992+R992+S992+T992+U992</f>
        <v>4510000</v>
      </c>
      <c r="D992" s="3">
        <f>SUM(E992:J992)</f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4">
        <v>0</v>
      </c>
      <c r="L992" s="3">
        <v>0</v>
      </c>
      <c r="M992" s="5">
        <v>820</v>
      </c>
      <c r="N992" s="3">
        <f>M992*5500</f>
        <v>4510000</v>
      </c>
      <c r="O992" s="3">
        <v>0</v>
      </c>
      <c r="P992" s="3">
        <v>0</v>
      </c>
      <c r="Q992" s="5">
        <v>0</v>
      </c>
      <c r="R992" s="3">
        <f>Q992*3000</f>
        <v>0</v>
      </c>
      <c r="S992" s="3">
        <v>0</v>
      </c>
      <c r="T992" s="5">
        <v>0</v>
      </c>
      <c r="U992" s="3">
        <v>0</v>
      </c>
      <c r="V992" s="6">
        <f>N992/M992</f>
        <v>5500</v>
      </c>
    </row>
    <row r="993" spans="1:258" ht="21.95" customHeight="1" x14ac:dyDescent="0.25">
      <c r="A993" s="40" t="s">
        <v>1440</v>
      </c>
      <c r="B993" s="8" t="s">
        <v>798</v>
      </c>
      <c r="C993" s="2">
        <f t="shared" si="579"/>
        <v>3234000</v>
      </c>
      <c r="D993" s="3">
        <f t="shared" si="578"/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5">
        <v>588</v>
      </c>
      <c r="N993" s="3">
        <f t="shared" si="580"/>
        <v>3234000</v>
      </c>
      <c r="O993" s="3">
        <v>0</v>
      </c>
      <c r="P993" s="3">
        <v>0</v>
      </c>
      <c r="Q993" s="5">
        <v>0</v>
      </c>
      <c r="R993" s="3">
        <f t="shared" si="576"/>
        <v>0</v>
      </c>
      <c r="S993" s="3">
        <v>0</v>
      </c>
      <c r="T993" s="5">
        <v>0</v>
      </c>
      <c r="U993" s="3">
        <v>0</v>
      </c>
      <c r="V993" s="6">
        <f t="shared" si="577"/>
        <v>5500</v>
      </c>
    </row>
    <row r="994" spans="1:258" ht="21.95" customHeight="1" x14ac:dyDescent="0.25">
      <c r="A994" s="40" t="s">
        <v>1441</v>
      </c>
      <c r="B994" s="8" t="s">
        <v>722</v>
      </c>
      <c r="C994" s="2">
        <f t="shared" si="579"/>
        <v>23829830</v>
      </c>
      <c r="D994" s="3">
        <f t="shared" si="578"/>
        <v>23729830</v>
      </c>
      <c r="E994" s="3">
        <f>350*10097.8</f>
        <v>3534229.9999999995</v>
      </c>
      <c r="F994" s="3">
        <f>1050*10097.8</f>
        <v>10602690</v>
      </c>
      <c r="G994" s="3">
        <f>300*10097.8</f>
        <v>3029340</v>
      </c>
      <c r="H994" s="3">
        <f>400*10097.8</f>
        <v>4039119.9999999995</v>
      </c>
      <c r="I994" s="3">
        <f>250*10097.8</f>
        <v>2524450</v>
      </c>
      <c r="J994" s="3">
        <v>0</v>
      </c>
      <c r="K994" s="4">
        <v>0</v>
      </c>
      <c r="L994" s="3">
        <v>0</v>
      </c>
      <c r="M994" s="3">
        <v>0</v>
      </c>
      <c r="N994" s="3">
        <v>0</v>
      </c>
      <c r="O994" s="3">
        <v>0</v>
      </c>
      <c r="P994" s="3">
        <v>0</v>
      </c>
      <c r="Q994" s="3">
        <v>0</v>
      </c>
      <c r="R994" s="3">
        <f t="shared" si="576"/>
        <v>0</v>
      </c>
      <c r="S994" s="3">
        <v>0</v>
      </c>
      <c r="T994" s="5">
        <v>0</v>
      </c>
      <c r="U994" s="3">
        <v>100000</v>
      </c>
      <c r="V994" s="6" t="e">
        <f t="shared" si="577"/>
        <v>#DIV/0!</v>
      </c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  <c r="BG994" s="28"/>
      <c r="BH994" s="28"/>
      <c r="BI994" s="28"/>
      <c r="BJ994" s="28"/>
      <c r="BK994" s="28"/>
      <c r="BL994" s="28"/>
      <c r="BM994" s="28"/>
      <c r="BN994" s="28"/>
      <c r="BO994" s="28"/>
      <c r="BP994" s="28"/>
      <c r="BQ994" s="28"/>
      <c r="BR994" s="28"/>
      <c r="BS994" s="28"/>
      <c r="BT994" s="28"/>
      <c r="BU994" s="28"/>
      <c r="BV994" s="28"/>
      <c r="BW994" s="28"/>
      <c r="BX994" s="28"/>
      <c r="BY994" s="28"/>
      <c r="BZ994" s="28"/>
      <c r="CA994" s="28"/>
      <c r="CB994" s="28"/>
      <c r="CC994" s="28"/>
      <c r="CD994" s="28"/>
      <c r="CE994" s="28"/>
      <c r="CF994" s="28"/>
      <c r="CG994" s="28"/>
      <c r="CH994" s="28"/>
      <c r="CI994" s="28"/>
      <c r="CJ994" s="28"/>
      <c r="CK994" s="28"/>
      <c r="CL994" s="28"/>
      <c r="CM994" s="28"/>
      <c r="CN994" s="28"/>
      <c r="CO994" s="28"/>
      <c r="CP994" s="28"/>
      <c r="CQ994" s="28"/>
      <c r="CR994" s="28"/>
      <c r="CS994" s="28"/>
      <c r="CT994" s="28"/>
      <c r="CU994" s="28"/>
      <c r="CV994" s="28"/>
      <c r="CW994" s="28"/>
      <c r="CX994" s="28"/>
      <c r="CY994" s="28"/>
      <c r="CZ994" s="28"/>
      <c r="DA994" s="28"/>
      <c r="DB994" s="28"/>
      <c r="DC994" s="28"/>
      <c r="DD994" s="28"/>
      <c r="DE994" s="28"/>
      <c r="DF994" s="28"/>
      <c r="DG994" s="28"/>
      <c r="DH994" s="28"/>
      <c r="DI994" s="28"/>
      <c r="DJ994" s="28"/>
      <c r="DK994" s="28"/>
      <c r="DL994" s="28"/>
      <c r="DM994" s="28"/>
      <c r="DN994" s="28"/>
      <c r="DO994" s="28"/>
      <c r="DP994" s="28"/>
      <c r="DQ994" s="28"/>
      <c r="DR994" s="28"/>
      <c r="DS994" s="28"/>
      <c r="DT994" s="28"/>
      <c r="DU994" s="28"/>
      <c r="DV994" s="28"/>
      <c r="DW994" s="28"/>
      <c r="DX994" s="28"/>
      <c r="DY994" s="28"/>
      <c r="DZ994" s="28"/>
      <c r="EA994" s="28"/>
      <c r="EB994" s="28"/>
      <c r="EC994" s="28"/>
      <c r="ED994" s="28"/>
      <c r="EE994" s="28"/>
      <c r="EF994" s="28"/>
      <c r="EG994" s="28"/>
      <c r="EH994" s="28"/>
      <c r="EI994" s="28"/>
      <c r="EJ994" s="28"/>
      <c r="EK994" s="28"/>
      <c r="EL994" s="28"/>
      <c r="EM994" s="28"/>
      <c r="EN994" s="28"/>
      <c r="EO994" s="28"/>
      <c r="EP994" s="28"/>
      <c r="EQ994" s="28"/>
      <c r="ER994" s="28"/>
      <c r="ES994" s="28"/>
      <c r="ET994" s="28"/>
      <c r="EU994" s="28"/>
      <c r="EV994" s="28"/>
      <c r="EW994" s="28"/>
      <c r="EX994" s="28"/>
      <c r="EY994" s="28"/>
      <c r="EZ994" s="28"/>
      <c r="FA994" s="28"/>
      <c r="FB994" s="28"/>
      <c r="FC994" s="28"/>
      <c r="FD994" s="28"/>
      <c r="FE994" s="28"/>
      <c r="FF994" s="28"/>
      <c r="FG994" s="28"/>
      <c r="FH994" s="28"/>
      <c r="FI994" s="28"/>
      <c r="FJ994" s="28"/>
      <c r="FK994" s="28"/>
      <c r="FL994" s="28"/>
      <c r="FM994" s="28"/>
      <c r="FN994" s="28"/>
      <c r="FO994" s="28"/>
      <c r="FP994" s="28"/>
      <c r="FQ994" s="28"/>
      <c r="FR994" s="28"/>
      <c r="FS994" s="28"/>
      <c r="FT994" s="28"/>
      <c r="FU994" s="28"/>
      <c r="FV994" s="28"/>
      <c r="FW994" s="28"/>
      <c r="FX994" s="28"/>
      <c r="FY994" s="28"/>
      <c r="FZ994" s="28"/>
      <c r="GA994" s="28"/>
      <c r="GB994" s="28"/>
      <c r="GC994" s="28"/>
      <c r="GD994" s="28"/>
      <c r="GE994" s="28"/>
      <c r="GF994" s="28"/>
      <c r="GG994" s="28"/>
      <c r="GH994" s="28"/>
      <c r="GI994" s="28"/>
      <c r="GJ994" s="28"/>
      <c r="GK994" s="28"/>
      <c r="GL994" s="28"/>
      <c r="GM994" s="28"/>
      <c r="GN994" s="28"/>
      <c r="GO994" s="28"/>
      <c r="GP994" s="28"/>
      <c r="GQ994" s="28"/>
      <c r="GR994" s="28"/>
      <c r="GS994" s="28"/>
      <c r="GT994" s="28"/>
      <c r="GU994" s="28"/>
      <c r="GV994" s="28"/>
      <c r="GW994" s="28"/>
      <c r="GX994" s="28"/>
      <c r="GY994" s="28"/>
      <c r="GZ994" s="28"/>
      <c r="HA994" s="28"/>
      <c r="HB994" s="28"/>
      <c r="HC994" s="28"/>
      <c r="HD994" s="28"/>
      <c r="HE994" s="28"/>
      <c r="HF994" s="28"/>
      <c r="HG994" s="28"/>
      <c r="HH994" s="28"/>
      <c r="HI994" s="28"/>
      <c r="HJ994" s="28"/>
      <c r="HK994" s="28"/>
      <c r="HL994" s="28"/>
      <c r="HM994" s="28"/>
      <c r="HN994" s="28"/>
      <c r="HO994" s="28"/>
      <c r="HP994" s="28"/>
      <c r="HQ994" s="28"/>
      <c r="HR994" s="28"/>
      <c r="HS994" s="28"/>
      <c r="HT994" s="28"/>
      <c r="HU994" s="28"/>
      <c r="HV994" s="28"/>
      <c r="HW994" s="28"/>
      <c r="HX994" s="28"/>
      <c r="HY994" s="28"/>
      <c r="HZ994" s="28"/>
      <c r="IA994" s="28"/>
      <c r="IB994" s="28"/>
      <c r="IC994" s="28"/>
      <c r="ID994" s="28"/>
      <c r="IE994" s="28"/>
      <c r="IF994" s="28"/>
      <c r="IG994" s="28"/>
      <c r="IH994" s="28"/>
      <c r="II994" s="28"/>
      <c r="IJ994" s="28"/>
      <c r="IK994" s="28"/>
      <c r="IL994" s="28"/>
      <c r="IM994" s="28"/>
      <c r="IN994" s="28"/>
      <c r="IO994" s="28"/>
      <c r="IP994" s="28"/>
      <c r="IQ994" s="28"/>
      <c r="IR994" s="28"/>
      <c r="IS994" s="28"/>
      <c r="IT994" s="28"/>
      <c r="IU994" s="28"/>
      <c r="IV994" s="28"/>
      <c r="IW994" s="28"/>
      <c r="IX994" s="28"/>
    </row>
    <row r="995" spans="1:258" ht="21.95" customHeight="1" x14ac:dyDescent="0.25">
      <c r="A995" s="40" t="s">
        <v>1442</v>
      </c>
      <c r="B995" s="8" t="s">
        <v>799</v>
      </c>
      <c r="C995" s="2">
        <f t="shared" si="579"/>
        <v>4268571</v>
      </c>
      <c r="D995" s="3">
        <f t="shared" si="578"/>
        <v>4168571</v>
      </c>
      <c r="E995" s="3">
        <f>350*1773.86</f>
        <v>620851</v>
      </c>
      <c r="F995" s="3">
        <f>1050*1773.86</f>
        <v>1862553</v>
      </c>
      <c r="G995" s="3">
        <f>300*1773.86</f>
        <v>532158</v>
      </c>
      <c r="H995" s="3">
        <f>400*1773.86</f>
        <v>709544</v>
      </c>
      <c r="I995" s="3">
        <f>250*1773.86</f>
        <v>443465</v>
      </c>
      <c r="J995" s="3">
        <v>0</v>
      </c>
      <c r="K995" s="4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f t="shared" si="576"/>
        <v>0</v>
      </c>
      <c r="S995" s="3">
        <v>0</v>
      </c>
      <c r="T995" s="5">
        <v>0</v>
      </c>
      <c r="U995" s="3">
        <v>100000</v>
      </c>
      <c r="V995" s="6" t="e">
        <f t="shared" si="577"/>
        <v>#DIV/0!</v>
      </c>
    </row>
    <row r="996" spans="1:258" ht="21.95" customHeight="1" x14ac:dyDescent="0.25">
      <c r="A996" s="40" t="s">
        <v>1443</v>
      </c>
      <c r="B996" s="8" t="s">
        <v>723</v>
      </c>
      <c r="C996" s="2">
        <f t="shared" si="579"/>
        <v>1364000</v>
      </c>
      <c r="D996" s="3">
        <f t="shared" si="578"/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11">
        <v>0</v>
      </c>
      <c r="L996" s="5">
        <v>0</v>
      </c>
      <c r="M996" s="5">
        <v>248</v>
      </c>
      <c r="N996" s="3">
        <f t="shared" ref="N996:N1000" si="581">M996*5500</f>
        <v>1364000</v>
      </c>
      <c r="O996" s="3">
        <v>0</v>
      </c>
      <c r="P996" s="3">
        <v>0</v>
      </c>
      <c r="Q996" s="3">
        <v>0</v>
      </c>
      <c r="R996" s="3">
        <f t="shared" si="576"/>
        <v>0</v>
      </c>
      <c r="S996" s="3">
        <v>0</v>
      </c>
      <c r="T996" s="5">
        <v>0</v>
      </c>
      <c r="U996" s="3">
        <v>0</v>
      </c>
      <c r="V996" s="6">
        <f t="shared" si="577"/>
        <v>5500</v>
      </c>
    </row>
    <row r="997" spans="1:258" s="6" customFormat="1" ht="21.95" customHeight="1" x14ac:dyDescent="0.25">
      <c r="A997" s="40" t="s">
        <v>1444</v>
      </c>
      <c r="B997" s="8" t="s">
        <v>724</v>
      </c>
      <c r="C997" s="2">
        <f t="shared" si="579"/>
        <v>1408000</v>
      </c>
      <c r="D997" s="3">
        <f t="shared" si="578"/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11">
        <v>0</v>
      </c>
      <c r="L997" s="5">
        <v>0</v>
      </c>
      <c r="M997" s="3">
        <v>256</v>
      </c>
      <c r="N997" s="3">
        <f t="shared" si="581"/>
        <v>1408000</v>
      </c>
      <c r="O997" s="3">
        <v>0</v>
      </c>
      <c r="P997" s="3">
        <v>0</v>
      </c>
      <c r="Q997" s="3">
        <v>0</v>
      </c>
      <c r="R997" s="3">
        <f t="shared" si="576"/>
        <v>0</v>
      </c>
      <c r="S997" s="3">
        <v>0</v>
      </c>
      <c r="T997" s="5">
        <v>0</v>
      </c>
      <c r="U997" s="3">
        <v>0</v>
      </c>
      <c r="V997" s="6">
        <f t="shared" si="577"/>
        <v>5500</v>
      </c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K997" s="7"/>
      <c r="CL997" s="7"/>
      <c r="CM997" s="7"/>
      <c r="CN997" s="7"/>
      <c r="CO997" s="7"/>
      <c r="CP997" s="7"/>
      <c r="CQ997" s="7"/>
      <c r="CR997" s="7"/>
      <c r="CS997" s="7"/>
      <c r="CT997" s="7"/>
      <c r="CU997" s="7"/>
      <c r="CV997" s="7"/>
      <c r="CW997" s="7"/>
      <c r="CX997" s="7"/>
      <c r="CY997" s="7"/>
      <c r="CZ997" s="7"/>
      <c r="DA997" s="7"/>
      <c r="DB997" s="7"/>
      <c r="DC997" s="7"/>
      <c r="DD997" s="7"/>
      <c r="DE997" s="7"/>
      <c r="DF997" s="7"/>
      <c r="DG997" s="7"/>
      <c r="DH997" s="7"/>
      <c r="DI997" s="7"/>
      <c r="DJ997" s="7"/>
      <c r="DK997" s="7"/>
      <c r="DL997" s="7"/>
      <c r="DM997" s="7"/>
      <c r="DN997" s="7"/>
      <c r="DO997" s="7"/>
      <c r="DP997" s="7"/>
      <c r="DQ997" s="7"/>
      <c r="DR997" s="7"/>
      <c r="DS997" s="7"/>
      <c r="DT997" s="7"/>
      <c r="DU997" s="7"/>
      <c r="DV997" s="7"/>
      <c r="DW997" s="7"/>
      <c r="DX997" s="7"/>
      <c r="DY997" s="7"/>
      <c r="DZ997" s="7"/>
      <c r="EA997" s="7"/>
      <c r="EB997" s="7"/>
      <c r="EC997" s="7"/>
      <c r="ED997" s="7"/>
      <c r="EE997" s="7"/>
      <c r="EF997" s="7"/>
      <c r="EG997" s="7"/>
      <c r="EH997" s="7"/>
      <c r="EI997" s="7"/>
      <c r="EJ997" s="7"/>
      <c r="EK997" s="7"/>
      <c r="EL997" s="7"/>
      <c r="EM997" s="7"/>
      <c r="EN997" s="7"/>
      <c r="EO997" s="7"/>
      <c r="EP997" s="7"/>
      <c r="EQ997" s="7"/>
      <c r="ER997" s="7"/>
      <c r="ES997" s="7"/>
      <c r="ET997" s="7"/>
      <c r="EU997" s="7"/>
      <c r="EV997" s="7"/>
      <c r="EW997" s="7"/>
      <c r="EX997" s="7"/>
      <c r="EY997" s="7"/>
      <c r="EZ997" s="7"/>
      <c r="FA997" s="7"/>
      <c r="FB997" s="7"/>
      <c r="FC997" s="7"/>
      <c r="FD997" s="7"/>
      <c r="FE997" s="7"/>
      <c r="FF997" s="7"/>
      <c r="FG997" s="7"/>
      <c r="FH997" s="7"/>
      <c r="FI997" s="7"/>
      <c r="FJ997" s="7"/>
      <c r="FK997" s="7"/>
      <c r="FL997" s="7"/>
      <c r="FM997" s="7"/>
      <c r="FN997" s="7"/>
      <c r="FO997" s="7"/>
      <c r="FP997" s="7"/>
      <c r="FQ997" s="7"/>
      <c r="FR997" s="7"/>
      <c r="FS997" s="7"/>
      <c r="FT997" s="7"/>
      <c r="FU997" s="7"/>
      <c r="FV997" s="7"/>
      <c r="FW997" s="7"/>
      <c r="FX997" s="7"/>
      <c r="FY997" s="7"/>
      <c r="FZ997" s="7"/>
      <c r="GA997" s="7"/>
      <c r="GB997" s="7"/>
      <c r="GC997" s="7"/>
      <c r="GD997" s="7"/>
      <c r="GE997" s="7"/>
      <c r="GF997" s="7"/>
      <c r="GG997" s="7"/>
      <c r="GH997" s="7"/>
      <c r="GI997" s="7"/>
      <c r="GJ997" s="7"/>
      <c r="GK997" s="7"/>
      <c r="GL997" s="7"/>
      <c r="GM997" s="7"/>
      <c r="GN997" s="7"/>
      <c r="GO997" s="7"/>
      <c r="GP997" s="7"/>
      <c r="GQ997" s="7"/>
      <c r="GR997" s="7"/>
      <c r="GS997" s="7"/>
      <c r="GT997" s="7"/>
      <c r="GU997" s="7"/>
      <c r="GV997" s="7"/>
      <c r="GW997" s="7"/>
      <c r="GX997" s="7"/>
      <c r="GY997" s="7"/>
      <c r="GZ997" s="7"/>
      <c r="HA997" s="7"/>
      <c r="HB997" s="7"/>
      <c r="HC997" s="7"/>
      <c r="HD997" s="7"/>
      <c r="HE997" s="7"/>
      <c r="HF997" s="7"/>
      <c r="HG997" s="7"/>
      <c r="HH997" s="7"/>
      <c r="HI997" s="7"/>
      <c r="HJ997" s="7"/>
      <c r="HK997" s="7"/>
      <c r="HL997" s="7"/>
      <c r="HM997" s="7"/>
      <c r="HN997" s="7"/>
      <c r="HO997" s="7"/>
      <c r="HP997" s="7"/>
      <c r="HQ997" s="7"/>
      <c r="HR997" s="7"/>
      <c r="HS997" s="7"/>
      <c r="HT997" s="7"/>
      <c r="HU997" s="7"/>
      <c r="HV997" s="7"/>
      <c r="HW997" s="7"/>
      <c r="HX997" s="7"/>
      <c r="HY997" s="7"/>
      <c r="HZ997" s="7"/>
      <c r="IA997" s="7"/>
      <c r="IB997" s="7"/>
      <c r="IC997" s="7"/>
      <c r="ID997" s="7"/>
      <c r="IE997" s="7"/>
      <c r="IF997" s="7"/>
      <c r="IG997" s="7"/>
      <c r="IH997" s="7"/>
      <c r="II997" s="7"/>
      <c r="IJ997" s="7"/>
      <c r="IK997" s="7"/>
      <c r="IL997" s="7"/>
      <c r="IM997" s="7"/>
      <c r="IN997" s="7"/>
      <c r="IO997" s="7"/>
      <c r="IP997" s="7"/>
      <c r="IQ997" s="7"/>
      <c r="IR997" s="7"/>
      <c r="IS997" s="7"/>
      <c r="IT997" s="7"/>
      <c r="IU997" s="7"/>
      <c r="IV997" s="7"/>
      <c r="IW997" s="7"/>
      <c r="IX997" s="7"/>
    </row>
    <row r="998" spans="1:258" ht="21.95" customHeight="1" x14ac:dyDescent="0.25">
      <c r="A998" s="40" t="s">
        <v>1445</v>
      </c>
      <c r="B998" s="8" t="s">
        <v>725</v>
      </c>
      <c r="C998" s="2">
        <f t="shared" si="579"/>
        <v>1332100</v>
      </c>
      <c r="D998" s="3">
        <f t="shared" si="578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11">
        <v>0</v>
      </c>
      <c r="L998" s="5">
        <v>0</v>
      </c>
      <c r="M998" s="3">
        <v>242.2</v>
      </c>
      <c r="N998" s="3">
        <f t="shared" si="581"/>
        <v>1332100</v>
      </c>
      <c r="O998" s="3">
        <v>0</v>
      </c>
      <c r="P998" s="3">
        <v>0</v>
      </c>
      <c r="Q998" s="3">
        <v>0</v>
      </c>
      <c r="R998" s="3">
        <f t="shared" si="576"/>
        <v>0</v>
      </c>
      <c r="S998" s="3">
        <v>0</v>
      </c>
      <c r="T998" s="5">
        <v>0</v>
      </c>
      <c r="U998" s="3">
        <v>0</v>
      </c>
      <c r="V998" s="6">
        <f t="shared" si="577"/>
        <v>5500</v>
      </c>
    </row>
    <row r="999" spans="1:258" ht="21.95" customHeight="1" x14ac:dyDescent="0.25">
      <c r="A999" s="40" t="s">
        <v>1446</v>
      </c>
      <c r="B999" s="8" t="s">
        <v>800</v>
      </c>
      <c r="C999" s="2">
        <f t="shared" si="579"/>
        <v>1430000</v>
      </c>
      <c r="D999" s="3">
        <f t="shared" si="578"/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11">
        <v>0</v>
      </c>
      <c r="L999" s="5">
        <v>0</v>
      </c>
      <c r="M999" s="3">
        <v>260</v>
      </c>
      <c r="N999" s="3">
        <f t="shared" si="581"/>
        <v>1430000</v>
      </c>
      <c r="O999" s="3">
        <v>0</v>
      </c>
      <c r="P999" s="3">
        <v>0</v>
      </c>
      <c r="Q999" s="3">
        <v>0</v>
      </c>
      <c r="R999" s="3">
        <f t="shared" si="576"/>
        <v>0</v>
      </c>
      <c r="S999" s="3">
        <v>0</v>
      </c>
      <c r="T999" s="5">
        <v>0</v>
      </c>
      <c r="U999" s="3">
        <v>0</v>
      </c>
      <c r="V999" s="6">
        <f t="shared" si="577"/>
        <v>5500</v>
      </c>
    </row>
    <row r="1000" spans="1:258" ht="21.95" customHeight="1" x14ac:dyDescent="0.25">
      <c r="A1000" s="40" t="s">
        <v>1447</v>
      </c>
      <c r="B1000" s="8" t="s">
        <v>801</v>
      </c>
      <c r="C1000" s="2">
        <f t="shared" si="579"/>
        <v>3843950</v>
      </c>
      <c r="D1000" s="3">
        <f t="shared" si="578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11">
        <v>0</v>
      </c>
      <c r="L1000" s="5">
        <v>0</v>
      </c>
      <c r="M1000" s="3">
        <v>698.9</v>
      </c>
      <c r="N1000" s="3">
        <f t="shared" si="581"/>
        <v>3843950</v>
      </c>
      <c r="O1000" s="3">
        <v>0</v>
      </c>
      <c r="P1000" s="3">
        <v>0</v>
      </c>
      <c r="Q1000" s="3">
        <v>0</v>
      </c>
      <c r="R1000" s="3">
        <f t="shared" si="576"/>
        <v>0</v>
      </c>
      <c r="S1000" s="3">
        <v>0</v>
      </c>
      <c r="T1000" s="5">
        <v>0</v>
      </c>
      <c r="U1000" s="3">
        <v>0</v>
      </c>
      <c r="V1000" s="6">
        <f t="shared" si="577"/>
        <v>5500</v>
      </c>
    </row>
    <row r="1001" spans="1:258" ht="21.95" customHeight="1" x14ac:dyDescent="0.25">
      <c r="A1001" s="40" t="s">
        <v>1448</v>
      </c>
      <c r="B1001" s="8" t="s">
        <v>828</v>
      </c>
      <c r="C1001" s="2">
        <f t="shared" si="579"/>
        <v>8498567.5</v>
      </c>
      <c r="D1001" s="3">
        <f t="shared" si="578"/>
        <v>3558017.5</v>
      </c>
      <c r="E1001" s="3">
        <f>350*1514.05</f>
        <v>529917.5</v>
      </c>
      <c r="F1001" s="3">
        <f>1050*1514.05</f>
        <v>1589752.5</v>
      </c>
      <c r="G1001" s="3">
        <f>300*1514.05</f>
        <v>454215</v>
      </c>
      <c r="H1001" s="3">
        <f>400*1514.05</f>
        <v>605620</v>
      </c>
      <c r="I1001" s="3">
        <f>250*1514.05</f>
        <v>378512.5</v>
      </c>
      <c r="J1001" s="3">
        <v>0</v>
      </c>
      <c r="K1001" s="4">
        <v>0</v>
      </c>
      <c r="L1001" s="3">
        <v>0</v>
      </c>
      <c r="M1001" s="5">
        <v>880.1</v>
      </c>
      <c r="N1001" s="3">
        <f t="shared" ref="N1001:N1007" si="582">M1001*5500</f>
        <v>4840550</v>
      </c>
      <c r="O1001" s="3">
        <v>0</v>
      </c>
      <c r="P1001" s="3">
        <v>0</v>
      </c>
      <c r="Q1001" s="3">
        <v>0</v>
      </c>
      <c r="R1001" s="3">
        <f t="shared" si="576"/>
        <v>0</v>
      </c>
      <c r="S1001" s="3">
        <v>0</v>
      </c>
      <c r="T1001" s="5">
        <v>0</v>
      </c>
      <c r="U1001" s="3">
        <v>100000</v>
      </c>
      <c r="V1001" s="6">
        <f t="shared" si="577"/>
        <v>5500</v>
      </c>
    </row>
    <row r="1002" spans="1:258" ht="21.95" customHeight="1" x14ac:dyDescent="0.25">
      <c r="A1002" s="40" t="s">
        <v>1449</v>
      </c>
      <c r="B1002" s="8" t="s">
        <v>802</v>
      </c>
      <c r="C1002" s="2">
        <f t="shared" si="579"/>
        <v>6671500</v>
      </c>
      <c r="D1002" s="3">
        <f t="shared" si="578"/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11">
        <v>0</v>
      </c>
      <c r="L1002" s="5">
        <v>0</v>
      </c>
      <c r="M1002" s="3">
        <v>1213</v>
      </c>
      <c r="N1002" s="3">
        <f t="shared" si="582"/>
        <v>6671500</v>
      </c>
      <c r="O1002" s="3">
        <v>0</v>
      </c>
      <c r="P1002" s="3">
        <v>0</v>
      </c>
      <c r="Q1002" s="3">
        <v>0</v>
      </c>
      <c r="R1002" s="3">
        <f t="shared" si="576"/>
        <v>0</v>
      </c>
      <c r="S1002" s="3">
        <v>0</v>
      </c>
      <c r="T1002" s="5">
        <v>0</v>
      </c>
      <c r="U1002" s="3">
        <v>0</v>
      </c>
      <c r="V1002" s="6">
        <f t="shared" si="577"/>
        <v>5500</v>
      </c>
    </row>
    <row r="1003" spans="1:258" ht="21.95" customHeight="1" x14ac:dyDescent="0.25">
      <c r="A1003" s="40" t="s">
        <v>1450</v>
      </c>
      <c r="B1003" s="8" t="s">
        <v>726</v>
      </c>
      <c r="C1003" s="2">
        <f t="shared" si="579"/>
        <v>4891150</v>
      </c>
      <c r="D1003" s="3">
        <f t="shared" si="578"/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11">
        <v>0</v>
      </c>
      <c r="L1003" s="5">
        <v>0</v>
      </c>
      <c r="M1003" s="3">
        <v>889.3</v>
      </c>
      <c r="N1003" s="3">
        <f t="shared" si="582"/>
        <v>4891150</v>
      </c>
      <c r="O1003" s="3">
        <v>0</v>
      </c>
      <c r="P1003" s="3">
        <v>0</v>
      </c>
      <c r="Q1003" s="3">
        <v>0</v>
      </c>
      <c r="R1003" s="3">
        <f t="shared" si="576"/>
        <v>0</v>
      </c>
      <c r="S1003" s="3">
        <v>0</v>
      </c>
      <c r="T1003" s="5">
        <v>0</v>
      </c>
      <c r="U1003" s="3">
        <v>0</v>
      </c>
      <c r="V1003" s="6">
        <f t="shared" si="577"/>
        <v>5500</v>
      </c>
    </row>
    <row r="1004" spans="1:258" ht="21.95" customHeight="1" x14ac:dyDescent="0.25">
      <c r="A1004" s="40" t="s">
        <v>1451</v>
      </c>
      <c r="B1004" s="8" t="s">
        <v>727</v>
      </c>
      <c r="C1004" s="2">
        <f t="shared" si="579"/>
        <v>2543500</v>
      </c>
      <c r="D1004" s="3">
        <f t="shared" si="578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11">
        <v>0</v>
      </c>
      <c r="L1004" s="5">
        <v>0</v>
      </c>
      <c r="M1004" s="5">
        <v>289</v>
      </c>
      <c r="N1004" s="3">
        <f t="shared" si="582"/>
        <v>1589500</v>
      </c>
      <c r="O1004" s="5">
        <v>0</v>
      </c>
      <c r="P1004" s="5">
        <v>0</v>
      </c>
      <c r="Q1004" s="5">
        <v>318</v>
      </c>
      <c r="R1004" s="3">
        <f t="shared" si="576"/>
        <v>954000</v>
      </c>
      <c r="S1004" s="5">
        <v>0</v>
      </c>
      <c r="T1004" s="5">
        <v>0</v>
      </c>
      <c r="U1004" s="5">
        <v>0</v>
      </c>
      <c r="V1004" s="6">
        <f t="shared" si="577"/>
        <v>5500</v>
      </c>
      <c r="W1004" s="35"/>
      <c r="X1004" s="35"/>
      <c r="Y1004" s="35"/>
      <c r="Z1004" s="35"/>
      <c r="AA1004" s="35"/>
      <c r="AB1004" s="35"/>
      <c r="AC1004" s="35"/>
      <c r="AD1004" s="35"/>
      <c r="AE1004" s="35"/>
      <c r="AF1004" s="35"/>
      <c r="AG1004" s="35"/>
      <c r="AH1004" s="35"/>
      <c r="AI1004" s="35"/>
      <c r="AJ1004" s="35"/>
      <c r="AK1004" s="35"/>
      <c r="AL1004" s="35"/>
      <c r="AM1004" s="35"/>
      <c r="AN1004" s="35"/>
      <c r="AO1004" s="35"/>
      <c r="AP1004" s="35"/>
      <c r="AQ1004" s="35"/>
      <c r="AR1004" s="35"/>
      <c r="AS1004" s="35"/>
      <c r="AT1004" s="35"/>
      <c r="AU1004" s="35"/>
      <c r="AV1004" s="35"/>
      <c r="AW1004" s="35"/>
      <c r="AX1004" s="35"/>
      <c r="AY1004" s="35"/>
      <c r="AZ1004" s="35"/>
      <c r="BA1004" s="35"/>
      <c r="BB1004" s="35"/>
      <c r="BC1004" s="35"/>
      <c r="BD1004" s="35"/>
      <c r="BE1004" s="35"/>
      <c r="BF1004" s="35"/>
      <c r="BG1004" s="35"/>
      <c r="BH1004" s="35"/>
      <c r="BI1004" s="35"/>
      <c r="BJ1004" s="35"/>
      <c r="BK1004" s="35"/>
      <c r="BL1004" s="35"/>
      <c r="BM1004" s="35"/>
      <c r="BN1004" s="35"/>
      <c r="BO1004" s="35"/>
      <c r="BP1004" s="35"/>
      <c r="BQ1004" s="35"/>
      <c r="BR1004" s="35"/>
      <c r="BS1004" s="35"/>
      <c r="BT1004" s="35"/>
      <c r="BU1004" s="35"/>
      <c r="BV1004" s="35"/>
      <c r="BW1004" s="35"/>
      <c r="BX1004" s="35"/>
      <c r="BY1004" s="35"/>
      <c r="BZ1004" s="35"/>
      <c r="CA1004" s="35"/>
      <c r="CB1004" s="35"/>
      <c r="CC1004" s="35"/>
      <c r="CD1004" s="35"/>
      <c r="CE1004" s="35"/>
      <c r="CF1004" s="35"/>
      <c r="CG1004" s="35"/>
      <c r="CH1004" s="35"/>
      <c r="CI1004" s="35"/>
      <c r="CJ1004" s="35"/>
      <c r="CK1004" s="35"/>
      <c r="CL1004" s="35"/>
      <c r="CM1004" s="35"/>
      <c r="CN1004" s="35"/>
      <c r="CO1004" s="35"/>
      <c r="CP1004" s="35"/>
      <c r="CQ1004" s="35"/>
      <c r="CR1004" s="35"/>
      <c r="CS1004" s="35"/>
      <c r="CT1004" s="35"/>
      <c r="CU1004" s="35"/>
      <c r="CV1004" s="35"/>
      <c r="CW1004" s="35"/>
      <c r="CX1004" s="35"/>
      <c r="CY1004" s="35"/>
      <c r="CZ1004" s="35"/>
      <c r="DA1004" s="35"/>
      <c r="DB1004" s="35"/>
      <c r="DC1004" s="35"/>
      <c r="DD1004" s="35"/>
      <c r="DE1004" s="35"/>
      <c r="DF1004" s="35"/>
      <c r="DG1004" s="35"/>
      <c r="DH1004" s="35"/>
      <c r="DI1004" s="35"/>
      <c r="DJ1004" s="35"/>
      <c r="DK1004" s="35"/>
      <c r="DL1004" s="35"/>
      <c r="DM1004" s="35"/>
      <c r="DN1004" s="35"/>
      <c r="DO1004" s="35"/>
      <c r="DP1004" s="35"/>
      <c r="DQ1004" s="35"/>
      <c r="DR1004" s="35"/>
      <c r="DS1004" s="35"/>
      <c r="DT1004" s="35"/>
      <c r="DU1004" s="35"/>
      <c r="DV1004" s="35"/>
      <c r="DW1004" s="35"/>
      <c r="DX1004" s="35"/>
      <c r="DY1004" s="35"/>
      <c r="DZ1004" s="35"/>
      <c r="EA1004" s="35"/>
      <c r="EB1004" s="35"/>
      <c r="EC1004" s="35"/>
      <c r="ED1004" s="35"/>
      <c r="EE1004" s="35"/>
      <c r="EF1004" s="35"/>
      <c r="EG1004" s="35"/>
      <c r="EH1004" s="35"/>
      <c r="EI1004" s="35"/>
      <c r="EJ1004" s="35"/>
      <c r="EK1004" s="35"/>
      <c r="EL1004" s="35"/>
      <c r="EM1004" s="35"/>
      <c r="EN1004" s="35"/>
      <c r="EO1004" s="35"/>
      <c r="EP1004" s="35"/>
      <c r="EQ1004" s="35"/>
      <c r="ER1004" s="35"/>
      <c r="ES1004" s="35"/>
      <c r="ET1004" s="35"/>
      <c r="EU1004" s="35"/>
      <c r="EV1004" s="35"/>
      <c r="EW1004" s="35"/>
      <c r="EX1004" s="35"/>
      <c r="EY1004" s="35"/>
      <c r="EZ1004" s="35"/>
      <c r="FA1004" s="35"/>
      <c r="FB1004" s="35"/>
      <c r="FC1004" s="35"/>
      <c r="FD1004" s="35"/>
      <c r="FE1004" s="35"/>
      <c r="FF1004" s="35"/>
      <c r="FG1004" s="35"/>
      <c r="FH1004" s="35"/>
      <c r="FI1004" s="35"/>
      <c r="FJ1004" s="35"/>
      <c r="FK1004" s="35"/>
      <c r="FL1004" s="35"/>
      <c r="FM1004" s="35"/>
      <c r="FN1004" s="35"/>
      <c r="FO1004" s="35"/>
      <c r="FP1004" s="35"/>
      <c r="FQ1004" s="35"/>
      <c r="FR1004" s="35"/>
      <c r="FS1004" s="35"/>
      <c r="FT1004" s="35"/>
      <c r="FU1004" s="35"/>
      <c r="FV1004" s="35"/>
      <c r="FW1004" s="35"/>
      <c r="FX1004" s="35"/>
      <c r="FY1004" s="35"/>
      <c r="FZ1004" s="35"/>
      <c r="GA1004" s="35"/>
      <c r="GB1004" s="35"/>
      <c r="GC1004" s="35"/>
      <c r="GD1004" s="35"/>
      <c r="GE1004" s="35"/>
      <c r="GF1004" s="35"/>
      <c r="GG1004" s="35"/>
      <c r="GH1004" s="35"/>
      <c r="GI1004" s="35"/>
      <c r="GJ1004" s="29"/>
      <c r="GK1004" s="29"/>
      <c r="GL1004" s="29"/>
      <c r="GM1004" s="29"/>
      <c r="GN1004" s="29"/>
      <c r="GO1004" s="29"/>
      <c r="GP1004" s="29"/>
      <c r="GQ1004" s="29"/>
      <c r="GR1004" s="29"/>
      <c r="GS1004" s="29"/>
      <c r="GT1004" s="29"/>
      <c r="GU1004" s="29"/>
      <c r="GV1004" s="29"/>
      <c r="GW1004" s="29"/>
      <c r="GX1004" s="29"/>
      <c r="GY1004" s="29"/>
      <c r="GZ1004" s="29"/>
      <c r="HA1004" s="29"/>
      <c r="HB1004" s="29"/>
      <c r="HC1004" s="29"/>
      <c r="HD1004" s="29"/>
      <c r="HE1004" s="29"/>
      <c r="HF1004" s="29"/>
      <c r="HG1004" s="29"/>
      <c r="HH1004" s="29"/>
      <c r="HI1004" s="29"/>
      <c r="HJ1004" s="29"/>
      <c r="HK1004" s="29"/>
      <c r="HL1004" s="29"/>
      <c r="HM1004" s="29"/>
      <c r="HN1004" s="29"/>
      <c r="HO1004" s="29"/>
      <c r="HP1004" s="29"/>
      <c r="HQ1004" s="29"/>
      <c r="HR1004" s="29"/>
      <c r="HS1004" s="29"/>
      <c r="HT1004" s="29"/>
      <c r="HU1004" s="29"/>
      <c r="HV1004" s="29"/>
      <c r="HW1004" s="29"/>
      <c r="HX1004" s="29"/>
      <c r="HY1004" s="29"/>
      <c r="HZ1004" s="29"/>
      <c r="IA1004" s="29"/>
      <c r="IB1004" s="29"/>
      <c r="IC1004" s="29"/>
      <c r="ID1004" s="29"/>
      <c r="IE1004" s="29"/>
      <c r="IF1004" s="29"/>
      <c r="IG1004" s="29"/>
      <c r="IH1004" s="29"/>
      <c r="II1004" s="29"/>
      <c r="IJ1004" s="29"/>
      <c r="IK1004" s="29"/>
      <c r="IL1004" s="29"/>
      <c r="IM1004" s="29"/>
      <c r="IN1004" s="29"/>
      <c r="IO1004" s="29"/>
      <c r="IP1004" s="29"/>
      <c r="IQ1004" s="29"/>
      <c r="IR1004" s="29"/>
      <c r="IS1004" s="29"/>
      <c r="IT1004" s="29"/>
      <c r="IU1004" s="29"/>
      <c r="IV1004" s="29"/>
      <c r="IW1004" s="29"/>
      <c r="IX1004" s="29"/>
    </row>
    <row r="1005" spans="1:258" s="17" customFormat="1" ht="21.95" customHeight="1" x14ac:dyDescent="0.25">
      <c r="A1005" s="40" t="s">
        <v>1452</v>
      </c>
      <c r="B1005" s="23" t="s">
        <v>728</v>
      </c>
      <c r="C1005" s="2">
        <f t="shared" si="579"/>
        <v>2959000</v>
      </c>
      <c r="D1005" s="3">
        <f t="shared" si="578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4">
        <v>0</v>
      </c>
      <c r="L1005" s="3">
        <v>0</v>
      </c>
      <c r="M1005" s="3">
        <v>538</v>
      </c>
      <c r="N1005" s="3">
        <f t="shared" si="582"/>
        <v>2959000</v>
      </c>
      <c r="O1005" s="3">
        <v>0</v>
      </c>
      <c r="P1005" s="3">
        <v>0</v>
      </c>
      <c r="Q1005" s="3">
        <v>0</v>
      </c>
      <c r="R1005" s="3">
        <f t="shared" si="576"/>
        <v>0</v>
      </c>
      <c r="S1005" s="3">
        <v>0</v>
      </c>
      <c r="T1005" s="5">
        <v>0</v>
      </c>
      <c r="U1005" s="3">
        <v>0</v>
      </c>
      <c r="V1005" s="6">
        <f t="shared" si="577"/>
        <v>5500</v>
      </c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  <c r="BM1005" s="7"/>
      <c r="BN1005" s="7"/>
      <c r="BO1005" s="7"/>
      <c r="BP1005" s="7"/>
      <c r="BQ1005" s="7"/>
      <c r="BR1005" s="7"/>
      <c r="BS1005" s="7"/>
      <c r="BT1005" s="7"/>
      <c r="BU1005" s="7"/>
      <c r="BV1005" s="7"/>
      <c r="BW1005" s="7"/>
      <c r="BX1005" s="7"/>
      <c r="BY1005" s="7"/>
      <c r="BZ1005" s="7"/>
      <c r="CA1005" s="7"/>
      <c r="CB1005" s="7"/>
      <c r="CC1005" s="7"/>
      <c r="CD1005" s="7"/>
      <c r="CE1005" s="7"/>
      <c r="CF1005" s="7"/>
      <c r="CG1005" s="7"/>
      <c r="CH1005" s="7"/>
      <c r="CI1005" s="7"/>
      <c r="CJ1005" s="7"/>
      <c r="CK1005" s="7"/>
      <c r="CL1005" s="7"/>
      <c r="CM1005" s="7"/>
      <c r="CN1005" s="7"/>
      <c r="CO1005" s="7"/>
      <c r="CP1005" s="7"/>
      <c r="CQ1005" s="7"/>
      <c r="CR1005" s="7"/>
      <c r="CS1005" s="7"/>
      <c r="CT1005" s="7"/>
      <c r="CU1005" s="7"/>
      <c r="CV1005" s="7"/>
      <c r="CW1005" s="7"/>
      <c r="CX1005" s="7"/>
      <c r="CY1005" s="7"/>
      <c r="CZ1005" s="7"/>
      <c r="DA1005" s="7"/>
      <c r="DB1005" s="7"/>
      <c r="DC1005" s="7"/>
      <c r="DD1005" s="7"/>
      <c r="DE1005" s="7"/>
      <c r="DF1005" s="7"/>
      <c r="DG1005" s="7"/>
      <c r="DH1005" s="7"/>
      <c r="DI1005" s="7"/>
      <c r="DJ1005" s="7"/>
      <c r="DK1005" s="7"/>
      <c r="DL1005" s="7"/>
      <c r="DM1005" s="7"/>
      <c r="DN1005" s="7"/>
      <c r="DO1005" s="7"/>
      <c r="DP1005" s="7"/>
      <c r="DQ1005" s="7"/>
      <c r="DR1005" s="7"/>
      <c r="DS1005" s="7"/>
      <c r="DT1005" s="7"/>
      <c r="DU1005" s="7"/>
      <c r="DV1005" s="7"/>
      <c r="DW1005" s="7"/>
      <c r="DX1005" s="7"/>
      <c r="DY1005" s="7"/>
      <c r="DZ1005" s="7"/>
      <c r="EA1005" s="7"/>
      <c r="EB1005" s="7"/>
      <c r="EC1005" s="7"/>
      <c r="ED1005" s="7"/>
      <c r="EE1005" s="7"/>
      <c r="EF1005" s="7"/>
      <c r="EG1005" s="7"/>
      <c r="EH1005" s="7"/>
      <c r="EI1005" s="7"/>
      <c r="EJ1005" s="7"/>
      <c r="EK1005" s="7"/>
      <c r="EL1005" s="7"/>
      <c r="EM1005" s="7"/>
      <c r="EN1005" s="7"/>
      <c r="EO1005" s="7"/>
      <c r="EP1005" s="7"/>
      <c r="EQ1005" s="7"/>
      <c r="ER1005" s="7"/>
      <c r="ES1005" s="7"/>
      <c r="ET1005" s="7"/>
      <c r="EU1005" s="7"/>
      <c r="EV1005" s="7"/>
      <c r="EW1005" s="7"/>
      <c r="EX1005" s="7"/>
      <c r="EY1005" s="7"/>
      <c r="EZ1005" s="7"/>
      <c r="FA1005" s="7"/>
      <c r="FB1005" s="7"/>
      <c r="FC1005" s="7"/>
      <c r="FD1005" s="7"/>
      <c r="FE1005" s="7"/>
      <c r="FF1005" s="7"/>
      <c r="FG1005" s="7"/>
      <c r="FH1005" s="7"/>
      <c r="FI1005" s="7"/>
      <c r="FJ1005" s="7"/>
      <c r="FK1005" s="7"/>
      <c r="FL1005" s="7"/>
      <c r="FM1005" s="7"/>
      <c r="FN1005" s="7"/>
      <c r="FO1005" s="7"/>
      <c r="FP1005" s="7"/>
      <c r="FQ1005" s="7"/>
      <c r="FR1005" s="7"/>
      <c r="FS1005" s="7"/>
      <c r="FT1005" s="7"/>
      <c r="FU1005" s="7"/>
      <c r="FV1005" s="7"/>
      <c r="FW1005" s="7"/>
      <c r="FX1005" s="7"/>
      <c r="FY1005" s="7"/>
      <c r="FZ1005" s="7"/>
      <c r="GA1005" s="7"/>
      <c r="GB1005" s="7"/>
      <c r="GC1005" s="7"/>
      <c r="GD1005" s="7"/>
      <c r="GE1005" s="7"/>
      <c r="GF1005" s="7"/>
      <c r="GG1005" s="7"/>
      <c r="GH1005" s="7"/>
      <c r="GI1005" s="7"/>
      <c r="GJ1005" s="7"/>
      <c r="GK1005" s="7"/>
      <c r="GL1005" s="7"/>
      <c r="GM1005" s="7"/>
      <c r="GN1005" s="7"/>
      <c r="GO1005" s="7"/>
      <c r="GP1005" s="7"/>
      <c r="GQ1005" s="7"/>
      <c r="GR1005" s="7"/>
      <c r="GS1005" s="7"/>
      <c r="GT1005" s="7"/>
      <c r="GU1005" s="7"/>
      <c r="GV1005" s="7"/>
      <c r="GW1005" s="7"/>
      <c r="GX1005" s="7"/>
      <c r="GY1005" s="7"/>
      <c r="GZ1005" s="7"/>
      <c r="HA1005" s="7"/>
      <c r="HB1005" s="7"/>
      <c r="HC1005" s="7"/>
      <c r="HD1005" s="7"/>
      <c r="HE1005" s="7"/>
      <c r="HF1005" s="7"/>
      <c r="HG1005" s="7"/>
      <c r="HH1005" s="7"/>
      <c r="HI1005" s="7"/>
      <c r="HJ1005" s="7"/>
      <c r="HK1005" s="7"/>
      <c r="HL1005" s="7"/>
      <c r="HM1005" s="7"/>
      <c r="HN1005" s="7"/>
      <c r="HO1005" s="7"/>
      <c r="HP1005" s="7"/>
      <c r="HQ1005" s="7"/>
      <c r="HR1005" s="7"/>
      <c r="HS1005" s="7"/>
      <c r="HT1005" s="7"/>
      <c r="HU1005" s="7"/>
      <c r="HV1005" s="7"/>
      <c r="HW1005" s="7"/>
      <c r="HX1005" s="7"/>
      <c r="HY1005" s="7"/>
      <c r="HZ1005" s="7"/>
      <c r="IA1005" s="7"/>
      <c r="IB1005" s="7"/>
      <c r="IC1005" s="7"/>
      <c r="ID1005" s="7"/>
      <c r="IE1005" s="7"/>
      <c r="IF1005" s="7"/>
      <c r="IG1005" s="7"/>
      <c r="IH1005" s="7"/>
      <c r="II1005" s="7"/>
      <c r="IJ1005" s="7"/>
      <c r="IK1005" s="7"/>
      <c r="IL1005" s="7"/>
      <c r="IM1005" s="7"/>
      <c r="IN1005" s="7"/>
      <c r="IO1005" s="7"/>
      <c r="IP1005" s="7"/>
      <c r="IQ1005" s="7"/>
      <c r="IR1005" s="7"/>
      <c r="IS1005" s="7"/>
      <c r="IT1005" s="7"/>
      <c r="IU1005" s="7"/>
      <c r="IV1005" s="7"/>
      <c r="IW1005" s="7"/>
      <c r="IX1005" s="7"/>
    </row>
    <row r="1006" spans="1:258" s="6" customFormat="1" ht="21.95" customHeight="1" x14ac:dyDescent="0.25">
      <c r="A1006" s="40" t="s">
        <v>1453</v>
      </c>
      <c r="B1006" s="23" t="s">
        <v>803</v>
      </c>
      <c r="C1006" s="2">
        <f t="shared" si="579"/>
        <v>3570600.0000000005</v>
      </c>
      <c r="D1006" s="3">
        <f t="shared" si="578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5">
        <v>649.20000000000005</v>
      </c>
      <c r="N1006" s="3">
        <f t="shared" si="582"/>
        <v>3570600.0000000005</v>
      </c>
      <c r="O1006" s="3">
        <v>0</v>
      </c>
      <c r="P1006" s="3">
        <v>0</v>
      </c>
      <c r="Q1006" s="3">
        <v>0</v>
      </c>
      <c r="R1006" s="3">
        <f t="shared" si="576"/>
        <v>0</v>
      </c>
      <c r="S1006" s="3">
        <v>0</v>
      </c>
      <c r="T1006" s="5">
        <v>0</v>
      </c>
      <c r="U1006" s="3">
        <v>0</v>
      </c>
      <c r="V1006" s="6">
        <f t="shared" si="577"/>
        <v>5500</v>
      </c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7"/>
      <c r="DZ1006" s="7"/>
      <c r="EA1006" s="7"/>
      <c r="EB1006" s="7"/>
      <c r="EC1006" s="7"/>
      <c r="ED1006" s="7"/>
      <c r="EE1006" s="7"/>
      <c r="EF1006" s="7"/>
      <c r="EG1006" s="7"/>
      <c r="EH1006" s="7"/>
      <c r="EI1006" s="7"/>
      <c r="EJ1006" s="7"/>
      <c r="EK1006" s="7"/>
      <c r="EL1006" s="7"/>
      <c r="EM1006" s="7"/>
      <c r="EN1006" s="7"/>
      <c r="EO1006" s="7"/>
      <c r="EP1006" s="7"/>
      <c r="EQ1006" s="7"/>
      <c r="ER1006" s="7"/>
      <c r="ES1006" s="7"/>
      <c r="ET1006" s="7"/>
      <c r="EU1006" s="7"/>
      <c r="EV1006" s="7"/>
      <c r="EW1006" s="7"/>
      <c r="EX1006" s="7"/>
      <c r="EY1006" s="7"/>
      <c r="EZ1006" s="7"/>
      <c r="FA1006" s="7"/>
      <c r="FB1006" s="7"/>
      <c r="FC1006" s="7"/>
      <c r="FD1006" s="7"/>
      <c r="FE1006" s="7"/>
      <c r="FF1006" s="7"/>
      <c r="FG1006" s="7"/>
      <c r="FH1006" s="7"/>
      <c r="FI1006" s="7"/>
      <c r="FJ1006" s="7"/>
      <c r="FK1006" s="7"/>
      <c r="FL1006" s="7"/>
      <c r="FM1006" s="7"/>
      <c r="FN1006" s="7"/>
      <c r="FO1006" s="7"/>
      <c r="FP1006" s="7"/>
      <c r="FQ1006" s="7"/>
      <c r="FR1006" s="7"/>
      <c r="FS1006" s="7"/>
      <c r="FT1006" s="7"/>
      <c r="FU1006" s="7"/>
      <c r="FV1006" s="7"/>
      <c r="FW1006" s="7"/>
      <c r="FX1006" s="7"/>
      <c r="FY1006" s="7"/>
      <c r="FZ1006" s="7"/>
      <c r="GA1006" s="7"/>
      <c r="GB1006" s="7"/>
      <c r="GC1006" s="7"/>
      <c r="GD1006" s="7"/>
      <c r="GE1006" s="7"/>
      <c r="GF1006" s="7"/>
      <c r="GG1006" s="7"/>
      <c r="GH1006" s="7"/>
      <c r="GI1006" s="7"/>
      <c r="GJ1006" s="7"/>
      <c r="GK1006" s="7"/>
      <c r="GL1006" s="7"/>
      <c r="GM1006" s="7"/>
      <c r="GN1006" s="7"/>
      <c r="GO1006" s="7"/>
      <c r="GP1006" s="7"/>
      <c r="GQ1006" s="7"/>
      <c r="GR1006" s="7"/>
      <c r="GS1006" s="7"/>
      <c r="GT1006" s="7"/>
      <c r="GU1006" s="7"/>
      <c r="GV1006" s="7"/>
      <c r="GW1006" s="7"/>
      <c r="GX1006" s="7"/>
      <c r="GY1006" s="7"/>
      <c r="GZ1006" s="7"/>
      <c r="HA1006" s="7"/>
      <c r="HB1006" s="7"/>
      <c r="HC1006" s="7"/>
      <c r="HD1006" s="7"/>
      <c r="HE1006" s="7"/>
      <c r="HF1006" s="7"/>
      <c r="HG1006" s="7"/>
      <c r="HH1006" s="7"/>
      <c r="HI1006" s="7"/>
      <c r="HJ1006" s="7"/>
      <c r="HK1006" s="7"/>
      <c r="HL1006" s="7"/>
      <c r="HM1006" s="7"/>
      <c r="HN1006" s="7"/>
      <c r="HO1006" s="7"/>
      <c r="HP1006" s="7"/>
      <c r="HQ1006" s="7"/>
      <c r="HR1006" s="7"/>
      <c r="HS1006" s="7"/>
      <c r="HT1006" s="7"/>
      <c r="HU1006" s="7"/>
      <c r="HV1006" s="7"/>
      <c r="HW1006" s="7"/>
      <c r="HX1006" s="7"/>
      <c r="HY1006" s="7"/>
      <c r="HZ1006" s="7"/>
      <c r="IA1006" s="7"/>
      <c r="IB1006" s="7"/>
      <c r="IC1006" s="7"/>
      <c r="ID1006" s="7"/>
      <c r="IE1006" s="7"/>
      <c r="IF1006" s="7"/>
      <c r="IG1006" s="7"/>
      <c r="IH1006" s="7"/>
      <c r="II1006" s="7"/>
      <c r="IJ1006" s="7"/>
      <c r="IK1006" s="7"/>
      <c r="IL1006" s="7"/>
      <c r="IM1006" s="7"/>
      <c r="IN1006" s="7"/>
      <c r="IO1006" s="7"/>
      <c r="IP1006" s="7"/>
      <c r="IQ1006" s="7"/>
      <c r="IR1006" s="7"/>
      <c r="IS1006" s="7"/>
      <c r="IT1006" s="7"/>
      <c r="IU1006" s="7"/>
      <c r="IV1006" s="7"/>
      <c r="IW1006" s="7"/>
      <c r="IX1006" s="7"/>
    </row>
    <row r="1007" spans="1:258" s="17" customFormat="1" ht="21.95" customHeight="1" x14ac:dyDescent="0.25">
      <c r="A1007" s="40" t="s">
        <v>1454</v>
      </c>
      <c r="B1007" s="8" t="s">
        <v>804</v>
      </c>
      <c r="C1007" s="2">
        <f t="shared" si="579"/>
        <v>3587100.0000000005</v>
      </c>
      <c r="D1007" s="3">
        <f t="shared" si="578"/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4">
        <v>0</v>
      </c>
      <c r="L1007" s="3">
        <v>0</v>
      </c>
      <c r="M1007" s="5">
        <v>652.20000000000005</v>
      </c>
      <c r="N1007" s="3">
        <f t="shared" si="582"/>
        <v>3587100.0000000005</v>
      </c>
      <c r="O1007" s="3">
        <v>0</v>
      </c>
      <c r="P1007" s="3">
        <v>0</v>
      </c>
      <c r="Q1007" s="3">
        <v>0</v>
      </c>
      <c r="R1007" s="3">
        <f t="shared" si="576"/>
        <v>0</v>
      </c>
      <c r="S1007" s="3">
        <v>0</v>
      </c>
      <c r="T1007" s="5">
        <v>0</v>
      </c>
      <c r="U1007" s="3">
        <v>0</v>
      </c>
      <c r="V1007" s="6">
        <f t="shared" si="577"/>
        <v>5500</v>
      </c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  <c r="BM1007" s="7"/>
      <c r="BN1007" s="7"/>
      <c r="BO1007" s="7"/>
      <c r="BP1007" s="7"/>
      <c r="BQ1007" s="7"/>
      <c r="BR1007" s="7"/>
      <c r="BS1007" s="7"/>
      <c r="BT1007" s="7"/>
      <c r="BU1007" s="7"/>
      <c r="BV1007" s="7"/>
      <c r="BW1007" s="7"/>
      <c r="BX1007" s="7"/>
      <c r="BY1007" s="7"/>
      <c r="BZ1007" s="7"/>
      <c r="CA1007" s="7"/>
      <c r="CB1007" s="7"/>
      <c r="CC1007" s="7"/>
      <c r="CD1007" s="7"/>
      <c r="CE1007" s="7"/>
      <c r="CF1007" s="7"/>
      <c r="CG1007" s="7"/>
      <c r="CH1007" s="7"/>
      <c r="CI1007" s="7"/>
      <c r="CJ1007" s="7"/>
      <c r="CK1007" s="7"/>
      <c r="CL1007" s="7"/>
      <c r="CM1007" s="7"/>
      <c r="CN1007" s="7"/>
      <c r="CO1007" s="7"/>
      <c r="CP1007" s="7"/>
      <c r="CQ1007" s="7"/>
      <c r="CR1007" s="7"/>
      <c r="CS1007" s="7"/>
      <c r="CT1007" s="7"/>
      <c r="CU1007" s="7"/>
      <c r="CV1007" s="7"/>
      <c r="CW1007" s="7"/>
      <c r="CX1007" s="7"/>
      <c r="CY1007" s="7"/>
      <c r="CZ1007" s="7"/>
      <c r="DA1007" s="7"/>
      <c r="DB1007" s="7"/>
      <c r="DC1007" s="7"/>
      <c r="DD1007" s="7"/>
      <c r="DE1007" s="7"/>
      <c r="DF1007" s="7"/>
      <c r="DG1007" s="7"/>
      <c r="DH1007" s="7"/>
      <c r="DI1007" s="7"/>
      <c r="DJ1007" s="7"/>
      <c r="DK1007" s="7"/>
      <c r="DL1007" s="7"/>
      <c r="DM1007" s="7"/>
      <c r="DN1007" s="7"/>
      <c r="DO1007" s="7"/>
      <c r="DP1007" s="7"/>
      <c r="DQ1007" s="7"/>
      <c r="DR1007" s="7"/>
      <c r="DS1007" s="7"/>
      <c r="DT1007" s="7"/>
      <c r="DU1007" s="7"/>
      <c r="DV1007" s="7"/>
      <c r="DW1007" s="7"/>
      <c r="DX1007" s="7"/>
      <c r="DY1007" s="7"/>
      <c r="DZ1007" s="7"/>
      <c r="EA1007" s="7"/>
      <c r="EB1007" s="7"/>
      <c r="EC1007" s="7"/>
      <c r="ED1007" s="7"/>
      <c r="EE1007" s="7"/>
      <c r="EF1007" s="7"/>
      <c r="EG1007" s="7"/>
      <c r="EH1007" s="7"/>
      <c r="EI1007" s="7"/>
      <c r="EJ1007" s="7"/>
      <c r="EK1007" s="7"/>
      <c r="EL1007" s="7"/>
      <c r="EM1007" s="7"/>
      <c r="EN1007" s="7"/>
      <c r="EO1007" s="7"/>
      <c r="EP1007" s="7"/>
      <c r="EQ1007" s="7"/>
      <c r="ER1007" s="7"/>
      <c r="ES1007" s="7"/>
      <c r="ET1007" s="7"/>
      <c r="EU1007" s="7"/>
      <c r="EV1007" s="7"/>
      <c r="EW1007" s="7"/>
      <c r="EX1007" s="7"/>
      <c r="EY1007" s="7"/>
      <c r="EZ1007" s="7"/>
      <c r="FA1007" s="7"/>
      <c r="FB1007" s="7"/>
      <c r="FC1007" s="7"/>
      <c r="FD1007" s="7"/>
      <c r="FE1007" s="7"/>
      <c r="FF1007" s="7"/>
      <c r="FG1007" s="7"/>
      <c r="FH1007" s="7"/>
      <c r="FI1007" s="7"/>
      <c r="FJ1007" s="7"/>
      <c r="FK1007" s="7"/>
      <c r="FL1007" s="7"/>
      <c r="FM1007" s="7"/>
      <c r="FN1007" s="7"/>
      <c r="FO1007" s="7"/>
      <c r="FP1007" s="7"/>
      <c r="FQ1007" s="7"/>
      <c r="FR1007" s="7"/>
      <c r="FS1007" s="7"/>
      <c r="FT1007" s="7"/>
      <c r="FU1007" s="7"/>
      <c r="FV1007" s="7"/>
      <c r="FW1007" s="7"/>
      <c r="FX1007" s="7"/>
      <c r="FY1007" s="7"/>
      <c r="FZ1007" s="7"/>
      <c r="GA1007" s="7"/>
      <c r="GB1007" s="7"/>
      <c r="GC1007" s="7"/>
      <c r="GD1007" s="7"/>
      <c r="GE1007" s="7"/>
      <c r="GF1007" s="7"/>
      <c r="GG1007" s="7"/>
      <c r="GH1007" s="7"/>
      <c r="GI1007" s="7"/>
      <c r="GJ1007" s="7"/>
      <c r="GK1007" s="7"/>
      <c r="GL1007" s="7"/>
      <c r="GM1007" s="7"/>
      <c r="GN1007" s="7"/>
      <c r="GO1007" s="7"/>
      <c r="GP1007" s="7"/>
      <c r="GQ1007" s="7"/>
      <c r="GR1007" s="7"/>
      <c r="GS1007" s="7"/>
      <c r="GT1007" s="7"/>
      <c r="GU1007" s="7"/>
      <c r="GV1007" s="7"/>
      <c r="GW1007" s="7"/>
      <c r="GX1007" s="7"/>
      <c r="GY1007" s="7"/>
      <c r="GZ1007" s="7"/>
      <c r="HA1007" s="7"/>
      <c r="HB1007" s="7"/>
      <c r="HC1007" s="7"/>
      <c r="HD1007" s="7"/>
      <c r="HE1007" s="7"/>
      <c r="HF1007" s="7"/>
      <c r="HG1007" s="7"/>
      <c r="HH1007" s="7"/>
      <c r="HI1007" s="7"/>
      <c r="HJ1007" s="7"/>
      <c r="HK1007" s="7"/>
      <c r="HL1007" s="7"/>
      <c r="HM1007" s="7"/>
      <c r="HN1007" s="7"/>
      <c r="HO1007" s="7"/>
      <c r="HP1007" s="7"/>
      <c r="HQ1007" s="7"/>
      <c r="HR1007" s="7"/>
      <c r="HS1007" s="7"/>
      <c r="HT1007" s="7"/>
      <c r="HU1007" s="7"/>
      <c r="HV1007" s="7"/>
      <c r="HW1007" s="7"/>
      <c r="HX1007" s="7"/>
      <c r="HY1007" s="7"/>
      <c r="HZ1007" s="7"/>
      <c r="IA1007" s="7"/>
      <c r="IB1007" s="7"/>
      <c r="IC1007" s="7"/>
      <c r="ID1007" s="7"/>
      <c r="IE1007" s="7"/>
      <c r="IF1007" s="7"/>
      <c r="IG1007" s="7"/>
      <c r="IH1007" s="7"/>
      <c r="II1007" s="7"/>
      <c r="IJ1007" s="7"/>
      <c r="IK1007" s="7"/>
      <c r="IL1007" s="7"/>
      <c r="IM1007" s="7"/>
      <c r="IN1007" s="7"/>
      <c r="IO1007" s="7"/>
      <c r="IP1007" s="7"/>
      <c r="IQ1007" s="7"/>
      <c r="IR1007" s="7"/>
      <c r="IS1007" s="7"/>
      <c r="IT1007" s="7"/>
      <c r="IU1007" s="7"/>
      <c r="IV1007" s="7"/>
      <c r="IW1007" s="7"/>
      <c r="IX1007" s="7"/>
    </row>
    <row r="1008" spans="1:258" s="17" customFormat="1" ht="21.95" customHeight="1" x14ac:dyDescent="0.25">
      <c r="A1008" s="40" t="s">
        <v>1455</v>
      </c>
      <c r="B1008" s="8" t="s">
        <v>805</v>
      </c>
      <c r="C1008" s="2">
        <f t="shared" si="579"/>
        <v>2830848</v>
      </c>
      <c r="D1008" s="3">
        <f t="shared" si="578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4">
        <v>0</v>
      </c>
      <c r="L1008" s="3">
        <v>0</v>
      </c>
      <c r="M1008" s="5">
        <v>768</v>
      </c>
      <c r="N1008" s="3">
        <f>M1008*3686</f>
        <v>2830848</v>
      </c>
      <c r="O1008" s="3">
        <v>0</v>
      </c>
      <c r="P1008" s="3">
        <v>0</v>
      </c>
      <c r="Q1008" s="3">
        <v>0</v>
      </c>
      <c r="R1008" s="3">
        <f t="shared" si="576"/>
        <v>0</v>
      </c>
      <c r="S1008" s="3">
        <v>0</v>
      </c>
      <c r="T1008" s="5">
        <v>0</v>
      </c>
      <c r="U1008" s="3">
        <v>0</v>
      </c>
      <c r="V1008" s="6">
        <f t="shared" si="577"/>
        <v>3686</v>
      </c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  <c r="BR1008" s="7"/>
      <c r="BS1008" s="7"/>
      <c r="BT1008" s="7"/>
      <c r="BU1008" s="7"/>
      <c r="BV1008" s="7"/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K1008" s="7"/>
      <c r="CL1008" s="7"/>
      <c r="CM1008" s="7"/>
      <c r="CN1008" s="7"/>
      <c r="CO1008" s="7"/>
      <c r="CP1008" s="7"/>
      <c r="CQ1008" s="7"/>
      <c r="CR1008" s="7"/>
      <c r="CS1008" s="7"/>
      <c r="CT1008" s="7"/>
      <c r="CU1008" s="7"/>
      <c r="CV1008" s="7"/>
      <c r="CW1008" s="7"/>
      <c r="CX1008" s="7"/>
      <c r="CY1008" s="7"/>
      <c r="CZ1008" s="7"/>
      <c r="DA1008" s="7"/>
      <c r="DB1008" s="7"/>
      <c r="DC1008" s="7"/>
      <c r="DD1008" s="7"/>
      <c r="DE1008" s="7"/>
      <c r="DF1008" s="7"/>
      <c r="DG1008" s="7"/>
      <c r="DH1008" s="7"/>
      <c r="DI1008" s="7"/>
      <c r="DJ1008" s="7"/>
      <c r="DK1008" s="7"/>
      <c r="DL1008" s="7"/>
      <c r="DM1008" s="7"/>
      <c r="DN1008" s="7"/>
      <c r="DO1008" s="7"/>
      <c r="DP1008" s="7"/>
      <c r="DQ1008" s="7"/>
      <c r="DR1008" s="7"/>
      <c r="DS1008" s="7"/>
      <c r="DT1008" s="7"/>
      <c r="DU1008" s="7"/>
      <c r="DV1008" s="7"/>
      <c r="DW1008" s="7"/>
      <c r="DX1008" s="7"/>
      <c r="DY1008" s="7"/>
      <c r="DZ1008" s="7"/>
      <c r="EA1008" s="7"/>
      <c r="EB1008" s="7"/>
      <c r="EC1008" s="7"/>
      <c r="ED1008" s="7"/>
      <c r="EE1008" s="7"/>
      <c r="EF1008" s="7"/>
      <c r="EG1008" s="7"/>
      <c r="EH1008" s="7"/>
      <c r="EI1008" s="7"/>
      <c r="EJ1008" s="7"/>
      <c r="EK1008" s="7"/>
      <c r="EL1008" s="7"/>
      <c r="EM1008" s="7"/>
      <c r="EN1008" s="7"/>
      <c r="EO1008" s="7"/>
      <c r="EP1008" s="7"/>
      <c r="EQ1008" s="7"/>
      <c r="ER1008" s="7"/>
      <c r="ES1008" s="7"/>
      <c r="ET1008" s="7"/>
      <c r="EU1008" s="7"/>
      <c r="EV1008" s="7"/>
      <c r="EW1008" s="7"/>
      <c r="EX1008" s="7"/>
      <c r="EY1008" s="7"/>
      <c r="EZ1008" s="7"/>
      <c r="FA1008" s="7"/>
      <c r="FB1008" s="7"/>
      <c r="FC1008" s="7"/>
      <c r="FD1008" s="7"/>
      <c r="FE1008" s="7"/>
      <c r="FF1008" s="7"/>
      <c r="FG1008" s="7"/>
      <c r="FH1008" s="7"/>
      <c r="FI1008" s="7"/>
      <c r="FJ1008" s="7"/>
      <c r="FK1008" s="7"/>
      <c r="FL1008" s="7"/>
      <c r="FM1008" s="7"/>
      <c r="FN1008" s="7"/>
      <c r="FO1008" s="7"/>
      <c r="FP1008" s="7"/>
      <c r="FQ1008" s="7"/>
      <c r="FR1008" s="7"/>
      <c r="FS1008" s="7"/>
      <c r="FT1008" s="7"/>
      <c r="FU1008" s="7"/>
      <c r="FV1008" s="7"/>
      <c r="FW1008" s="7"/>
      <c r="FX1008" s="7"/>
      <c r="FY1008" s="7"/>
      <c r="FZ1008" s="7"/>
      <c r="GA1008" s="7"/>
      <c r="GB1008" s="7"/>
      <c r="GC1008" s="7"/>
      <c r="GD1008" s="7"/>
      <c r="GE1008" s="7"/>
      <c r="GF1008" s="7"/>
      <c r="GG1008" s="7"/>
      <c r="GH1008" s="7"/>
      <c r="GI1008" s="7"/>
      <c r="GJ1008" s="7"/>
      <c r="GK1008" s="7"/>
      <c r="GL1008" s="7"/>
      <c r="GM1008" s="7"/>
      <c r="GN1008" s="7"/>
      <c r="GO1008" s="7"/>
      <c r="GP1008" s="7"/>
      <c r="GQ1008" s="7"/>
      <c r="GR1008" s="7"/>
      <c r="GS1008" s="7"/>
      <c r="GT1008" s="7"/>
      <c r="GU1008" s="7"/>
      <c r="GV1008" s="7"/>
      <c r="GW1008" s="7"/>
      <c r="GX1008" s="7"/>
      <c r="GY1008" s="7"/>
      <c r="GZ1008" s="7"/>
      <c r="HA1008" s="7"/>
      <c r="HB1008" s="7"/>
      <c r="HC1008" s="7"/>
      <c r="HD1008" s="7"/>
      <c r="HE1008" s="7"/>
      <c r="HF1008" s="7"/>
      <c r="HG1008" s="7"/>
      <c r="HH1008" s="7"/>
      <c r="HI1008" s="7"/>
      <c r="HJ1008" s="7"/>
      <c r="HK1008" s="7"/>
      <c r="HL1008" s="7"/>
      <c r="HM1008" s="7"/>
      <c r="HN1008" s="7"/>
      <c r="HO1008" s="7"/>
      <c r="HP1008" s="7"/>
      <c r="HQ1008" s="7"/>
      <c r="HR1008" s="7"/>
      <c r="HS1008" s="7"/>
      <c r="HT1008" s="7"/>
      <c r="HU1008" s="7"/>
      <c r="HV1008" s="7"/>
      <c r="HW1008" s="7"/>
      <c r="HX1008" s="7"/>
      <c r="HY1008" s="7"/>
      <c r="HZ1008" s="7"/>
      <c r="IA1008" s="7"/>
      <c r="IB1008" s="7"/>
      <c r="IC1008" s="7"/>
      <c r="ID1008" s="7"/>
      <c r="IE1008" s="7"/>
      <c r="IF1008" s="7"/>
      <c r="IG1008" s="7"/>
      <c r="IH1008" s="7"/>
      <c r="II1008" s="7"/>
      <c r="IJ1008" s="7"/>
      <c r="IK1008" s="7"/>
      <c r="IL1008" s="7"/>
      <c r="IM1008" s="7"/>
      <c r="IN1008" s="7"/>
      <c r="IO1008" s="7"/>
      <c r="IP1008" s="7"/>
      <c r="IQ1008" s="7"/>
      <c r="IR1008" s="7"/>
      <c r="IS1008" s="7"/>
      <c r="IT1008" s="7"/>
      <c r="IU1008" s="7"/>
      <c r="IV1008" s="7"/>
      <c r="IW1008" s="7"/>
      <c r="IX1008" s="7"/>
    </row>
    <row r="1009" spans="1:258" ht="21.95" customHeight="1" x14ac:dyDescent="0.25">
      <c r="A1009" s="40" t="s">
        <v>1456</v>
      </c>
      <c r="B1009" s="23" t="s">
        <v>484</v>
      </c>
      <c r="C1009" s="2">
        <f>D1009+L1009+N1009+P1009+R1009+S1009+T1009+U1009</f>
        <v>6004635</v>
      </c>
      <c r="D1009" s="3">
        <f>SUM(E1009:J1009)</f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3">
        <v>1132.95</v>
      </c>
      <c r="N1009" s="3">
        <f>M1009*5300</f>
        <v>6004635</v>
      </c>
      <c r="O1009" s="3">
        <v>0</v>
      </c>
      <c r="P1009" s="3">
        <v>0</v>
      </c>
      <c r="Q1009" s="3">
        <v>0</v>
      </c>
      <c r="R1009" s="3">
        <v>0</v>
      </c>
      <c r="S1009" s="3">
        <v>0</v>
      </c>
      <c r="T1009" s="3">
        <v>0</v>
      </c>
      <c r="U1009" s="3">
        <v>0</v>
      </c>
      <c r="V1009" s="6">
        <f>N1009/M1009</f>
        <v>5300</v>
      </c>
    </row>
    <row r="1010" spans="1:258" ht="21.95" customHeight="1" x14ac:dyDescent="0.25">
      <c r="A1010" s="40" t="s">
        <v>1457</v>
      </c>
      <c r="B1010" s="23" t="s">
        <v>806</v>
      </c>
      <c r="C1010" s="2">
        <f t="shared" si="579"/>
        <v>3138300</v>
      </c>
      <c r="D1010" s="3">
        <f t="shared" si="578"/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4">
        <v>0</v>
      </c>
      <c r="L1010" s="3">
        <v>0</v>
      </c>
      <c r="M1010" s="5">
        <v>570.6</v>
      </c>
      <c r="N1010" s="3">
        <f t="shared" ref="N1010" si="583">M1010*5500</f>
        <v>3138300</v>
      </c>
      <c r="O1010" s="3">
        <v>0</v>
      </c>
      <c r="P1010" s="3">
        <v>0</v>
      </c>
      <c r="Q1010" s="3">
        <v>0</v>
      </c>
      <c r="R1010" s="3">
        <f t="shared" si="576"/>
        <v>0</v>
      </c>
      <c r="S1010" s="3">
        <v>0</v>
      </c>
      <c r="T1010" s="5">
        <v>0</v>
      </c>
      <c r="U1010" s="3">
        <v>0</v>
      </c>
      <c r="V1010" s="6">
        <f t="shared" si="577"/>
        <v>5500</v>
      </c>
    </row>
    <row r="1011" spans="1:258" ht="21.95" customHeight="1" x14ac:dyDescent="0.25">
      <c r="A1011" s="40" t="s">
        <v>1458</v>
      </c>
      <c r="B1011" s="23" t="s">
        <v>807</v>
      </c>
      <c r="C1011" s="2">
        <f t="shared" si="579"/>
        <v>3117399.9999999995</v>
      </c>
      <c r="D1011" s="3">
        <f t="shared" si="578"/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4">
        <v>0</v>
      </c>
      <c r="L1011" s="3">
        <v>0</v>
      </c>
      <c r="M1011" s="5">
        <v>566.79999999999995</v>
      </c>
      <c r="N1011" s="3">
        <f t="shared" ref="N1011:N1017" si="584">M1011*5500</f>
        <v>3117399.9999999995</v>
      </c>
      <c r="O1011" s="3">
        <v>0</v>
      </c>
      <c r="P1011" s="3">
        <v>0</v>
      </c>
      <c r="Q1011" s="3">
        <v>0</v>
      </c>
      <c r="R1011" s="3">
        <f t="shared" si="576"/>
        <v>0</v>
      </c>
      <c r="S1011" s="3">
        <v>0</v>
      </c>
      <c r="T1011" s="5">
        <v>0</v>
      </c>
      <c r="U1011" s="3">
        <v>0</v>
      </c>
      <c r="V1011" s="6">
        <f t="shared" si="577"/>
        <v>5500</v>
      </c>
    </row>
    <row r="1012" spans="1:258" ht="21.95" customHeight="1" x14ac:dyDescent="0.25">
      <c r="A1012" s="40" t="s">
        <v>1459</v>
      </c>
      <c r="B1012" s="23" t="s">
        <v>808</v>
      </c>
      <c r="C1012" s="2">
        <f t="shared" si="579"/>
        <v>3117399.9999999995</v>
      </c>
      <c r="D1012" s="3">
        <f t="shared" si="578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5">
        <v>566.79999999999995</v>
      </c>
      <c r="N1012" s="3">
        <f t="shared" si="584"/>
        <v>3117399.9999999995</v>
      </c>
      <c r="O1012" s="3">
        <v>0</v>
      </c>
      <c r="P1012" s="3">
        <v>0</v>
      </c>
      <c r="Q1012" s="3">
        <v>0</v>
      </c>
      <c r="R1012" s="3">
        <f t="shared" si="576"/>
        <v>0</v>
      </c>
      <c r="S1012" s="3">
        <v>0</v>
      </c>
      <c r="T1012" s="5">
        <v>0</v>
      </c>
      <c r="U1012" s="3">
        <v>0</v>
      </c>
      <c r="V1012" s="6">
        <f t="shared" si="577"/>
        <v>5500</v>
      </c>
    </row>
    <row r="1013" spans="1:258" s="30" customFormat="1" ht="21.95" customHeight="1" x14ac:dyDescent="0.25">
      <c r="A1013" s="40" t="s">
        <v>1460</v>
      </c>
      <c r="B1013" s="8" t="s">
        <v>729</v>
      </c>
      <c r="C1013" s="2">
        <f t="shared" si="579"/>
        <v>3119050</v>
      </c>
      <c r="D1013" s="3">
        <f t="shared" si="578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4">
        <v>0</v>
      </c>
      <c r="L1013" s="3">
        <v>0</v>
      </c>
      <c r="M1013" s="3">
        <v>567.1</v>
      </c>
      <c r="N1013" s="3">
        <f t="shared" si="584"/>
        <v>3119050</v>
      </c>
      <c r="O1013" s="3">
        <v>0</v>
      </c>
      <c r="P1013" s="3">
        <v>0</v>
      </c>
      <c r="Q1013" s="3">
        <v>0</v>
      </c>
      <c r="R1013" s="3">
        <f t="shared" si="576"/>
        <v>0</v>
      </c>
      <c r="S1013" s="3">
        <v>0</v>
      </c>
      <c r="T1013" s="5">
        <v>0</v>
      </c>
      <c r="U1013" s="3">
        <v>0</v>
      </c>
      <c r="V1013" s="6">
        <f t="shared" si="577"/>
        <v>5500</v>
      </c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7"/>
      <c r="DZ1013" s="7"/>
      <c r="EA1013" s="7"/>
      <c r="EB1013" s="7"/>
      <c r="EC1013" s="7"/>
      <c r="ED1013" s="7"/>
      <c r="EE1013" s="7"/>
      <c r="EF1013" s="7"/>
      <c r="EG1013" s="7"/>
      <c r="EH1013" s="7"/>
      <c r="EI1013" s="7"/>
      <c r="EJ1013" s="7"/>
      <c r="EK1013" s="7"/>
      <c r="EL1013" s="7"/>
      <c r="EM1013" s="7"/>
      <c r="EN1013" s="7"/>
      <c r="EO1013" s="7"/>
      <c r="EP1013" s="7"/>
      <c r="EQ1013" s="7"/>
      <c r="ER1013" s="7"/>
      <c r="ES1013" s="7"/>
      <c r="ET1013" s="7"/>
      <c r="EU1013" s="7"/>
      <c r="EV1013" s="7"/>
      <c r="EW1013" s="7"/>
      <c r="EX1013" s="7"/>
      <c r="EY1013" s="7"/>
      <c r="EZ1013" s="7"/>
      <c r="FA1013" s="7"/>
      <c r="FB1013" s="7"/>
      <c r="FC1013" s="7"/>
      <c r="FD1013" s="7"/>
      <c r="FE1013" s="7"/>
      <c r="FF1013" s="7"/>
      <c r="FG1013" s="7"/>
      <c r="FH1013" s="7"/>
      <c r="FI1013" s="7"/>
      <c r="FJ1013" s="7"/>
      <c r="FK1013" s="7"/>
      <c r="FL1013" s="7"/>
      <c r="FM1013" s="7"/>
      <c r="FN1013" s="7"/>
      <c r="FO1013" s="7"/>
      <c r="FP1013" s="7"/>
      <c r="FQ1013" s="7"/>
      <c r="FR1013" s="7"/>
      <c r="FS1013" s="7"/>
      <c r="FT1013" s="7"/>
      <c r="FU1013" s="7"/>
      <c r="FV1013" s="7"/>
      <c r="FW1013" s="7"/>
      <c r="FX1013" s="7"/>
      <c r="FY1013" s="7"/>
      <c r="FZ1013" s="7"/>
      <c r="GA1013" s="7"/>
      <c r="GB1013" s="7"/>
      <c r="GC1013" s="7"/>
      <c r="GD1013" s="7"/>
      <c r="GE1013" s="7"/>
      <c r="GF1013" s="7"/>
      <c r="GG1013" s="7"/>
      <c r="GH1013" s="7"/>
      <c r="GI1013" s="7"/>
      <c r="GJ1013" s="7"/>
      <c r="GK1013" s="7"/>
      <c r="GL1013" s="7"/>
      <c r="GM1013" s="7"/>
      <c r="GN1013" s="7"/>
      <c r="GO1013" s="7"/>
      <c r="GP1013" s="7"/>
      <c r="GQ1013" s="7"/>
      <c r="GR1013" s="7"/>
      <c r="GS1013" s="7"/>
      <c r="GT1013" s="7"/>
      <c r="GU1013" s="7"/>
      <c r="GV1013" s="7"/>
      <c r="GW1013" s="7"/>
      <c r="GX1013" s="7"/>
      <c r="GY1013" s="7"/>
      <c r="GZ1013" s="7"/>
      <c r="HA1013" s="7"/>
      <c r="HB1013" s="7"/>
      <c r="HC1013" s="7"/>
      <c r="HD1013" s="7"/>
      <c r="HE1013" s="7"/>
      <c r="HF1013" s="7"/>
      <c r="HG1013" s="7"/>
      <c r="HH1013" s="7"/>
      <c r="HI1013" s="7"/>
      <c r="HJ1013" s="7"/>
      <c r="HK1013" s="7"/>
      <c r="HL1013" s="7"/>
      <c r="HM1013" s="7"/>
      <c r="HN1013" s="7"/>
      <c r="HO1013" s="7"/>
      <c r="HP1013" s="7"/>
      <c r="HQ1013" s="7"/>
      <c r="HR1013" s="7"/>
      <c r="HS1013" s="7"/>
      <c r="HT1013" s="7"/>
      <c r="HU1013" s="7"/>
      <c r="HV1013" s="7"/>
      <c r="HW1013" s="7"/>
      <c r="HX1013" s="7"/>
      <c r="HY1013" s="7"/>
      <c r="HZ1013" s="7"/>
      <c r="IA1013" s="7"/>
      <c r="IB1013" s="7"/>
      <c r="IC1013" s="7"/>
      <c r="ID1013" s="7"/>
      <c r="IE1013" s="7"/>
      <c r="IF1013" s="7"/>
      <c r="IG1013" s="7"/>
      <c r="IH1013" s="7"/>
      <c r="II1013" s="7"/>
      <c r="IJ1013" s="7"/>
      <c r="IK1013" s="7"/>
      <c r="IL1013" s="7"/>
      <c r="IM1013" s="7"/>
      <c r="IN1013" s="7"/>
      <c r="IO1013" s="7"/>
      <c r="IP1013" s="7"/>
      <c r="IQ1013" s="7"/>
      <c r="IR1013" s="7"/>
      <c r="IS1013" s="7"/>
      <c r="IT1013" s="7"/>
      <c r="IU1013" s="7"/>
      <c r="IV1013" s="7"/>
      <c r="IW1013" s="7"/>
      <c r="IX1013" s="7"/>
    </row>
    <row r="1014" spans="1:258" s="30" customFormat="1" ht="21.95" customHeight="1" x14ac:dyDescent="0.25">
      <c r="A1014" s="40" t="s">
        <v>1461</v>
      </c>
      <c r="B1014" s="8" t="s">
        <v>730</v>
      </c>
      <c r="C1014" s="2">
        <f t="shared" si="579"/>
        <v>2861649.9999999995</v>
      </c>
      <c r="D1014" s="3">
        <f t="shared" si="578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5">
        <v>520.29999999999995</v>
      </c>
      <c r="N1014" s="3">
        <f t="shared" si="584"/>
        <v>2861649.9999999995</v>
      </c>
      <c r="O1014" s="3">
        <v>0</v>
      </c>
      <c r="P1014" s="3">
        <v>0</v>
      </c>
      <c r="Q1014" s="3">
        <v>0</v>
      </c>
      <c r="R1014" s="3">
        <f t="shared" si="576"/>
        <v>0</v>
      </c>
      <c r="S1014" s="3">
        <v>0</v>
      </c>
      <c r="T1014" s="5">
        <v>0</v>
      </c>
      <c r="U1014" s="3">
        <v>0</v>
      </c>
      <c r="V1014" s="6">
        <f t="shared" si="577"/>
        <v>5500</v>
      </c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  <c r="BM1014" s="7"/>
      <c r="BN1014" s="7"/>
      <c r="BO1014" s="7"/>
      <c r="BP1014" s="7"/>
      <c r="BQ1014" s="7"/>
      <c r="BR1014" s="7"/>
      <c r="BS1014" s="7"/>
      <c r="BT1014" s="7"/>
      <c r="BU1014" s="7"/>
      <c r="BV1014" s="7"/>
      <c r="BW1014" s="7"/>
      <c r="BX1014" s="7"/>
      <c r="BY1014" s="7"/>
      <c r="BZ1014" s="7"/>
      <c r="CA1014" s="7"/>
      <c r="CB1014" s="7"/>
      <c r="CC1014" s="7"/>
      <c r="CD1014" s="7"/>
      <c r="CE1014" s="7"/>
      <c r="CF1014" s="7"/>
      <c r="CG1014" s="7"/>
      <c r="CH1014" s="7"/>
      <c r="CI1014" s="7"/>
      <c r="CJ1014" s="7"/>
      <c r="CK1014" s="7"/>
      <c r="CL1014" s="7"/>
      <c r="CM1014" s="7"/>
      <c r="CN1014" s="7"/>
      <c r="CO1014" s="7"/>
      <c r="CP1014" s="7"/>
      <c r="CQ1014" s="7"/>
      <c r="CR1014" s="7"/>
      <c r="CS1014" s="7"/>
      <c r="CT1014" s="7"/>
      <c r="CU1014" s="7"/>
      <c r="CV1014" s="7"/>
      <c r="CW1014" s="7"/>
      <c r="CX1014" s="7"/>
      <c r="CY1014" s="7"/>
      <c r="CZ1014" s="7"/>
      <c r="DA1014" s="7"/>
      <c r="DB1014" s="7"/>
      <c r="DC1014" s="7"/>
      <c r="DD1014" s="7"/>
      <c r="DE1014" s="7"/>
      <c r="DF1014" s="7"/>
      <c r="DG1014" s="7"/>
      <c r="DH1014" s="7"/>
      <c r="DI1014" s="7"/>
      <c r="DJ1014" s="7"/>
      <c r="DK1014" s="7"/>
      <c r="DL1014" s="7"/>
      <c r="DM1014" s="7"/>
      <c r="DN1014" s="7"/>
      <c r="DO1014" s="7"/>
      <c r="DP1014" s="7"/>
      <c r="DQ1014" s="7"/>
      <c r="DR1014" s="7"/>
      <c r="DS1014" s="7"/>
      <c r="DT1014" s="7"/>
      <c r="DU1014" s="7"/>
      <c r="DV1014" s="7"/>
      <c r="DW1014" s="7"/>
      <c r="DX1014" s="7"/>
      <c r="DY1014" s="7"/>
      <c r="DZ1014" s="7"/>
      <c r="EA1014" s="7"/>
      <c r="EB1014" s="7"/>
      <c r="EC1014" s="7"/>
      <c r="ED1014" s="7"/>
      <c r="EE1014" s="7"/>
      <c r="EF1014" s="7"/>
      <c r="EG1014" s="7"/>
      <c r="EH1014" s="7"/>
      <c r="EI1014" s="7"/>
      <c r="EJ1014" s="7"/>
      <c r="EK1014" s="7"/>
      <c r="EL1014" s="7"/>
      <c r="EM1014" s="7"/>
      <c r="EN1014" s="7"/>
      <c r="EO1014" s="7"/>
      <c r="EP1014" s="7"/>
      <c r="EQ1014" s="7"/>
      <c r="ER1014" s="7"/>
      <c r="ES1014" s="7"/>
      <c r="ET1014" s="7"/>
      <c r="EU1014" s="7"/>
      <c r="EV1014" s="7"/>
      <c r="EW1014" s="7"/>
      <c r="EX1014" s="7"/>
      <c r="EY1014" s="7"/>
      <c r="EZ1014" s="7"/>
      <c r="FA1014" s="7"/>
      <c r="FB1014" s="7"/>
      <c r="FC1014" s="7"/>
      <c r="FD1014" s="7"/>
      <c r="FE1014" s="7"/>
      <c r="FF1014" s="7"/>
      <c r="FG1014" s="7"/>
      <c r="FH1014" s="7"/>
      <c r="FI1014" s="7"/>
      <c r="FJ1014" s="7"/>
      <c r="FK1014" s="7"/>
      <c r="FL1014" s="7"/>
      <c r="FM1014" s="7"/>
      <c r="FN1014" s="7"/>
      <c r="FO1014" s="7"/>
      <c r="FP1014" s="7"/>
      <c r="FQ1014" s="7"/>
      <c r="FR1014" s="7"/>
      <c r="FS1014" s="7"/>
      <c r="FT1014" s="7"/>
      <c r="FU1014" s="7"/>
      <c r="FV1014" s="7"/>
      <c r="FW1014" s="7"/>
      <c r="FX1014" s="7"/>
      <c r="FY1014" s="7"/>
      <c r="FZ1014" s="7"/>
      <c r="GA1014" s="7"/>
      <c r="GB1014" s="7"/>
      <c r="GC1014" s="7"/>
      <c r="GD1014" s="7"/>
      <c r="GE1014" s="7"/>
      <c r="GF1014" s="7"/>
      <c r="GG1014" s="7"/>
      <c r="GH1014" s="7"/>
      <c r="GI1014" s="7"/>
      <c r="GJ1014" s="7"/>
      <c r="GK1014" s="7"/>
      <c r="GL1014" s="7"/>
      <c r="GM1014" s="7"/>
      <c r="GN1014" s="7"/>
      <c r="GO1014" s="7"/>
      <c r="GP1014" s="7"/>
      <c r="GQ1014" s="7"/>
      <c r="GR1014" s="7"/>
      <c r="GS1014" s="7"/>
      <c r="GT1014" s="7"/>
      <c r="GU1014" s="7"/>
      <c r="GV1014" s="7"/>
      <c r="GW1014" s="7"/>
      <c r="GX1014" s="7"/>
      <c r="GY1014" s="7"/>
      <c r="GZ1014" s="7"/>
      <c r="HA1014" s="7"/>
      <c r="HB1014" s="7"/>
      <c r="HC1014" s="7"/>
      <c r="HD1014" s="7"/>
      <c r="HE1014" s="7"/>
      <c r="HF1014" s="7"/>
      <c r="HG1014" s="7"/>
      <c r="HH1014" s="7"/>
      <c r="HI1014" s="7"/>
      <c r="HJ1014" s="7"/>
      <c r="HK1014" s="7"/>
      <c r="HL1014" s="7"/>
      <c r="HM1014" s="7"/>
      <c r="HN1014" s="7"/>
      <c r="HO1014" s="7"/>
      <c r="HP1014" s="7"/>
      <c r="HQ1014" s="7"/>
      <c r="HR1014" s="7"/>
      <c r="HS1014" s="7"/>
      <c r="HT1014" s="7"/>
      <c r="HU1014" s="7"/>
      <c r="HV1014" s="7"/>
      <c r="HW1014" s="7"/>
      <c r="HX1014" s="7"/>
      <c r="HY1014" s="7"/>
      <c r="HZ1014" s="7"/>
      <c r="IA1014" s="7"/>
      <c r="IB1014" s="7"/>
      <c r="IC1014" s="7"/>
      <c r="ID1014" s="7"/>
      <c r="IE1014" s="7"/>
      <c r="IF1014" s="7"/>
      <c r="IG1014" s="7"/>
      <c r="IH1014" s="7"/>
      <c r="II1014" s="7"/>
      <c r="IJ1014" s="7"/>
      <c r="IK1014" s="7"/>
      <c r="IL1014" s="7"/>
      <c r="IM1014" s="7"/>
      <c r="IN1014" s="7"/>
      <c r="IO1014" s="7"/>
      <c r="IP1014" s="7"/>
      <c r="IQ1014" s="7"/>
      <c r="IR1014" s="7"/>
      <c r="IS1014" s="7"/>
      <c r="IT1014" s="7"/>
      <c r="IU1014" s="7"/>
      <c r="IV1014" s="7"/>
      <c r="IW1014" s="7"/>
      <c r="IX1014" s="7"/>
    </row>
    <row r="1015" spans="1:258" s="30" customFormat="1" ht="21.95" customHeight="1" x14ac:dyDescent="0.25">
      <c r="A1015" s="40" t="s">
        <v>1462</v>
      </c>
      <c r="B1015" s="8" t="s">
        <v>731</v>
      </c>
      <c r="C1015" s="2">
        <f t="shared" si="579"/>
        <v>2653750</v>
      </c>
      <c r="D1015" s="3">
        <f t="shared" si="578"/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4">
        <v>0</v>
      </c>
      <c r="L1015" s="3">
        <v>0</v>
      </c>
      <c r="M1015" s="3">
        <v>482.5</v>
      </c>
      <c r="N1015" s="3">
        <f t="shared" si="584"/>
        <v>2653750</v>
      </c>
      <c r="O1015" s="3">
        <v>0</v>
      </c>
      <c r="P1015" s="3">
        <v>0</v>
      </c>
      <c r="Q1015" s="3">
        <v>0</v>
      </c>
      <c r="R1015" s="3">
        <f t="shared" si="576"/>
        <v>0</v>
      </c>
      <c r="S1015" s="3">
        <v>0</v>
      </c>
      <c r="T1015" s="5">
        <v>0</v>
      </c>
      <c r="U1015" s="3">
        <v>0</v>
      </c>
      <c r="V1015" s="6">
        <f t="shared" si="577"/>
        <v>5500</v>
      </c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  <c r="BM1015" s="7"/>
      <c r="BN1015" s="7"/>
      <c r="BO1015" s="7"/>
      <c r="BP1015" s="7"/>
      <c r="BQ1015" s="7"/>
      <c r="BR1015" s="7"/>
      <c r="BS1015" s="7"/>
      <c r="BT1015" s="7"/>
      <c r="BU1015" s="7"/>
      <c r="BV1015" s="7"/>
      <c r="BW1015" s="7"/>
      <c r="BX1015" s="7"/>
      <c r="BY1015" s="7"/>
      <c r="BZ1015" s="7"/>
      <c r="CA1015" s="7"/>
      <c r="CB1015" s="7"/>
      <c r="CC1015" s="7"/>
      <c r="CD1015" s="7"/>
      <c r="CE1015" s="7"/>
      <c r="CF1015" s="7"/>
      <c r="CG1015" s="7"/>
      <c r="CH1015" s="7"/>
      <c r="CI1015" s="7"/>
      <c r="CJ1015" s="7"/>
      <c r="CK1015" s="7"/>
      <c r="CL1015" s="7"/>
      <c r="CM1015" s="7"/>
      <c r="CN1015" s="7"/>
      <c r="CO1015" s="7"/>
      <c r="CP1015" s="7"/>
      <c r="CQ1015" s="7"/>
      <c r="CR1015" s="7"/>
      <c r="CS1015" s="7"/>
      <c r="CT1015" s="7"/>
      <c r="CU1015" s="7"/>
      <c r="CV1015" s="7"/>
      <c r="CW1015" s="7"/>
      <c r="CX1015" s="7"/>
      <c r="CY1015" s="7"/>
      <c r="CZ1015" s="7"/>
      <c r="DA1015" s="7"/>
      <c r="DB1015" s="7"/>
      <c r="DC1015" s="7"/>
      <c r="DD1015" s="7"/>
      <c r="DE1015" s="7"/>
      <c r="DF1015" s="7"/>
      <c r="DG1015" s="7"/>
      <c r="DH1015" s="7"/>
      <c r="DI1015" s="7"/>
      <c r="DJ1015" s="7"/>
      <c r="DK1015" s="7"/>
      <c r="DL1015" s="7"/>
      <c r="DM1015" s="7"/>
      <c r="DN1015" s="7"/>
      <c r="DO1015" s="7"/>
      <c r="DP1015" s="7"/>
      <c r="DQ1015" s="7"/>
      <c r="DR1015" s="7"/>
      <c r="DS1015" s="7"/>
      <c r="DT1015" s="7"/>
      <c r="DU1015" s="7"/>
      <c r="DV1015" s="7"/>
      <c r="DW1015" s="7"/>
      <c r="DX1015" s="7"/>
      <c r="DY1015" s="7"/>
      <c r="DZ1015" s="7"/>
      <c r="EA1015" s="7"/>
      <c r="EB1015" s="7"/>
      <c r="EC1015" s="7"/>
      <c r="ED1015" s="7"/>
      <c r="EE1015" s="7"/>
      <c r="EF1015" s="7"/>
      <c r="EG1015" s="7"/>
      <c r="EH1015" s="7"/>
      <c r="EI1015" s="7"/>
      <c r="EJ1015" s="7"/>
      <c r="EK1015" s="7"/>
      <c r="EL1015" s="7"/>
      <c r="EM1015" s="7"/>
      <c r="EN1015" s="7"/>
      <c r="EO1015" s="7"/>
      <c r="EP1015" s="7"/>
      <c r="EQ1015" s="7"/>
      <c r="ER1015" s="7"/>
      <c r="ES1015" s="7"/>
      <c r="ET1015" s="7"/>
      <c r="EU1015" s="7"/>
      <c r="EV1015" s="7"/>
      <c r="EW1015" s="7"/>
      <c r="EX1015" s="7"/>
      <c r="EY1015" s="7"/>
      <c r="EZ1015" s="7"/>
      <c r="FA1015" s="7"/>
      <c r="FB1015" s="7"/>
      <c r="FC1015" s="7"/>
      <c r="FD1015" s="7"/>
      <c r="FE1015" s="7"/>
      <c r="FF1015" s="7"/>
      <c r="FG1015" s="7"/>
      <c r="FH1015" s="7"/>
      <c r="FI1015" s="7"/>
      <c r="FJ1015" s="7"/>
      <c r="FK1015" s="7"/>
      <c r="FL1015" s="7"/>
      <c r="FM1015" s="7"/>
      <c r="FN1015" s="7"/>
      <c r="FO1015" s="7"/>
      <c r="FP1015" s="7"/>
      <c r="FQ1015" s="7"/>
      <c r="FR1015" s="7"/>
      <c r="FS1015" s="7"/>
      <c r="FT1015" s="7"/>
      <c r="FU1015" s="7"/>
      <c r="FV1015" s="7"/>
      <c r="FW1015" s="7"/>
      <c r="FX1015" s="7"/>
      <c r="FY1015" s="7"/>
      <c r="FZ1015" s="7"/>
      <c r="GA1015" s="7"/>
      <c r="GB1015" s="7"/>
      <c r="GC1015" s="7"/>
      <c r="GD1015" s="7"/>
      <c r="GE1015" s="7"/>
      <c r="GF1015" s="7"/>
      <c r="GG1015" s="7"/>
      <c r="GH1015" s="7"/>
      <c r="GI1015" s="7"/>
      <c r="GJ1015" s="7"/>
      <c r="GK1015" s="7"/>
      <c r="GL1015" s="7"/>
      <c r="GM1015" s="7"/>
      <c r="GN1015" s="7"/>
      <c r="GO1015" s="7"/>
      <c r="GP1015" s="7"/>
      <c r="GQ1015" s="7"/>
      <c r="GR1015" s="7"/>
      <c r="GS1015" s="7"/>
      <c r="GT1015" s="7"/>
      <c r="GU1015" s="7"/>
      <c r="GV1015" s="7"/>
      <c r="GW1015" s="7"/>
      <c r="GX1015" s="7"/>
      <c r="GY1015" s="7"/>
      <c r="GZ1015" s="7"/>
      <c r="HA1015" s="7"/>
      <c r="HB1015" s="7"/>
      <c r="HC1015" s="7"/>
      <c r="HD1015" s="7"/>
      <c r="HE1015" s="7"/>
      <c r="HF1015" s="7"/>
      <c r="HG1015" s="7"/>
      <c r="HH1015" s="7"/>
      <c r="HI1015" s="7"/>
      <c r="HJ1015" s="7"/>
      <c r="HK1015" s="7"/>
      <c r="HL1015" s="7"/>
      <c r="HM1015" s="7"/>
      <c r="HN1015" s="7"/>
      <c r="HO1015" s="7"/>
      <c r="HP1015" s="7"/>
      <c r="HQ1015" s="7"/>
      <c r="HR1015" s="7"/>
      <c r="HS1015" s="7"/>
      <c r="HT1015" s="7"/>
      <c r="HU1015" s="7"/>
      <c r="HV1015" s="7"/>
      <c r="HW1015" s="7"/>
      <c r="HX1015" s="7"/>
      <c r="HY1015" s="7"/>
      <c r="HZ1015" s="7"/>
      <c r="IA1015" s="7"/>
      <c r="IB1015" s="7"/>
      <c r="IC1015" s="7"/>
      <c r="ID1015" s="7"/>
      <c r="IE1015" s="7"/>
      <c r="IF1015" s="7"/>
      <c r="IG1015" s="7"/>
      <c r="IH1015" s="7"/>
      <c r="II1015" s="7"/>
      <c r="IJ1015" s="7"/>
      <c r="IK1015" s="7"/>
      <c r="IL1015" s="7"/>
      <c r="IM1015" s="7"/>
      <c r="IN1015" s="7"/>
      <c r="IO1015" s="7"/>
      <c r="IP1015" s="7"/>
      <c r="IQ1015" s="7"/>
      <c r="IR1015" s="7"/>
      <c r="IS1015" s="7"/>
      <c r="IT1015" s="7"/>
      <c r="IU1015" s="7"/>
      <c r="IV1015" s="7"/>
      <c r="IW1015" s="7"/>
      <c r="IX1015" s="7"/>
    </row>
    <row r="1016" spans="1:258" ht="21.95" customHeight="1" x14ac:dyDescent="0.25">
      <c r="A1016" s="40" t="s">
        <v>1463</v>
      </c>
      <c r="B1016" s="8" t="s">
        <v>732</v>
      </c>
      <c r="C1016" s="2">
        <f t="shared" si="579"/>
        <v>1430000</v>
      </c>
      <c r="D1016" s="3">
        <f t="shared" si="578"/>
        <v>0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4">
        <v>0</v>
      </c>
      <c r="L1016" s="3">
        <v>0</v>
      </c>
      <c r="M1016" s="3">
        <v>260</v>
      </c>
      <c r="N1016" s="3">
        <f t="shared" si="584"/>
        <v>1430000</v>
      </c>
      <c r="O1016" s="3">
        <v>0</v>
      </c>
      <c r="P1016" s="3">
        <v>0</v>
      </c>
      <c r="Q1016" s="3">
        <v>0</v>
      </c>
      <c r="R1016" s="3">
        <f t="shared" si="576"/>
        <v>0</v>
      </c>
      <c r="S1016" s="3">
        <v>0</v>
      </c>
      <c r="T1016" s="5">
        <v>0</v>
      </c>
      <c r="U1016" s="3">
        <v>0</v>
      </c>
      <c r="V1016" s="6">
        <f t="shared" si="577"/>
        <v>5500</v>
      </c>
    </row>
    <row r="1017" spans="1:258" ht="21.95" customHeight="1" x14ac:dyDescent="0.25">
      <c r="A1017" s="40" t="s">
        <v>1464</v>
      </c>
      <c r="B1017" s="8" t="s">
        <v>733</v>
      </c>
      <c r="C1017" s="2">
        <f t="shared" si="579"/>
        <v>1397000</v>
      </c>
      <c r="D1017" s="3">
        <f t="shared" si="578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4">
        <v>0</v>
      </c>
      <c r="L1017" s="3">
        <v>0</v>
      </c>
      <c r="M1017" s="3">
        <v>254</v>
      </c>
      <c r="N1017" s="3">
        <f t="shared" si="584"/>
        <v>1397000</v>
      </c>
      <c r="O1017" s="3">
        <v>0</v>
      </c>
      <c r="P1017" s="3">
        <v>0</v>
      </c>
      <c r="Q1017" s="3">
        <v>0</v>
      </c>
      <c r="R1017" s="3">
        <f t="shared" si="576"/>
        <v>0</v>
      </c>
      <c r="S1017" s="3">
        <v>0</v>
      </c>
      <c r="T1017" s="5">
        <v>0</v>
      </c>
      <c r="U1017" s="3">
        <v>0</v>
      </c>
      <c r="V1017" s="6">
        <f t="shared" si="577"/>
        <v>5500</v>
      </c>
    </row>
    <row r="1018" spans="1:258" ht="21.95" customHeight="1" x14ac:dyDescent="0.25">
      <c r="A1018" s="40" t="s">
        <v>1465</v>
      </c>
      <c r="B1018" s="8" t="s">
        <v>1167</v>
      </c>
      <c r="C1018" s="2">
        <f t="shared" si="579"/>
        <v>3340621.8</v>
      </c>
      <c r="D1018" s="3">
        <f t="shared" si="578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4">
        <v>0</v>
      </c>
      <c r="L1018" s="3">
        <v>0</v>
      </c>
      <c r="M1018" s="5">
        <v>906.3</v>
      </c>
      <c r="N1018" s="3">
        <f>M1018*3686</f>
        <v>3340621.8</v>
      </c>
      <c r="O1018" s="3">
        <v>0</v>
      </c>
      <c r="P1018" s="3">
        <v>0</v>
      </c>
      <c r="Q1018" s="3">
        <v>0</v>
      </c>
      <c r="R1018" s="3">
        <f t="shared" si="576"/>
        <v>0</v>
      </c>
      <c r="S1018" s="3">
        <v>0</v>
      </c>
      <c r="T1018" s="5">
        <v>0</v>
      </c>
      <c r="U1018" s="3">
        <v>0</v>
      </c>
      <c r="V1018" s="6">
        <f t="shared" si="577"/>
        <v>3686</v>
      </c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  <c r="BG1018" s="17"/>
      <c r="BH1018" s="17"/>
      <c r="BI1018" s="17"/>
      <c r="BJ1018" s="17"/>
      <c r="BK1018" s="17"/>
      <c r="BL1018" s="17"/>
      <c r="BM1018" s="17"/>
      <c r="BN1018" s="17"/>
      <c r="BO1018" s="17"/>
      <c r="BP1018" s="17"/>
      <c r="BQ1018" s="17"/>
      <c r="BR1018" s="17"/>
      <c r="BS1018" s="17"/>
      <c r="BT1018" s="17"/>
      <c r="BU1018" s="17"/>
      <c r="BV1018" s="17"/>
      <c r="BW1018" s="17"/>
      <c r="BX1018" s="17"/>
      <c r="BY1018" s="17"/>
      <c r="BZ1018" s="17"/>
      <c r="CA1018" s="17"/>
      <c r="CB1018" s="17"/>
      <c r="CC1018" s="17"/>
      <c r="CD1018" s="17"/>
      <c r="CE1018" s="17"/>
      <c r="CF1018" s="17"/>
      <c r="CG1018" s="17"/>
      <c r="CH1018" s="17"/>
      <c r="CI1018" s="17"/>
      <c r="CJ1018" s="17"/>
      <c r="CK1018" s="17"/>
      <c r="CL1018" s="17"/>
      <c r="CM1018" s="17"/>
      <c r="CN1018" s="17"/>
      <c r="CO1018" s="17"/>
      <c r="CP1018" s="17"/>
      <c r="CQ1018" s="17"/>
      <c r="CR1018" s="17"/>
      <c r="CS1018" s="17"/>
      <c r="CT1018" s="17"/>
      <c r="CU1018" s="17"/>
      <c r="CV1018" s="17"/>
      <c r="CW1018" s="17"/>
      <c r="CX1018" s="17"/>
      <c r="CY1018" s="17"/>
      <c r="CZ1018" s="17"/>
      <c r="DA1018" s="17"/>
      <c r="DB1018" s="17"/>
      <c r="DC1018" s="17"/>
      <c r="DD1018" s="17"/>
      <c r="DE1018" s="17"/>
      <c r="DF1018" s="17"/>
      <c r="DG1018" s="17"/>
      <c r="DH1018" s="17"/>
      <c r="DI1018" s="17"/>
      <c r="DJ1018" s="17"/>
      <c r="DK1018" s="17"/>
      <c r="DL1018" s="17"/>
      <c r="DM1018" s="17"/>
      <c r="DN1018" s="17"/>
      <c r="DO1018" s="17"/>
      <c r="DP1018" s="17"/>
      <c r="DQ1018" s="17"/>
      <c r="DR1018" s="17"/>
      <c r="DS1018" s="17"/>
      <c r="DT1018" s="17"/>
      <c r="DU1018" s="17"/>
      <c r="DV1018" s="17"/>
      <c r="DW1018" s="17"/>
      <c r="DX1018" s="17"/>
      <c r="DY1018" s="17"/>
      <c r="DZ1018" s="17"/>
      <c r="EA1018" s="17"/>
      <c r="EB1018" s="17"/>
      <c r="EC1018" s="17"/>
      <c r="ED1018" s="17"/>
      <c r="EE1018" s="17"/>
      <c r="EF1018" s="17"/>
      <c r="EG1018" s="17"/>
      <c r="EH1018" s="17"/>
      <c r="EI1018" s="17"/>
      <c r="EJ1018" s="17"/>
      <c r="EK1018" s="17"/>
      <c r="EL1018" s="17"/>
      <c r="EM1018" s="17"/>
      <c r="EN1018" s="17"/>
      <c r="EO1018" s="17"/>
      <c r="EP1018" s="17"/>
      <c r="EQ1018" s="17"/>
      <c r="ER1018" s="17"/>
      <c r="ES1018" s="17"/>
      <c r="ET1018" s="17"/>
      <c r="EU1018" s="17"/>
      <c r="EV1018" s="17"/>
      <c r="EW1018" s="17"/>
      <c r="EX1018" s="17"/>
      <c r="EY1018" s="17"/>
      <c r="EZ1018" s="17"/>
      <c r="FA1018" s="17"/>
      <c r="FB1018" s="17"/>
      <c r="FC1018" s="17"/>
      <c r="FD1018" s="17"/>
      <c r="FE1018" s="17"/>
      <c r="FF1018" s="17"/>
      <c r="FG1018" s="17"/>
      <c r="FH1018" s="17"/>
      <c r="FI1018" s="17"/>
      <c r="FJ1018" s="17"/>
      <c r="FK1018" s="17"/>
      <c r="FL1018" s="17"/>
      <c r="FM1018" s="17"/>
      <c r="FN1018" s="17"/>
      <c r="FO1018" s="17"/>
      <c r="FP1018" s="17"/>
      <c r="FQ1018" s="17"/>
      <c r="FR1018" s="17"/>
      <c r="FS1018" s="17"/>
      <c r="FT1018" s="17"/>
      <c r="FU1018" s="17"/>
      <c r="FV1018" s="17"/>
      <c r="FW1018" s="17"/>
      <c r="FX1018" s="17"/>
      <c r="FY1018" s="17"/>
      <c r="FZ1018" s="17"/>
      <c r="GA1018" s="17"/>
      <c r="GB1018" s="17"/>
      <c r="GC1018" s="17"/>
      <c r="GD1018" s="17"/>
      <c r="GE1018" s="17"/>
      <c r="GF1018" s="17"/>
      <c r="GG1018" s="17"/>
      <c r="GH1018" s="17"/>
      <c r="GI1018" s="17"/>
      <c r="GJ1018" s="17"/>
      <c r="GK1018" s="17"/>
      <c r="GL1018" s="17"/>
      <c r="GM1018" s="17"/>
      <c r="GN1018" s="17"/>
      <c r="GO1018" s="17"/>
      <c r="GP1018" s="17"/>
      <c r="GQ1018" s="17"/>
      <c r="GR1018" s="17"/>
      <c r="GS1018" s="17"/>
      <c r="GT1018" s="17"/>
      <c r="GU1018" s="17"/>
      <c r="GV1018" s="17"/>
      <c r="GW1018" s="17"/>
      <c r="GX1018" s="17"/>
      <c r="GY1018" s="17"/>
      <c r="GZ1018" s="17"/>
      <c r="HA1018" s="17"/>
      <c r="HB1018" s="17"/>
      <c r="HC1018" s="17"/>
      <c r="HD1018" s="17"/>
      <c r="HE1018" s="17"/>
      <c r="HF1018" s="17"/>
      <c r="HG1018" s="17"/>
      <c r="HH1018" s="17"/>
      <c r="HI1018" s="17"/>
      <c r="HJ1018" s="17"/>
      <c r="HK1018" s="17"/>
      <c r="HL1018" s="17"/>
      <c r="HM1018" s="17"/>
      <c r="HN1018" s="17"/>
      <c r="HO1018" s="17"/>
      <c r="HP1018" s="17"/>
      <c r="HQ1018" s="17"/>
      <c r="HR1018" s="17"/>
      <c r="HS1018" s="17"/>
      <c r="HT1018" s="17"/>
      <c r="HU1018" s="17"/>
      <c r="HV1018" s="17"/>
      <c r="HW1018" s="17"/>
      <c r="HX1018" s="17"/>
      <c r="HY1018" s="17"/>
      <c r="HZ1018" s="17"/>
      <c r="IA1018" s="17"/>
      <c r="IB1018" s="17"/>
      <c r="IC1018" s="17"/>
      <c r="ID1018" s="17"/>
      <c r="IE1018" s="17"/>
      <c r="IF1018" s="17"/>
      <c r="IG1018" s="17"/>
      <c r="IH1018" s="17"/>
      <c r="II1018" s="17"/>
      <c r="IJ1018" s="17"/>
      <c r="IK1018" s="17"/>
      <c r="IL1018" s="17"/>
      <c r="IM1018" s="17"/>
      <c r="IN1018" s="17"/>
      <c r="IO1018" s="17"/>
      <c r="IP1018" s="17"/>
      <c r="IQ1018" s="17"/>
      <c r="IR1018" s="17"/>
      <c r="IS1018" s="17"/>
      <c r="IT1018" s="17"/>
      <c r="IU1018" s="17"/>
      <c r="IV1018" s="17"/>
      <c r="IW1018" s="17"/>
      <c r="IX1018" s="17"/>
    </row>
    <row r="1019" spans="1:258" ht="21.95" customHeight="1" x14ac:dyDescent="0.25">
      <c r="A1019" s="40" t="s">
        <v>1466</v>
      </c>
      <c r="B1019" s="8" t="s">
        <v>734</v>
      </c>
      <c r="C1019" s="2">
        <f t="shared" si="579"/>
        <v>2171950</v>
      </c>
      <c r="D1019" s="3">
        <f t="shared" si="578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4">
        <v>0</v>
      </c>
      <c r="L1019" s="3">
        <v>0</v>
      </c>
      <c r="M1019" s="3">
        <v>394.9</v>
      </c>
      <c r="N1019" s="3">
        <f t="shared" ref="N1019:N1026" si="585">M1019*5500</f>
        <v>2171950</v>
      </c>
      <c r="O1019" s="3">
        <v>0</v>
      </c>
      <c r="P1019" s="3">
        <v>0</v>
      </c>
      <c r="Q1019" s="3">
        <v>0</v>
      </c>
      <c r="R1019" s="3">
        <f t="shared" si="576"/>
        <v>0</v>
      </c>
      <c r="S1019" s="3">
        <v>0</v>
      </c>
      <c r="T1019" s="5">
        <v>0</v>
      </c>
      <c r="U1019" s="3">
        <v>0</v>
      </c>
      <c r="V1019" s="6">
        <f t="shared" si="577"/>
        <v>5500</v>
      </c>
    </row>
    <row r="1020" spans="1:258" ht="21.95" customHeight="1" x14ac:dyDescent="0.25">
      <c r="A1020" s="40" t="s">
        <v>1467</v>
      </c>
      <c r="B1020" s="8" t="s">
        <v>809</v>
      </c>
      <c r="C1020" s="2">
        <f t="shared" si="579"/>
        <v>1092300</v>
      </c>
      <c r="D1020" s="3">
        <f t="shared" si="578"/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4">
        <v>0</v>
      </c>
      <c r="L1020" s="3">
        <v>0</v>
      </c>
      <c r="M1020" s="5">
        <v>198.6</v>
      </c>
      <c r="N1020" s="3">
        <f t="shared" si="585"/>
        <v>1092300</v>
      </c>
      <c r="O1020" s="3">
        <v>0</v>
      </c>
      <c r="P1020" s="3">
        <v>0</v>
      </c>
      <c r="Q1020" s="3">
        <v>0</v>
      </c>
      <c r="R1020" s="3">
        <f t="shared" si="576"/>
        <v>0</v>
      </c>
      <c r="S1020" s="3">
        <v>0</v>
      </c>
      <c r="T1020" s="5">
        <v>0</v>
      </c>
      <c r="U1020" s="3">
        <v>0</v>
      </c>
      <c r="V1020" s="6">
        <f t="shared" si="577"/>
        <v>5500</v>
      </c>
    </row>
    <row r="1021" spans="1:258" ht="21.95" customHeight="1" x14ac:dyDescent="0.25">
      <c r="A1021" s="40" t="s">
        <v>1468</v>
      </c>
      <c r="B1021" s="8" t="s">
        <v>735</v>
      </c>
      <c r="C1021" s="2">
        <f t="shared" si="579"/>
        <v>1589500</v>
      </c>
      <c r="D1021" s="3">
        <f t="shared" si="578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4">
        <v>0</v>
      </c>
      <c r="L1021" s="3">
        <v>0</v>
      </c>
      <c r="M1021" s="3">
        <v>289</v>
      </c>
      <c r="N1021" s="3">
        <f t="shared" si="585"/>
        <v>1589500</v>
      </c>
      <c r="O1021" s="3">
        <v>0</v>
      </c>
      <c r="P1021" s="3">
        <v>0</v>
      </c>
      <c r="Q1021" s="3">
        <v>0</v>
      </c>
      <c r="R1021" s="3">
        <f t="shared" si="576"/>
        <v>0</v>
      </c>
      <c r="S1021" s="3">
        <v>0</v>
      </c>
      <c r="T1021" s="5">
        <v>0</v>
      </c>
      <c r="U1021" s="3">
        <v>0</v>
      </c>
      <c r="V1021" s="6">
        <f t="shared" si="577"/>
        <v>5500</v>
      </c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7"/>
      <c r="AV1021" s="17"/>
      <c r="AW1021" s="17"/>
      <c r="AX1021" s="17"/>
      <c r="AY1021" s="17"/>
      <c r="AZ1021" s="17"/>
      <c r="BA1021" s="17"/>
      <c r="BB1021" s="17"/>
      <c r="BC1021" s="17"/>
      <c r="BD1021" s="17"/>
      <c r="BE1021" s="17"/>
      <c r="BF1021" s="17"/>
      <c r="BG1021" s="17"/>
      <c r="BH1021" s="17"/>
      <c r="BI1021" s="17"/>
      <c r="BJ1021" s="17"/>
      <c r="BK1021" s="17"/>
      <c r="BL1021" s="17"/>
      <c r="BM1021" s="17"/>
      <c r="BN1021" s="17"/>
      <c r="BO1021" s="17"/>
      <c r="BP1021" s="17"/>
      <c r="BQ1021" s="17"/>
      <c r="BR1021" s="17"/>
      <c r="BS1021" s="17"/>
      <c r="BT1021" s="17"/>
      <c r="BU1021" s="17"/>
      <c r="BV1021" s="17"/>
      <c r="BW1021" s="17"/>
      <c r="BX1021" s="17"/>
      <c r="BY1021" s="17"/>
      <c r="BZ1021" s="17"/>
      <c r="CA1021" s="17"/>
      <c r="CB1021" s="17"/>
      <c r="CC1021" s="17"/>
      <c r="CD1021" s="17"/>
      <c r="CE1021" s="17"/>
      <c r="CF1021" s="17"/>
      <c r="CG1021" s="17"/>
      <c r="CH1021" s="17"/>
      <c r="CI1021" s="17"/>
      <c r="CJ1021" s="17"/>
      <c r="CK1021" s="17"/>
      <c r="CL1021" s="17"/>
      <c r="CM1021" s="17"/>
      <c r="CN1021" s="17"/>
      <c r="CO1021" s="17"/>
      <c r="CP1021" s="17"/>
      <c r="CQ1021" s="17"/>
      <c r="CR1021" s="17"/>
      <c r="CS1021" s="17"/>
      <c r="CT1021" s="17"/>
      <c r="CU1021" s="17"/>
      <c r="CV1021" s="17"/>
      <c r="CW1021" s="17"/>
      <c r="CX1021" s="17"/>
      <c r="CY1021" s="17"/>
      <c r="CZ1021" s="17"/>
      <c r="DA1021" s="17"/>
      <c r="DB1021" s="17"/>
      <c r="DC1021" s="17"/>
      <c r="DD1021" s="17"/>
      <c r="DE1021" s="17"/>
      <c r="DF1021" s="17"/>
      <c r="DG1021" s="17"/>
      <c r="DH1021" s="17"/>
      <c r="DI1021" s="17"/>
      <c r="DJ1021" s="17"/>
      <c r="DK1021" s="17"/>
      <c r="DL1021" s="17"/>
      <c r="DM1021" s="17"/>
      <c r="DN1021" s="17"/>
      <c r="DO1021" s="17"/>
      <c r="DP1021" s="17"/>
      <c r="DQ1021" s="17"/>
      <c r="DR1021" s="17"/>
      <c r="DS1021" s="17"/>
      <c r="DT1021" s="17"/>
      <c r="DU1021" s="17"/>
      <c r="DV1021" s="17"/>
      <c r="DW1021" s="17"/>
      <c r="DX1021" s="17"/>
      <c r="DY1021" s="17"/>
      <c r="DZ1021" s="17"/>
      <c r="EA1021" s="17"/>
      <c r="EB1021" s="17"/>
      <c r="EC1021" s="17"/>
      <c r="ED1021" s="17"/>
      <c r="EE1021" s="17"/>
      <c r="EF1021" s="17"/>
      <c r="EG1021" s="17"/>
      <c r="EH1021" s="17"/>
      <c r="EI1021" s="17"/>
      <c r="EJ1021" s="17"/>
      <c r="EK1021" s="17"/>
      <c r="EL1021" s="17"/>
      <c r="EM1021" s="17"/>
      <c r="EN1021" s="17"/>
      <c r="EO1021" s="17"/>
      <c r="EP1021" s="17"/>
      <c r="EQ1021" s="17"/>
      <c r="ER1021" s="17"/>
      <c r="ES1021" s="17"/>
      <c r="ET1021" s="17"/>
      <c r="EU1021" s="17"/>
      <c r="EV1021" s="17"/>
      <c r="EW1021" s="17"/>
      <c r="EX1021" s="17"/>
      <c r="EY1021" s="17"/>
      <c r="EZ1021" s="17"/>
      <c r="FA1021" s="17"/>
      <c r="FB1021" s="17"/>
      <c r="FC1021" s="17"/>
      <c r="FD1021" s="17"/>
      <c r="FE1021" s="17"/>
      <c r="FF1021" s="17"/>
      <c r="FG1021" s="17"/>
      <c r="FH1021" s="17"/>
      <c r="FI1021" s="17"/>
      <c r="FJ1021" s="17"/>
      <c r="FK1021" s="17"/>
      <c r="FL1021" s="17"/>
      <c r="FM1021" s="17"/>
      <c r="FN1021" s="17"/>
      <c r="FO1021" s="17"/>
      <c r="FP1021" s="17"/>
      <c r="FQ1021" s="17"/>
      <c r="FR1021" s="17"/>
      <c r="FS1021" s="17"/>
      <c r="FT1021" s="17"/>
      <c r="FU1021" s="17"/>
      <c r="FV1021" s="17"/>
      <c r="FW1021" s="17"/>
      <c r="FX1021" s="17"/>
      <c r="FY1021" s="17"/>
      <c r="FZ1021" s="17"/>
      <c r="GA1021" s="17"/>
      <c r="GB1021" s="17"/>
      <c r="GC1021" s="17"/>
      <c r="GD1021" s="17"/>
      <c r="GE1021" s="17"/>
      <c r="GF1021" s="17"/>
      <c r="GG1021" s="17"/>
      <c r="GH1021" s="17"/>
      <c r="GI1021" s="17"/>
    </row>
    <row r="1022" spans="1:258" ht="21.95" customHeight="1" x14ac:dyDescent="0.25">
      <c r="A1022" s="40" t="s">
        <v>1469</v>
      </c>
      <c r="B1022" s="23" t="s">
        <v>810</v>
      </c>
      <c r="C1022" s="2">
        <f t="shared" si="579"/>
        <v>3155350.0000000005</v>
      </c>
      <c r="D1022" s="3">
        <f t="shared" si="578"/>
        <v>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4">
        <v>0</v>
      </c>
      <c r="L1022" s="3">
        <v>0</v>
      </c>
      <c r="M1022" s="5">
        <v>573.70000000000005</v>
      </c>
      <c r="N1022" s="3">
        <f t="shared" si="585"/>
        <v>3155350.0000000005</v>
      </c>
      <c r="O1022" s="3">
        <v>0</v>
      </c>
      <c r="P1022" s="3">
        <v>0</v>
      </c>
      <c r="Q1022" s="3">
        <v>0</v>
      </c>
      <c r="R1022" s="3">
        <f t="shared" si="576"/>
        <v>0</v>
      </c>
      <c r="S1022" s="3">
        <v>0</v>
      </c>
      <c r="T1022" s="5">
        <v>0</v>
      </c>
      <c r="U1022" s="3">
        <v>0</v>
      </c>
      <c r="V1022" s="6">
        <f t="shared" si="577"/>
        <v>5500</v>
      </c>
    </row>
    <row r="1023" spans="1:258" ht="21.95" customHeight="1" x14ac:dyDescent="0.25">
      <c r="A1023" s="40" t="s">
        <v>1470</v>
      </c>
      <c r="B1023" s="8" t="s">
        <v>737</v>
      </c>
      <c r="C1023" s="2">
        <f>D1023+L1023+N1023+P1023+R1023+S1023+T1023+U1023</f>
        <v>2898500</v>
      </c>
      <c r="D1023" s="3">
        <f>SUM(E1023:J1023)</f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4">
        <v>0</v>
      </c>
      <c r="L1023" s="3">
        <v>0</v>
      </c>
      <c r="M1023" s="5">
        <v>527</v>
      </c>
      <c r="N1023" s="3">
        <f>M1023*5500</f>
        <v>2898500</v>
      </c>
      <c r="O1023" s="3">
        <v>0</v>
      </c>
      <c r="P1023" s="3">
        <v>0</v>
      </c>
      <c r="Q1023" s="3">
        <v>0</v>
      </c>
      <c r="R1023" s="3">
        <f>Q1023*3000</f>
        <v>0</v>
      </c>
      <c r="S1023" s="3">
        <v>0</v>
      </c>
      <c r="T1023" s="5">
        <v>0</v>
      </c>
      <c r="U1023" s="3">
        <v>0</v>
      </c>
      <c r="V1023" s="6">
        <f>N1023/M1023</f>
        <v>5500</v>
      </c>
    </row>
    <row r="1024" spans="1:258" ht="21.95" customHeight="1" x14ac:dyDescent="0.25">
      <c r="A1024" s="40" t="s">
        <v>1471</v>
      </c>
      <c r="B1024" s="8" t="s">
        <v>736</v>
      </c>
      <c r="C1024" s="2">
        <f t="shared" si="579"/>
        <v>7791516.5</v>
      </c>
      <c r="D1024" s="3">
        <f t="shared" si="578"/>
        <v>3525916.5</v>
      </c>
      <c r="E1024" s="3">
        <f>350*1500.39</f>
        <v>525136.5</v>
      </c>
      <c r="F1024" s="3">
        <f>1050*1500.39</f>
        <v>1575409.5</v>
      </c>
      <c r="G1024" s="3">
        <f>300*1500.39</f>
        <v>450117.00000000006</v>
      </c>
      <c r="H1024" s="3">
        <f>400*1500.39</f>
        <v>600156</v>
      </c>
      <c r="I1024" s="3">
        <f>250*1500.39</f>
        <v>375097.5</v>
      </c>
      <c r="J1024" s="3">
        <v>0</v>
      </c>
      <c r="K1024" s="4">
        <v>0</v>
      </c>
      <c r="L1024" s="3">
        <v>0</v>
      </c>
      <c r="M1024" s="3">
        <v>576</v>
      </c>
      <c r="N1024" s="3">
        <f t="shared" si="585"/>
        <v>3168000</v>
      </c>
      <c r="O1024" s="3">
        <v>438</v>
      </c>
      <c r="P1024" s="3">
        <v>525600</v>
      </c>
      <c r="Q1024" s="3">
        <v>0</v>
      </c>
      <c r="R1024" s="3">
        <f t="shared" si="576"/>
        <v>0</v>
      </c>
      <c r="S1024" s="3">
        <v>472000</v>
      </c>
      <c r="T1024" s="5">
        <v>0</v>
      </c>
      <c r="U1024" s="3">
        <v>100000</v>
      </c>
      <c r="V1024" s="6">
        <f t="shared" si="577"/>
        <v>5500</v>
      </c>
    </row>
    <row r="1025" spans="1:258" ht="21.95" customHeight="1" x14ac:dyDescent="0.25">
      <c r="A1025" s="40" t="s">
        <v>1472</v>
      </c>
      <c r="B1025" s="8" t="s">
        <v>811</v>
      </c>
      <c r="C1025" s="2">
        <f t="shared" si="579"/>
        <v>5931200.0000000009</v>
      </c>
      <c r="D1025" s="3">
        <f t="shared" si="578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11">
        <v>0</v>
      </c>
      <c r="L1025" s="5">
        <v>0</v>
      </c>
      <c r="M1025" s="5">
        <v>1078.4000000000001</v>
      </c>
      <c r="N1025" s="3">
        <f t="shared" si="585"/>
        <v>5931200.0000000009</v>
      </c>
      <c r="O1025" s="3">
        <v>0</v>
      </c>
      <c r="P1025" s="3">
        <v>0</v>
      </c>
      <c r="Q1025" s="3">
        <v>0</v>
      </c>
      <c r="R1025" s="3">
        <f t="shared" si="576"/>
        <v>0</v>
      </c>
      <c r="S1025" s="3">
        <v>0</v>
      </c>
      <c r="T1025" s="5">
        <v>0</v>
      </c>
      <c r="U1025" s="3">
        <v>0</v>
      </c>
      <c r="V1025" s="6">
        <f t="shared" si="577"/>
        <v>5500</v>
      </c>
    </row>
    <row r="1026" spans="1:258" s="17" customFormat="1" ht="21.95" customHeight="1" x14ac:dyDescent="0.25">
      <c r="A1026" s="40" t="s">
        <v>1473</v>
      </c>
      <c r="B1026" s="8" t="s">
        <v>812</v>
      </c>
      <c r="C1026" s="2">
        <f t="shared" si="579"/>
        <v>5973000</v>
      </c>
      <c r="D1026" s="3">
        <f t="shared" si="578"/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5">
        <v>1086</v>
      </c>
      <c r="N1026" s="3">
        <f t="shared" si="585"/>
        <v>5973000</v>
      </c>
      <c r="O1026" s="3">
        <v>0</v>
      </c>
      <c r="P1026" s="3">
        <v>0</v>
      </c>
      <c r="Q1026" s="3">
        <v>0</v>
      </c>
      <c r="R1026" s="3">
        <f t="shared" si="576"/>
        <v>0</v>
      </c>
      <c r="S1026" s="3">
        <v>0</v>
      </c>
      <c r="T1026" s="5">
        <v>0</v>
      </c>
      <c r="U1026" s="3">
        <v>0</v>
      </c>
      <c r="V1026" s="6">
        <f t="shared" si="577"/>
        <v>5500</v>
      </c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  <c r="BR1026" s="7"/>
      <c r="BS1026" s="7"/>
      <c r="BT1026" s="7"/>
      <c r="BU1026" s="7"/>
      <c r="BV1026" s="7"/>
      <c r="BW1026" s="7"/>
      <c r="BX1026" s="7"/>
      <c r="BY1026" s="7"/>
      <c r="BZ1026" s="7"/>
      <c r="CA1026" s="7"/>
      <c r="CB1026" s="7"/>
      <c r="CC1026" s="7"/>
      <c r="CD1026" s="7"/>
      <c r="CE1026" s="7"/>
      <c r="CF1026" s="7"/>
      <c r="CG1026" s="7"/>
      <c r="CH1026" s="7"/>
      <c r="CI1026" s="7"/>
      <c r="CJ1026" s="7"/>
      <c r="CK1026" s="7"/>
      <c r="CL1026" s="7"/>
      <c r="CM1026" s="7"/>
      <c r="CN1026" s="7"/>
      <c r="CO1026" s="7"/>
      <c r="CP1026" s="7"/>
      <c r="CQ1026" s="7"/>
      <c r="CR1026" s="7"/>
      <c r="CS1026" s="7"/>
      <c r="CT1026" s="7"/>
      <c r="CU1026" s="7"/>
      <c r="CV1026" s="7"/>
      <c r="CW1026" s="7"/>
      <c r="CX1026" s="7"/>
      <c r="CY1026" s="7"/>
      <c r="CZ1026" s="7"/>
      <c r="DA1026" s="7"/>
      <c r="DB1026" s="7"/>
      <c r="DC1026" s="7"/>
      <c r="DD1026" s="7"/>
      <c r="DE1026" s="7"/>
      <c r="DF1026" s="7"/>
      <c r="DG1026" s="7"/>
      <c r="DH1026" s="7"/>
      <c r="DI1026" s="7"/>
      <c r="DJ1026" s="7"/>
      <c r="DK1026" s="7"/>
      <c r="DL1026" s="7"/>
      <c r="DM1026" s="7"/>
      <c r="DN1026" s="7"/>
      <c r="DO1026" s="7"/>
      <c r="DP1026" s="7"/>
      <c r="DQ1026" s="7"/>
      <c r="DR1026" s="7"/>
      <c r="DS1026" s="7"/>
      <c r="DT1026" s="7"/>
      <c r="DU1026" s="7"/>
      <c r="DV1026" s="7"/>
      <c r="DW1026" s="7"/>
      <c r="DX1026" s="7"/>
      <c r="DY1026" s="7"/>
      <c r="DZ1026" s="7"/>
      <c r="EA1026" s="7"/>
      <c r="EB1026" s="7"/>
      <c r="EC1026" s="7"/>
      <c r="ED1026" s="7"/>
      <c r="EE1026" s="7"/>
      <c r="EF1026" s="7"/>
      <c r="EG1026" s="7"/>
      <c r="EH1026" s="7"/>
      <c r="EI1026" s="7"/>
      <c r="EJ1026" s="7"/>
      <c r="EK1026" s="7"/>
      <c r="EL1026" s="7"/>
      <c r="EM1026" s="7"/>
      <c r="EN1026" s="7"/>
      <c r="EO1026" s="7"/>
      <c r="EP1026" s="7"/>
      <c r="EQ1026" s="7"/>
      <c r="ER1026" s="7"/>
      <c r="ES1026" s="7"/>
      <c r="ET1026" s="7"/>
      <c r="EU1026" s="7"/>
      <c r="EV1026" s="7"/>
      <c r="EW1026" s="7"/>
      <c r="EX1026" s="7"/>
      <c r="EY1026" s="7"/>
      <c r="EZ1026" s="7"/>
      <c r="FA1026" s="7"/>
      <c r="FB1026" s="7"/>
      <c r="FC1026" s="7"/>
      <c r="FD1026" s="7"/>
      <c r="FE1026" s="7"/>
      <c r="FF1026" s="7"/>
      <c r="FG1026" s="7"/>
      <c r="FH1026" s="7"/>
      <c r="FI1026" s="7"/>
      <c r="FJ1026" s="7"/>
      <c r="FK1026" s="7"/>
      <c r="FL1026" s="7"/>
      <c r="FM1026" s="7"/>
      <c r="FN1026" s="7"/>
      <c r="FO1026" s="7"/>
      <c r="FP1026" s="7"/>
      <c r="FQ1026" s="7"/>
      <c r="FR1026" s="7"/>
      <c r="FS1026" s="7"/>
      <c r="FT1026" s="7"/>
      <c r="FU1026" s="7"/>
      <c r="FV1026" s="7"/>
      <c r="FW1026" s="7"/>
      <c r="FX1026" s="7"/>
      <c r="FY1026" s="7"/>
      <c r="FZ1026" s="7"/>
      <c r="GA1026" s="7"/>
      <c r="GB1026" s="7"/>
      <c r="GC1026" s="7"/>
      <c r="GD1026" s="7"/>
      <c r="GE1026" s="7"/>
      <c r="GF1026" s="7"/>
      <c r="GG1026" s="7"/>
      <c r="GH1026" s="7"/>
      <c r="GI1026" s="7"/>
      <c r="GJ1026" s="7"/>
      <c r="GK1026" s="7"/>
      <c r="GL1026" s="7"/>
      <c r="GM1026" s="7"/>
      <c r="GN1026" s="7"/>
      <c r="GO1026" s="7"/>
      <c r="GP1026" s="7"/>
      <c r="GQ1026" s="7"/>
      <c r="GR1026" s="7"/>
      <c r="GS1026" s="7"/>
      <c r="GT1026" s="7"/>
      <c r="GU1026" s="7"/>
      <c r="GV1026" s="7"/>
      <c r="GW1026" s="7"/>
      <c r="GX1026" s="7"/>
      <c r="GY1026" s="7"/>
      <c r="GZ1026" s="7"/>
      <c r="HA1026" s="7"/>
      <c r="HB1026" s="7"/>
      <c r="HC1026" s="7"/>
      <c r="HD1026" s="7"/>
      <c r="HE1026" s="7"/>
      <c r="HF1026" s="7"/>
      <c r="HG1026" s="7"/>
      <c r="HH1026" s="7"/>
      <c r="HI1026" s="7"/>
      <c r="HJ1026" s="7"/>
      <c r="HK1026" s="7"/>
      <c r="HL1026" s="7"/>
      <c r="HM1026" s="7"/>
      <c r="HN1026" s="7"/>
      <c r="HO1026" s="7"/>
      <c r="HP1026" s="7"/>
      <c r="HQ1026" s="7"/>
      <c r="HR1026" s="7"/>
      <c r="HS1026" s="7"/>
      <c r="HT1026" s="7"/>
      <c r="HU1026" s="7"/>
      <c r="HV1026" s="7"/>
      <c r="HW1026" s="7"/>
      <c r="HX1026" s="7"/>
      <c r="HY1026" s="7"/>
      <c r="HZ1026" s="7"/>
      <c r="IA1026" s="7"/>
      <c r="IB1026" s="7"/>
      <c r="IC1026" s="7"/>
      <c r="ID1026" s="7"/>
      <c r="IE1026" s="7"/>
      <c r="IF1026" s="7"/>
      <c r="IG1026" s="7"/>
      <c r="IH1026" s="7"/>
      <c r="II1026" s="7"/>
      <c r="IJ1026" s="7"/>
      <c r="IK1026" s="7"/>
      <c r="IL1026" s="7"/>
      <c r="IM1026" s="7"/>
      <c r="IN1026" s="7"/>
      <c r="IO1026" s="7"/>
      <c r="IP1026" s="7"/>
      <c r="IQ1026" s="7"/>
      <c r="IR1026" s="7"/>
      <c r="IS1026" s="7"/>
      <c r="IT1026" s="7"/>
      <c r="IU1026" s="7"/>
      <c r="IV1026" s="7"/>
      <c r="IW1026" s="7"/>
      <c r="IX1026" s="7"/>
    </row>
    <row r="1027" spans="1:258" ht="21.95" customHeight="1" x14ac:dyDescent="0.25">
      <c r="A1027" s="40" t="s">
        <v>1474</v>
      </c>
      <c r="B1027" s="8" t="s">
        <v>738</v>
      </c>
      <c r="C1027" s="2">
        <f>D1027+L1027+N1027+P1027+R1027+S1027+T1027+U1027</f>
        <v>88864265</v>
      </c>
      <c r="D1027" s="3">
        <f>SUM(E1027:J1027)</f>
        <v>37294265</v>
      </c>
      <c r="E1027" s="3">
        <f>350*15869.9</f>
        <v>5554465</v>
      </c>
      <c r="F1027" s="3">
        <f>1050*15869.9</f>
        <v>16663395</v>
      </c>
      <c r="G1027" s="3">
        <f>300*15869.9</f>
        <v>4760970</v>
      </c>
      <c r="H1027" s="3">
        <f>400*15869.9</f>
        <v>6347960</v>
      </c>
      <c r="I1027" s="3">
        <f>250*15869.9</f>
        <v>3967475</v>
      </c>
      <c r="J1027" s="3">
        <v>0</v>
      </c>
      <c r="K1027" s="4">
        <v>0</v>
      </c>
      <c r="L1027" s="3">
        <v>0</v>
      </c>
      <c r="M1027" s="5">
        <v>5060</v>
      </c>
      <c r="N1027" s="3">
        <f>M1027*5500</f>
        <v>27830000</v>
      </c>
      <c r="O1027" s="3">
        <v>0</v>
      </c>
      <c r="P1027" s="3">
        <v>0</v>
      </c>
      <c r="Q1027" s="3">
        <v>7880</v>
      </c>
      <c r="R1027" s="3">
        <f>Q1027*3000</f>
        <v>23640000</v>
      </c>
      <c r="S1027" s="3">
        <v>0</v>
      </c>
      <c r="T1027" s="5">
        <v>0</v>
      </c>
      <c r="U1027" s="3">
        <v>100000</v>
      </c>
      <c r="V1027" s="6">
        <f>N1027/M1027</f>
        <v>5500</v>
      </c>
    </row>
    <row r="1028" spans="1:258" ht="21.95" customHeight="1" x14ac:dyDescent="0.25">
      <c r="A1028" s="40" t="s">
        <v>1475</v>
      </c>
      <c r="B1028" s="8" t="s">
        <v>829</v>
      </c>
      <c r="C1028" s="2">
        <f t="shared" si="579"/>
        <v>4644000</v>
      </c>
      <c r="D1028" s="3">
        <f t="shared" si="578"/>
        <v>0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4">
        <v>0</v>
      </c>
      <c r="L1028" s="3">
        <v>0</v>
      </c>
      <c r="M1028" s="5">
        <v>0</v>
      </c>
      <c r="N1028" s="5">
        <v>0</v>
      </c>
      <c r="O1028" s="3">
        <v>0</v>
      </c>
      <c r="P1028" s="3">
        <v>0</v>
      </c>
      <c r="Q1028" s="3">
        <v>1548</v>
      </c>
      <c r="R1028" s="3">
        <f t="shared" si="576"/>
        <v>4644000</v>
      </c>
      <c r="S1028" s="3">
        <v>0</v>
      </c>
      <c r="T1028" s="5">
        <v>0</v>
      </c>
      <c r="U1028" s="3">
        <v>0</v>
      </c>
      <c r="V1028" s="6" t="e">
        <f t="shared" si="577"/>
        <v>#DIV/0!</v>
      </c>
    </row>
    <row r="1029" spans="1:258" ht="21.95" customHeight="1" x14ac:dyDescent="0.25">
      <c r="A1029" s="40" t="s">
        <v>1476</v>
      </c>
      <c r="B1029" s="8" t="s">
        <v>547</v>
      </c>
      <c r="C1029" s="2">
        <f t="shared" si="579"/>
        <v>2689500</v>
      </c>
      <c r="D1029" s="3">
        <f t="shared" ref="D1029" si="586">SUM(E1029:J1029)</f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11">
        <v>0</v>
      </c>
      <c r="L1029" s="5">
        <v>0</v>
      </c>
      <c r="M1029" s="5">
        <v>489</v>
      </c>
      <c r="N1029" s="3">
        <f t="shared" ref="N1029" si="587">M1029*5500</f>
        <v>2689500</v>
      </c>
      <c r="O1029" s="5">
        <v>0</v>
      </c>
      <c r="P1029" s="5">
        <v>0</v>
      </c>
      <c r="Q1029" s="5">
        <v>0</v>
      </c>
      <c r="R1029" s="3">
        <f t="shared" si="576"/>
        <v>0</v>
      </c>
      <c r="S1029" s="5">
        <v>0</v>
      </c>
      <c r="T1029" s="5">
        <v>0</v>
      </c>
      <c r="U1029" s="5">
        <v>0</v>
      </c>
      <c r="V1029" s="6">
        <f t="shared" si="577"/>
        <v>5500</v>
      </c>
    </row>
    <row r="1030" spans="1:258" ht="21.95" customHeight="1" x14ac:dyDescent="0.25">
      <c r="A1030" s="40" t="s">
        <v>1477</v>
      </c>
      <c r="B1030" s="8" t="s">
        <v>813</v>
      </c>
      <c r="C1030" s="2">
        <f t="shared" si="579"/>
        <v>1167100</v>
      </c>
      <c r="D1030" s="3">
        <f t="shared" si="578"/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4">
        <v>0</v>
      </c>
      <c r="L1030" s="3">
        <v>0</v>
      </c>
      <c r="M1030" s="5">
        <v>212.2</v>
      </c>
      <c r="N1030" s="3">
        <f t="shared" ref="N1030" si="588">M1030*5500</f>
        <v>1167100</v>
      </c>
      <c r="O1030" s="3">
        <v>0</v>
      </c>
      <c r="P1030" s="3">
        <v>0</v>
      </c>
      <c r="Q1030" s="3">
        <v>0</v>
      </c>
      <c r="R1030" s="3">
        <f t="shared" si="576"/>
        <v>0</v>
      </c>
      <c r="S1030" s="3">
        <v>0</v>
      </c>
      <c r="T1030" s="5">
        <v>0</v>
      </c>
      <c r="U1030" s="3">
        <v>0</v>
      </c>
      <c r="V1030" s="6">
        <f t="shared" si="577"/>
        <v>5500</v>
      </c>
    </row>
    <row r="1031" spans="1:258" ht="21.95" customHeight="1" x14ac:dyDescent="0.25">
      <c r="A1031" s="40" t="s">
        <v>1478</v>
      </c>
      <c r="B1031" s="23" t="s">
        <v>739</v>
      </c>
      <c r="C1031" s="2">
        <f t="shared" si="579"/>
        <v>1754500</v>
      </c>
      <c r="D1031" s="3">
        <f t="shared" si="578"/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4">
        <v>0</v>
      </c>
      <c r="L1031" s="3">
        <v>0</v>
      </c>
      <c r="M1031" s="5">
        <v>319</v>
      </c>
      <c r="N1031" s="3">
        <f t="shared" ref="N1031" si="589">M1031*5500</f>
        <v>1754500</v>
      </c>
      <c r="O1031" s="3">
        <v>0</v>
      </c>
      <c r="P1031" s="3">
        <v>0</v>
      </c>
      <c r="Q1031" s="3">
        <v>0</v>
      </c>
      <c r="R1031" s="3">
        <f t="shared" si="576"/>
        <v>0</v>
      </c>
      <c r="S1031" s="3">
        <v>0</v>
      </c>
      <c r="T1031" s="5">
        <v>0</v>
      </c>
      <c r="U1031" s="3">
        <v>0</v>
      </c>
      <c r="V1031" s="6">
        <f t="shared" si="577"/>
        <v>5500</v>
      </c>
    </row>
    <row r="1032" spans="1:258" s="17" customFormat="1" ht="21.95" customHeight="1" x14ac:dyDescent="0.25">
      <c r="A1032" s="40" t="s">
        <v>1479</v>
      </c>
      <c r="B1032" s="8" t="s">
        <v>814</v>
      </c>
      <c r="C1032" s="2">
        <f t="shared" si="579"/>
        <v>3538560</v>
      </c>
      <c r="D1032" s="3">
        <f t="shared" si="578"/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4">
        <v>0</v>
      </c>
      <c r="L1032" s="3">
        <v>0</v>
      </c>
      <c r="M1032" s="5">
        <v>960</v>
      </c>
      <c r="N1032" s="3">
        <f>M1032*3686</f>
        <v>3538560</v>
      </c>
      <c r="O1032" s="3">
        <v>0</v>
      </c>
      <c r="P1032" s="3">
        <v>0</v>
      </c>
      <c r="Q1032" s="3">
        <v>0</v>
      </c>
      <c r="R1032" s="3">
        <f t="shared" si="576"/>
        <v>0</v>
      </c>
      <c r="S1032" s="3">
        <v>0</v>
      </c>
      <c r="T1032" s="5">
        <v>0</v>
      </c>
      <c r="U1032" s="3">
        <v>0</v>
      </c>
      <c r="V1032" s="6">
        <f t="shared" si="577"/>
        <v>3686</v>
      </c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  <c r="BM1032" s="7"/>
      <c r="BN1032" s="7"/>
      <c r="BO1032" s="7"/>
      <c r="BP1032" s="7"/>
      <c r="BQ1032" s="7"/>
      <c r="BR1032" s="7"/>
      <c r="BS1032" s="7"/>
      <c r="BT1032" s="7"/>
      <c r="BU1032" s="7"/>
      <c r="BV1032" s="7"/>
      <c r="BW1032" s="7"/>
      <c r="BX1032" s="7"/>
      <c r="BY1032" s="7"/>
      <c r="BZ1032" s="7"/>
      <c r="CA1032" s="7"/>
      <c r="CB1032" s="7"/>
      <c r="CC1032" s="7"/>
      <c r="CD1032" s="7"/>
      <c r="CE1032" s="7"/>
      <c r="CF1032" s="7"/>
      <c r="CG1032" s="7"/>
      <c r="CH1032" s="7"/>
      <c r="CI1032" s="7"/>
      <c r="CJ1032" s="7"/>
      <c r="CK1032" s="7"/>
      <c r="CL1032" s="7"/>
      <c r="CM1032" s="7"/>
      <c r="CN1032" s="7"/>
      <c r="CO1032" s="7"/>
      <c r="CP1032" s="7"/>
      <c r="CQ1032" s="7"/>
      <c r="CR1032" s="7"/>
      <c r="CS1032" s="7"/>
      <c r="CT1032" s="7"/>
      <c r="CU1032" s="7"/>
      <c r="CV1032" s="7"/>
      <c r="CW1032" s="7"/>
      <c r="CX1032" s="7"/>
      <c r="CY1032" s="7"/>
      <c r="CZ1032" s="7"/>
      <c r="DA1032" s="7"/>
      <c r="DB1032" s="7"/>
      <c r="DC1032" s="7"/>
      <c r="DD1032" s="7"/>
      <c r="DE1032" s="7"/>
      <c r="DF1032" s="7"/>
      <c r="DG1032" s="7"/>
      <c r="DH1032" s="7"/>
      <c r="DI1032" s="7"/>
      <c r="DJ1032" s="7"/>
      <c r="DK1032" s="7"/>
      <c r="DL1032" s="7"/>
      <c r="DM1032" s="7"/>
      <c r="DN1032" s="7"/>
      <c r="DO1032" s="7"/>
      <c r="DP1032" s="7"/>
      <c r="DQ1032" s="7"/>
      <c r="DR1032" s="7"/>
      <c r="DS1032" s="7"/>
      <c r="DT1032" s="7"/>
      <c r="DU1032" s="7"/>
      <c r="DV1032" s="7"/>
      <c r="DW1032" s="7"/>
      <c r="DX1032" s="7"/>
      <c r="DY1032" s="7"/>
      <c r="DZ1032" s="7"/>
      <c r="EA1032" s="7"/>
      <c r="EB1032" s="7"/>
      <c r="EC1032" s="7"/>
      <c r="ED1032" s="7"/>
      <c r="EE1032" s="7"/>
      <c r="EF1032" s="7"/>
      <c r="EG1032" s="7"/>
      <c r="EH1032" s="7"/>
      <c r="EI1032" s="7"/>
      <c r="EJ1032" s="7"/>
      <c r="EK1032" s="7"/>
      <c r="EL1032" s="7"/>
      <c r="EM1032" s="7"/>
      <c r="EN1032" s="7"/>
      <c r="EO1032" s="7"/>
      <c r="EP1032" s="7"/>
      <c r="EQ1032" s="7"/>
      <c r="ER1032" s="7"/>
      <c r="ES1032" s="7"/>
      <c r="ET1032" s="7"/>
      <c r="EU1032" s="7"/>
      <c r="EV1032" s="7"/>
      <c r="EW1032" s="7"/>
      <c r="EX1032" s="7"/>
      <c r="EY1032" s="7"/>
      <c r="EZ1032" s="7"/>
      <c r="FA1032" s="7"/>
      <c r="FB1032" s="7"/>
      <c r="FC1032" s="7"/>
      <c r="FD1032" s="7"/>
      <c r="FE1032" s="7"/>
      <c r="FF1032" s="7"/>
      <c r="FG1032" s="7"/>
      <c r="FH1032" s="7"/>
      <c r="FI1032" s="7"/>
      <c r="FJ1032" s="7"/>
      <c r="FK1032" s="7"/>
      <c r="FL1032" s="7"/>
      <c r="FM1032" s="7"/>
      <c r="FN1032" s="7"/>
      <c r="FO1032" s="7"/>
      <c r="FP1032" s="7"/>
      <c r="FQ1032" s="7"/>
      <c r="FR1032" s="7"/>
      <c r="FS1032" s="7"/>
      <c r="FT1032" s="7"/>
      <c r="FU1032" s="7"/>
      <c r="FV1032" s="7"/>
      <c r="FW1032" s="7"/>
      <c r="FX1032" s="7"/>
      <c r="FY1032" s="7"/>
      <c r="FZ1032" s="7"/>
      <c r="GA1032" s="7"/>
      <c r="GB1032" s="7"/>
      <c r="GC1032" s="7"/>
      <c r="GD1032" s="7"/>
      <c r="GE1032" s="7"/>
      <c r="GF1032" s="7"/>
      <c r="GG1032" s="7"/>
      <c r="GH1032" s="7"/>
      <c r="GI1032" s="7"/>
      <c r="GJ1032" s="7"/>
      <c r="GK1032" s="7"/>
      <c r="GL1032" s="7"/>
      <c r="GM1032" s="7"/>
      <c r="GN1032" s="7"/>
      <c r="GO1032" s="7"/>
      <c r="GP1032" s="7"/>
      <c r="GQ1032" s="7"/>
      <c r="GR1032" s="7"/>
      <c r="GS1032" s="7"/>
      <c r="GT1032" s="7"/>
      <c r="GU1032" s="7"/>
      <c r="GV1032" s="7"/>
      <c r="GW1032" s="7"/>
      <c r="GX1032" s="7"/>
      <c r="GY1032" s="7"/>
      <c r="GZ1032" s="7"/>
      <c r="HA1032" s="7"/>
      <c r="HB1032" s="7"/>
      <c r="HC1032" s="7"/>
      <c r="HD1032" s="7"/>
      <c r="HE1032" s="7"/>
      <c r="HF1032" s="7"/>
      <c r="HG1032" s="7"/>
      <c r="HH1032" s="7"/>
      <c r="HI1032" s="7"/>
      <c r="HJ1032" s="7"/>
      <c r="HK1032" s="7"/>
      <c r="HL1032" s="7"/>
      <c r="HM1032" s="7"/>
      <c r="HN1032" s="7"/>
      <c r="HO1032" s="7"/>
      <c r="HP1032" s="7"/>
      <c r="HQ1032" s="7"/>
      <c r="HR1032" s="7"/>
      <c r="HS1032" s="7"/>
      <c r="HT1032" s="7"/>
      <c r="HU1032" s="7"/>
      <c r="HV1032" s="7"/>
      <c r="HW1032" s="7"/>
      <c r="HX1032" s="7"/>
      <c r="HY1032" s="7"/>
      <c r="HZ1032" s="7"/>
      <c r="IA1032" s="7"/>
      <c r="IB1032" s="7"/>
      <c r="IC1032" s="7"/>
      <c r="ID1032" s="7"/>
      <c r="IE1032" s="7"/>
      <c r="IF1032" s="7"/>
      <c r="IG1032" s="7"/>
      <c r="IH1032" s="7"/>
      <c r="II1032" s="7"/>
      <c r="IJ1032" s="7"/>
      <c r="IK1032" s="7"/>
      <c r="IL1032" s="7"/>
      <c r="IM1032" s="7"/>
      <c r="IN1032" s="7"/>
      <c r="IO1032" s="7"/>
      <c r="IP1032" s="7"/>
      <c r="IQ1032" s="7"/>
      <c r="IR1032" s="7"/>
      <c r="IS1032" s="7"/>
      <c r="IT1032" s="7"/>
      <c r="IU1032" s="7"/>
      <c r="IV1032" s="7"/>
      <c r="IW1032" s="7"/>
      <c r="IX1032" s="7"/>
    </row>
    <row r="1033" spans="1:258" ht="21.95" customHeight="1" x14ac:dyDescent="0.25">
      <c r="A1033" s="40" t="s">
        <v>1480</v>
      </c>
      <c r="B1033" s="8" t="s">
        <v>470</v>
      </c>
      <c r="C1033" s="2">
        <f>D1033+L1033+N1033+P1033+R1033+S1033+T1033+U1033</f>
        <v>11528050</v>
      </c>
      <c r="D1033" s="3">
        <f>SUM(E1033:J1033)</f>
        <v>11428050</v>
      </c>
      <c r="E1033" s="3">
        <f>350*4863</f>
        <v>1702050</v>
      </c>
      <c r="F1033" s="3">
        <f>1050*4863</f>
        <v>5106150</v>
      </c>
      <c r="G1033" s="3">
        <f>300*4863</f>
        <v>1458900</v>
      </c>
      <c r="H1033" s="3">
        <f>400*4863</f>
        <v>1945200</v>
      </c>
      <c r="I1033" s="3">
        <f>250*4863</f>
        <v>1215750</v>
      </c>
      <c r="J1033" s="3">
        <v>0</v>
      </c>
      <c r="K1033" s="4">
        <v>0</v>
      </c>
      <c r="L1033" s="3">
        <v>0</v>
      </c>
      <c r="M1033" s="3">
        <v>0</v>
      </c>
      <c r="N1033" s="3">
        <v>0</v>
      </c>
      <c r="O1033" s="3">
        <v>0</v>
      </c>
      <c r="P1033" s="3">
        <v>0</v>
      </c>
      <c r="Q1033" s="3">
        <v>0</v>
      </c>
      <c r="R1033" s="3">
        <f>Q1033*3000</f>
        <v>0</v>
      </c>
      <c r="S1033" s="3">
        <v>0</v>
      </c>
      <c r="T1033" s="5">
        <v>0</v>
      </c>
      <c r="U1033" s="3">
        <v>100000</v>
      </c>
      <c r="V1033" s="6" t="e">
        <f>N1033/M1033</f>
        <v>#DIV/0!</v>
      </c>
    </row>
    <row r="1034" spans="1:258" ht="21.95" customHeight="1" x14ac:dyDescent="0.25">
      <c r="A1034" s="40" t="s">
        <v>1481</v>
      </c>
      <c r="B1034" s="8" t="s">
        <v>456</v>
      </c>
      <c r="C1034" s="2">
        <f>D1034+L1034+N1034+P1034+R1034+S1034+T1034+U1034</f>
        <v>19375875</v>
      </c>
      <c r="D1034" s="3">
        <f>SUM(E1034:J1034)</f>
        <v>19275875</v>
      </c>
      <c r="E1034" s="3">
        <f>350*8202.5</f>
        <v>2870875</v>
      </c>
      <c r="F1034" s="3">
        <f>1050*8202.5</f>
        <v>8612625</v>
      </c>
      <c r="G1034" s="3">
        <f>300*8202.5</f>
        <v>2460750</v>
      </c>
      <c r="H1034" s="3">
        <f>400*8202.5</f>
        <v>3281000</v>
      </c>
      <c r="I1034" s="3">
        <f>250*8202.5</f>
        <v>2050625</v>
      </c>
      <c r="J1034" s="3">
        <v>0</v>
      </c>
      <c r="K1034" s="4">
        <v>0</v>
      </c>
      <c r="L1034" s="3">
        <v>0</v>
      </c>
      <c r="M1034" s="3">
        <v>0</v>
      </c>
      <c r="N1034" s="3">
        <v>0</v>
      </c>
      <c r="O1034" s="3">
        <v>0</v>
      </c>
      <c r="P1034" s="3">
        <v>0</v>
      </c>
      <c r="Q1034" s="3">
        <v>0</v>
      </c>
      <c r="R1034" s="3">
        <f>Q1034*3000</f>
        <v>0</v>
      </c>
      <c r="S1034" s="3">
        <v>0</v>
      </c>
      <c r="T1034" s="5">
        <v>0</v>
      </c>
      <c r="U1034" s="3">
        <v>100000</v>
      </c>
      <c r="V1034" s="6" t="e">
        <f>N1034/M1034</f>
        <v>#DIV/0!</v>
      </c>
    </row>
    <row r="1035" spans="1:258" ht="21.95" customHeight="1" x14ac:dyDescent="0.25">
      <c r="A1035" s="40" t="s">
        <v>1482</v>
      </c>
      <c r="B1035" s="8" t="s">
        <v>740</v>
      </c>
      <c r="C1035" s="2">
        <f t="shared" si="579"/>
        <v>2176790</v>
      </c>
      <c r="D1035" s="3">
        <f t="shared" si="578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3">
        <v>395.78</v>
      </c>
      <c r="N1035" s="3">
        <f t="shared" ref="N1035:N1037" si="590">M1035*5500</f>
        <v>2176790</v>
      </c>
      <c r="O1035" s="3">
        <v>0</v>
      </c>
      <c r="P1035" s="3">
        <v>0</v>
      </c>
      <c r="Q1035" s="3">
        <v>0</v>
      </c>
      <c r="R1035" s="3">
        <f t="shared" si="576"/>
        <v>0</v>
      </c>
      <c r="S1035" s="3">
        <v>0</v>
      </c>
      <c r="T1035" s="5">
        <v>0</v>
      </c>
      <c r="U1035" s="3">
        <v>0</v>
      </c>
      <c r="V1035" s="6">
        <f t="shared" si="577"/>
        <v>5500</v>
      </c>
    </row>
    <row r="1036" spans="1:258" ht="21.95" customHeight="1" x14ac:dyDescent="0.25">
      <c r="A1036" s="40" t="s">
        <v>1574</v>
      </c>
      <c r="B1036" s="8" t="s">
        <v>815</v>
      </c>
      <c r="C1036" s="2">
        <f t="shared" si="579"/>
        <v>2095500</v>
      </c>
      <c r="D1036" s="3">
        <f t="shared" si="578"/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4">
        <v>0</v>
      </c>
      <c r="L1036" s="3">
        <v>0</v>
      </c>
      <c r="M1036" s="5">
        <v>381</v>
      </c>
      <c r="N1036" s="3">
        <f t="shared" si="590"/>
        <v>2095500</v>
      </c>
      <c r="O1036" s="3">
        <v>0</v>
      </c>
      <c r="P1036" s="3">
        <v>0</v>
      </c>
      <c r="Q1036" s="3">
        <v>0</v>
      </c>
      <c r="R1036" s="3">
        <f t="shared" si="576"/>
        <v>0</v>
      </c>
      <c r="S1036" s="3">
        <v>0</v>
      </c>
      <c r="T1036" s="5">
        <v>0</v>
      </c>
      <c r="U1036" s="3">
        <v>0</v>
      </c>
      <c r="V1036" s="6">
        <f t="shared" si="577"/>
        <v>5500</v>
      </c>
    </row>
    <row r="1037" spans="1:258" s="26" customFormat="1" ht="21.95" customHeight="1" x14ac:dyDescent="0.25">
      <c r="A1037" s="40" t="s">
        <v>1483</v>
      </c>
      <c r="B1037" s="8" t="s">
        <v>741</v>
      </c>
      <c r="C1037" s="2">
        <f t="shared" si="579"/>
        <v>1419000</v>
      </c>
      <c r="D1037" s="3">
        <f t="shared" si="578"/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4">
        <v>0</v>
      </c>
      <c r="L1037" s="3">
        <v>0</v>
      </c>
      <c r="M1037" s="5">
        <v>258</v>
      </c>
      <c r="N1037" s="3">
        <f t="shared" si="590"/>
        <v>1419000</v>
      </c>
      <c r="O1037" s="3">
        <v>0</v>
      </c>
      <c r="P1037" s="3">
        <v>0</v>
      </c>
      <c r="Q1037" s="3">
        <v>0</v>
      </c>
      <c r="R1037" s="3">
        <f t="shared" si="576"/>
        <v>0</v>
      </c>
      <c r="S1037" s="3">
        <v>0</v>
      </c>
      <c r="T1037" s="5">
        <v>0</v>
      </c>
      <c r="U1037" s="3">
        <v>0</v>
      </c>
      <c r="V1037" s="6">
        <f t="shared" si="577"/>
        <v>5500</v>
      </c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  <c r="BF1037" s="7"/>
      <c r="BG1037" s="7"/>
      <c r="BH1037" s="7"/>
      <c r="BI1037" s="7"/>
      <c r="BJ1037" s="7"/>
      <c r="BK1037" s="7"/>
      <c r="BL1037" s="7"/>
      <c r="BM1037" s="7"/>
      <c r="BN1037" s="7"/>
      <c r="BO1037" s="7"/>
      <c r="BP1037" s="7"/>
      <c r="BQ1037" s="7"/>
      <c r="BR1037" s="7"/>
      <c r="BS1037" s="7"/>
      <c r="BT1037" s="7"/>
      <c r="BU1037" s="7"/>
      <c r="BV1037" s="7"/>
      <c r="BW1037" s="7"/>
      <c r="BX1037" s="7"/>
      <c r="BY1037" s="7"/>
      <c r="BZ1037" s="7"/>
      <c r="CA1037" s="7"/>
      <c r="CB1037" s="7"/>
      <c r="CC1037" s="7"/>
      <c r="CD1037" s="7"/>
      <c r="CE1037" s="7"/>
      <c r="CF1037" s="7"/>
      <c r="CG1037" s="7"/>
      <c r="CH1037" s="7"/>
      <c r="CI1037" s="7"/>
      <c r="CJ1037" s="7"/>
      <c r="CK1037" s="7"/>
      <c r="CL1037" s="7"/>
      <c r="CM1037" s="7"/>
      <c r="CN1037" s="7"/>
      <c r="CO1037" s="7"/>
      <c r="CP1037" s="7"/>
      <c r="CQ1037" s="7"/>
      <c r="CR1037" s="7"/>
      <c r="CS1037" s="7"/>
      <c r="CT1037" s="7"/>
      <c r="CU1037" s="7"/>
      <c r="CV1037" s="7"/>
      <c r="CW1037" s="7"/>
      <c r="CX1037" s="7"/>
      <c r="CY1037" s="7"/>
      <c r="CZ1037" s="7"/>
      <c r="DA1037" s="7"/>
      <c r="DB1037" s="7"/>
      <c r="DC1037" s="7"/>
      <c r="DD1037" s="7"/>
      <c r="DE1037" s="7"/>
      <c r="DF1037" s="7"/>
      <c r="DG1037" s="7"/>
      <c r="DH1037" s="7"/>
      <c r="DI1037" s="7"/>
      <c r="DJ1037" s="7"/>
      <c r="DK1037" s="7"/>
      <c r="DL1037" s="7"/>
      <c r="DM1037" s="7"/>
      <c r="DN1037" s="7"/>
      <c r="DO1037" s="7"/>
      <c r="DP1037" s="7"/>
      <c r="DQ1037" s="7"/>
      <c r="DR1037" s="7"/>
      <c r="DS1037" s="7"/>
      <c r="DT1037" s="7"/>
      <c r="DU1037" s="7"/>
      <c r="DV1037" s="7"/>
      <c r="DW1037" s="7"/>
      <c r="DX1037" s="7"/>
      <c r="DY1037" s="7"/>
      <c r="DZ1037" s="7"/>
      <c r="EA1037" s="7"/>
      <c r="EB1037" s="7"/>
      <c r="EC1037" s="7"/>
      <c r="ED1037" s="7"/>
      <c r="EE1037" s="7"/>
      <c r="EF1037" s="7"/>
      <c r="EG1037" s="7"/>
      <c r="EH1037" s="7"/>
      <c r="EI1037" s="7"/>
      <c r="EJ1037" s="7"/>
      <c r="EK1037" s="7"/>
      <c r="EL1037" s="7"/>
      <c r="EM1037" s="7"/>
      <c r="EN1037" s="7"/>
      <c r="EO1037" s="7"/>
      <c r="EP1037" s="7"/>
      <c r="EQ1037" s="7"/>
      <c r="ER1037" s="7"/>
      <c r="ES1037" s="7"/>
      <c r="ET1037" s="7"/>
      <c r="EU1037" s="7"/>
      <c r="EV1037" s="7"/>
      <c r="EW1037" s="7"/>
      <c r="EX1037" s="7"/>
      <c r="EY1037" s="7"/>
      <c r="EZ1037" s="7"/>
      <c r="FA1037" s="7"/>
      <c r="FB1037" s="7"/>
      <c r="FC1037" s="7"/>
      <c r="FD1037" s="7"/>
      <c r="FE1037" s="7"/>
      <c r="FF1037" s="7"/>
      <c r="FG1037" s="7"/>
      <c r="FH1037" s="7"/>
      <c r="FI1037" s="7"/>
      <c r="FJ1037" s="7"/>
      <c r="FK1037" s="7"/>
      <c r="FL1037" s="7"/>
      <c r="FM1037" s="7"/>
      <c r="FN1037" s="7"/>
      <c r="FO1037" s="7"/>
      <c r="FP1037" s="7"/>
      <c r="FQ1037" s="7"/>
      <c r="FR1037" s="7"/>
      <c r="FS1037" s="7"/>
      <c r="FT1037" s="7"/>
      <c r="FU1037" s="7"/>
      <c r="FV1037" s="7"/>
      <c r="FW1037" s="7"/>
      <c r="FX1037" s="7"/>
      <c r="FY1037" s="7"/>
      <c r="FZ1037" s="7"/>
      <c r="GA1037" s="7"/>
      <c r="GB1037" s="7"/>
      <c r="GC1037" s="7"/>
      <c r="GD1037" s="7"/>
      <c r="GE1037" s="7"/>
      <c r="GF1037" s="7"/>
      <c r="GG1037" s="7"/>
      <c r="GH1037" s="7"/>
      <c r="GI1037" s="7"/>
      <c r="GJ1037" s="7"/>
      <c r="GK1037" s="7"/>
      <c r="GL1037" s="7"/>
      <c r="GM1037" s="7"/>
      <c r="GN1037" s="7"/>
      <c r="GO1037" s="7"/>
      <c r="GP1037" s="7"/>
      <c r="GQ1037" s="7"/>
      <c r="GR1037" s="7"/>
      <c r="GS1037" s="7"/>
      <c r="GT1037" s="7"/>
      <c r="GU1037" s="7"/>
      <c r="GV1037" s="7"/>
      <c r="GW1037" s="7"/>
      <c r="GX1037" s="7"/>
      <c r="GY1037" s="7"/>
      <c r="GZ1037" s="7"/>
      <c r="HA1037" s="7"/>
      <c r="HB1037" s="7"/>
      <c r="HC1037" s="7"/>
      <c r="HD1037" s="7"/>
      <c r="HE1037" s="7"/>
      <c r="HF1037" s="7"/>
      <c r="HG1037" s="7"/>
      <c r="HH1037" s="7"/>
      <c r="HI1037" s="7"/>
      <c r="HJ1037" s="7"/>
      <c r="HK1037" s="7"/>
      <c r="HL1037" s="7"/>
      <c r="HM1037" s="7"/>
      <c r="HN1037" s="7"/>
      <c r="HO1037" s="7"/>
      <c r="HP1037" s="7"/>
      <c r="HQ1037" s="7"/>
      <c r="HR1037" s="7"/>
      <c r="HS1037" s="7"/>
      <c r="HT1037" s="7"/>
      <c r="HU1037" s="7"/>
      <c r="HV1037" s="7"/>
      <c r="HW1037" s="7"/>
      <c r="HX1037" s="7"/>
      <c r="HY1037" s="7"/>
      <c r="HZ1037" s="7"/>
      <c r="IA1037" s="7"/>
      <c r="IB1037" s="7"/>
      <c r="IC1037" s="7"/>
      <c r="ID1037" s="7"/>
      <c r="IE1037" s="7"/>
      <c r="IF1037" s="7"/>
      <c r="IG1037" s="7"/>
      <c r="IH1037" s="7"/>
      <c r="II1037" s="7"/>
      <c r="IJ1037" s="7"/>
      <c r="IK1037" s="7"/>
      <c r="IL1037" s="7"/>
      <c r="IM1037" s="7"/>
      <c r="IN1037" s="7"/>
      <c r="IO1037" s="7"/>
      <c r="IP1037" s="7"/>
      <c r="IQ1037" s="7"/>
      <c r="IR1037" s="7"/>
      <c r="IS1037" s="7"/>
      <c r="IT1037" s="7"/>
      <c r="IU1037" s="7"/>
      <c r="IV1037" s="7"/>
      <c r="IW1037" s="7"/>
      <c r="IX1037" s="7"/>
    </row>
    <row r="1038" spans="1:258" ht="21.95" customHeight="1" x14ac:dyDescent="0.25">
      <c r="A1038" s="40" t="s">
        <v>1484</v>
      </c>
      <c r="B1038" s="8" t="s">
        <v>742</v>
      </c>
      <c r="C1038" s="2">
        <f t="shared" si="579"/>
        <v>2845955</v>
      </c>
      <c r="D1038" s="3">
        <f t="shared" si="578"/>
        <v>663405</v>
      </c>
      <c r="E1038" s="3">
        <f>350*282.3</f>
        <v>98805</v>
      </c>
      <c r="F1038" s="3">
        <f>1050*282.3</f>
        <v>296415</v>
      </c>
      <c r="G1038" s="3">
        <f>300*282.3</f>
        <v>84690</v>
      </c>
      <c r="H1038" s="3">
        <f>400*282.3</f>
        <v>112920</v>
      </c>
      <c r="I1038" s="3">
        <f>250*282.3</f>
        <v>70575</v>
      </c>
      <c r="J1038" s="3">
        <v>0</v>
      </c>
      <c r="K1038" s="4">
        <v>0</v>
      </c>
      <c r="L1038" s="3">
        <v>0</v>
      </c>
      <c r="M1038" s="5">
        <v>202.1</v>
      </c>
      <c r="N1038" s="3">
        <f t="shared" ref="N1038" si="591">M1038*5500</f>
        <v>1111550</v>
      </c>
      <c r="O1038" s="3">
        <v>0</v>
      </c>
      <c r="P1038" s="3">
        <v>0</v>
      </c>
      <c r="Q1038" s="3">
        <v>357</v>
      </c>
      <c r="R1038" s="3">
        <f t="shared" si="576"/>
        <v>1071000</v>
      </c>
      <c r="S1038" s="3">
        <v>0</v>
      </c>
      <c r="T1038" s="5">
        <v>0</v>
      </c>
      <c r="U1038" s="3">
        <v>0</v>
      </c>
      <c r="V1038" s="6">
        <f t="shared" si="577"/>
        <v>5500</v>
      </c>
    </row>
    <row r="1039" spans="1:258" ht="21.95" customHeight="1" x14ac:dyDescent="0.25">
      <c r="A1039" s="40" t="s">
        <v>1485</v>
      </c>
      <c r="B1039" s="23" t="s">
        <v>816</v>
      </c>
      <c r="C1039" s="2">
        <f t="shared" si="579"/>
        <v>5170000</v>
      </c>
      <c r="D1039" s="3">
        <f t="shared" si="578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5">
        <v>940</v>
      </c>
      <c r="N1039" s="3">
        <f t="shared" ref="N1039:N1046" si="592">M1039*5500</f>
        <v>5170000</v>
      </c>
      <c r="O1039" s="3">
        <v>0</v>
      </c>
      <c r="P1039" s="3">
        <v>0</v>
      </c>
      <c r="Q1039" s="3">
        <v>0</v>
      </c>
      <c r="R1039" s="3">
        <f t="shared" si="576"/>
        <v>0</v>
      </c>
      <c r="S1039" s="3">
        <v>0</v>
      </c>
      <c r="T1039" s="5">
        <v>0</v>
      </c>
      <c r="U1039" s="3">
        <v>0</v>
      </c>
      <c r="V1039" s="6">
        <f t="shared" si="577"/>
        <v>5500</v>
      </c>
    </row>
    <row r="1040" spans="1:258" ht="21.95" customHeight="1" x14ac:dyDescent="0.25">
      <c r="A1040" s="40" t="s">
        <v>1486</v>
      </c>
      <c r="B1040" s="23" t="s">
        <v>817</v>
      </c>
      <c r="C1040" s="2">
        <f t="shared" si="579"/>
        <v>5131500</v>
      </c>
      <c r="D1040" s="3">
        <f t="shared" si="578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5">
        <v>933</v>
      </c>
      <c r="N1040" s="3">
        <f t="shared" si="592"/>
        <v>5131500</v>
      </c>
      <c r="O1040" s="3">
        <v>0</v>
      </c>
      <c r="P1040" s="3">
        <v>0</v>
      </c>
      <c r="Q1040" s="3">
        <v>0</v>
      </c>
      <c r="R1040" s="3">
        <f t="shared" si="576"/>
        <v>0</v>
      </c>
      <c r="S1040" s="3">
        <v>0</v>
      </c>
      <c r="T1040" s="5">
        <v>0</v>
      </c>
      <c r="U1040" s="3">
        <v>0</v>
      </c>
      <c r="V1040" s="6">
        <f t="shared" si="577"/>
        <v>5500</v>
      </c>
    </row>
    <row r="1041" spans="1:258" ht="21.95" customHeight="1" x14ac:dyDescent="0.25">
      <c r="A1041" s="40" t="s">
        <v>1487</v>
      </c>
      <c r="B1041" s="8" t="s">
        <v>818</v>
      </c>
      <c r="C1041" s="2">
        <f t="shared" si="579"/>
        <v>3465000</v>
      </c>
      <c r="D1041" s="3">
        <f t="shared" si="578"/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4">
        <v>0</v>
      </c>
      <c r="L1041" s="3">
        <v>0</v>
      </c>
      <c r="M1041" s="5">
        <v>630</v>
      </c>
      <c r="N1041" s="3">
        <f t="shared" si="592"/>
        <v>3465000</v>
      </c>
      <c r="O1041" s="3">
        <v>0</v>
      </c>
      <c r="P1041" s="3">
        <v>0</v>
      </c>
      <c r="Q1041" s="3">
        <v>0</v>
      </c>
      <c r="R1041" s="3">
        <f t="shared" si="576"/>
        <v>0</v>
      </c>
      <c r="S1041" s="3">
        <v>0</v>
      </c>
      <c r="T1041" s="5">
        <v>0</v>
      </c>
      <c r="U1041" s="3">
        <v>0</v>
      </c>
      <c r="V1041" s="6">
        <f t="shared" si="577"/>
        <v>5500</v>
      </c>
    </row>
    <row r="1042" spans="1:258" ht="21.95" customHeight="1" x14ac:dyDescent="0.25">
      <c r="A1042" s="40" t="s">
        <v>1488</v>
      </c>
      <c r="B1042" s="8" t="s">
        <v>819</v>
      </c>
      <c r="C1042" s="2">
        <f t="shared" si="579"/>
        <v>1661000</v>
      </c>
      <c r="D1042" s="3">
        <f t="shared" si="578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5">
        <v>302</v>
      </c>
      <c r="N1042" s="3">
        <f t="shared" si="592"/>
        <v>1661000</v>
      </c>
      <c r="O1042" s="3">
        <v>0</v>
      </c>
      <c r="P1042" s="3">
        <v>0</v>
      </c>
      <c r="Q1042" s="3">
        <v>0</v>
      </c>
      <c r="R1042" s="3">
        <f t="shared" si="576"/>
        <v>0</v>
      </c>
      <c r="S1042" s="3">
        <v>0</v>
      </c>
      <c r="T1042" s="5">
        <v>0</v>
      </c>
      <c r="U1042" s="3">
        <v>0</v>
      </c>
      <c r="V1042" s="6">
        <f t="shared" si="577"/>
        <v>5500</v>
      </c>
    </row>
    <row r="1043" spans="1:258" ht="21.95" customHeight="1" x14ac:dyDescent="0.25">
      <c r="A1043" s="40" t="s">
        <v>1489</v>
      </c>
      <c r="B1043" s="8" t="s">
        <v>743</v>
      </c>
      <c r="C1043" s="2">
        <f t="shared" si="579"/>
        <v>1255650</v>
      </c>
      <c r="D1043" s="3">
        <f t="shared" si="578"/>
        <v>0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4">
        <v>0</v>
      </c>
      <c r="L1043" s="3">
        <v>0</v>
      </c>
      <c r="M1043" s="5">
        <v>228.3</v>
      </c>
      <c r="N1043" s="3">
        <f t="shared" si="592"/>
        <v>1255650</v>
      </c>
      <c r="O1043" s="3">
        <v>0</v>
      </c>
      <c r="P1043" s="3">
        <v>0</v>
      </c>
      <c r="Q1043" s="3">
        <v>0</v>
      </c>
      <c r="R1043" s="3">
        <f t="shared" si="576"/>
        <v>0</v>
      </c>
      <c r="S1043" s="3">
        <v>0</v>
      </c>
      <c r="T1043" s="5">
        <v>0</v>
      </c>
      <c r="U1043" s="3">
        <v>0</v>
      </c>
      <c r="V1043" s="6">
        <f t="shared" si="577"/>
        <v>5500</v>
      </c>
    </row>
    <row r="1044" spans="1:258" ht="21.95" customHeight="1" x14ac:dyDescent="0.25">
      <c r="A1044" s="40" t="s">
        <v>1490</v>
      </c>
      <c r="B1044" s="8" t="s">
        <v>820</v>
      </c>
      <c r="C1044" s="2">
        <f t="shared" si="579"/>
        <v>1259500</v>
      </c>
      <c r="D1044" s="3">
        <f t="shared" si="578"/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5">
        <v>229</v>
      </c>
      <c r="N1044" s="3">
        <f t="shared" si="592"/>
        <v>1259500</v>
      </c>
      <c r="O1044" s="3">
        <v>0</v>
      </c>
      <c r="P1044" s="3">
        <v>0</v>
      </c>
      <c r="Q1044" s="3">
        <v>0</v>
      </c>
      <c r="R1044" s="3">
        <f t="shared" si="576"/>
        <v>0</v>
      </c>
      <c r="S1044" s="3">
        <v>0</v>
      </c>
      <c r="T1044" s="5">
        <v>0</v>
      </c>
      <c r="U1044" s="3">
        <v>0</v>
      </c>
      <c r="V1044" s="6">
        <f t="shared" si="577"/>
        <v>5500</v>
      </c>
    </row>
    <row r="1045" spans="1:258" ht="21.95" customHeight="1" x14ac:dyDescent="0.25">
      <c r="A1045" s="40" t="s">
        <v>1491</v>
      </c>
      <c r="B1045" s="8" t="s">
        <v>821</v>
      </c>
      <c r="C1045" s="2">
        <f t="shared" si="579"/>
        <v>1589500</v>
      </c>
      <c r="D1045" s="3">
        <f t="shared" si="578"/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4">
        <v>0</v>
      </c>
      <c r="L1045" s="3">
        <v>0</v>
      </c>
      <c r="M1045" s="5">
        <v>289</v>
      </c>
      <c r="N1045" s="3">
        <f t="shared" si="592"/>
        <v>1589500</v>
      </c>
      <c r="O1045" s="3">
        <v>0</v>
      </c>
      <c r="P1045" s="3">
        <v>0</v>
      </c>
      <c r="Q1045" s="3">
        <v>0</v>
      </c>
      <c r="R1045" s="3">
        <f t="shared" si="576"/>
        <v>0</v>
      </c>
      <c r="S1045" s="3">
        <v>0</v>
      </c>
      <c r="T1045" s="5">
        <v>0</v>
      </c>
      <c r="U1045" s="3">
        <v>0</v>
      </c>
      <c r="V1045" s="6">
        <f t="shared" si="577"/>
        <v>5500</v>
      </c>
    </row>
    <row r="1046" spans="1:258" ht="21.95" customHeight="1" x14ac:dyDescent="0.25">
      <c r="A1046" s="40" t="s">
        <v>1492</v>
      </c>
      <c r="B1046" s="8" t="s">
        <v>744</v>
      </c>
      <c r="C1046" s="2">
        <f t="shared" si="579"/>
        <v>2057000</v>
      </c>
      <c r="D1046" s="3">
        <f t="shared" si="578"/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4">
        <v>0</v>
      </c>
      <c r="L1046" s="3">
        <v>0</v>
      </c>
      <c r="M1046" s="3">
        <v>374</v>
      </c>
      <c r="N1046" s="3">
        <f t="shared" si="592"/>
        <v>2057000</v>
      </c>
      <c r="O1046" s="3">
        <v>0</v>
      </c>
      <c r="P1046" s="3">
        <v>0</v>
      </c>
      <c r="Q1046" s="3">
        <v>0</v>
      </c>
      <c r="R1046" s="3">
        <f t="shared" ref="R1046:R1088" si="593">Q1046*3000</f>
        <v>0</v>
      </c>
      <c r="S1046" s="3">
        <v>0</v>
      </c>
      <c r="T1046" s="5">
        <v>0</v>
      </c>
      <c r="U1046" s="3">
        <v>0</v>
      </c>
      <c r="V1046" s="6">
        <f t="shared" ref="V1046:V1088" si="594">N1046/M1046</f>
        <v>5500</v>
      </c>
    </row>
    <row r="1047" spans="1:258" ht="21.95" customHeight="1" x14ac:dyDescent="0.25">
      <c r="A1047" s="40" t="s">
        <v>1493</v>
      </c>
      <c r="B1047" s="8" t="s">
        <v>822</v>
      </c>
      <c r="C1047" s="2">
        <f>D1047+L1047+N1047+P1047+R1047+S1047+T1047+U1047</f>
        <v>2931500</v>
      </c>
      <c r="D1047" s="3">
        <f>SUM(E1047:J1047)</f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5">
        <v>533</v>
      </c>
      <c r="N1047" s="3">
        <f>M1047*5500</f>
        <v>2931500</v>
      </c>
      <c r="O1047" s="3">
        <v>0</v>
      </c>
      <c r="P1047" s="3">
        <v>0</v>
      </c>
      <c r="Q1047" s="3">
        <v>0</v>
      </c>
      <c r="R1047" s="3">
        <f>Q1047*3000</f>
        <v>0</v>
      </c>
      <c r="S1047" s="3">
        <v>0</v>
      </c>
      <c r="T1047" s="5">
        <v>0</v>
      </c>
      <c r="U1047" s="3">
        <v>0</v>
      </c>
      <c r="V1047" s="6">
        <f>N1047/M1047</f>
        <v>5500</v>
      </c>
    </row>
    <row r="1048" spans="1:258" ht="21.95" customHeight="1" x14ac:dyDescent="0.25">
      <c r="A1048" s="40" t="s">
        <v>1494</v>
      </c>
      <c r="B1048" s="8" t="s">
        <v>749</v>
      </c>
      <c r="C1048" s="2">
        <f>D1048+L1048+N1048+P1048+R1048+S1048+T1048+U1048</f>
        <v>7550400</v>
      </c>
      <c r="D1048" s="3">
        <f>SUM(E1048:J1048)</f>
        <v>0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4">
        <v>0</v>
      </c>
      <c r="L1048" s="3">
        <v>0</v>
      </c>
      <c r="M1048" s="5">
        <v>1372.8</v>
      </c>
      <c r="N1048" s="3">
        <f>M1048*5500</f>
        <v>7550400</v>
      </c>
      <c r="O1048" s="3">
        <v>0</v>
      </c>
      <c r="P1048" s="3">
        <v>0</v>
      </c>
      <c r="Q1048" s="3">
        <v>0</v>
      </c>
      <c r="R1048" s="3">
        <f>Q1048*3000</f>
        <v>0</v>
      </c>
      <c r="S1048" s="3">
        <v>0</v>
      </c>
      <c r="T1048" s="5">
        <v>0</v>
      </c>
      <c r="U1048" s="3">
        <v>0</v>
      </c>
      <c r="V1048" s="6">
        <f>N1048/M1048</f>
        <v>5500</v>
      </c>
    </row>
    <row r="1049" spans="1:258" ht="21.95" customHeight="1" x14ac:dyDescent="0.25">
      <c r="A1049" s="40" t="s">
        <v>1495</v>
      </c>
      <c r="B1049" s="8" t="s">
        <v>745</v>
      </c>
      <c r="C1049" s="2">
        <f t="shared" si="579"/>
        <v>3437500</v>
      </c>
      <c r="D1049" s="3">
        <f t="shared" ref="D1049:D1088" si="595">SUM(E1049:J1049)</f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4">
        <v>0</v>
      </c>
      <c r="L1049" s="3">
        <v>0</v>
      </c>
      <c r="M1049" s="5">
        <v>625</v>
      </c>
      <c r="N1049" s="3">
        <f t="shared" ref="N1049:N1057" si="596">M1049*5500</f>
        <v>3437500</v>
      </c>
      <c r="O1049" s="3">
        <v>0</v>
      </c>
      <c r="P1049" s="3">
        <v>0</v>
      </c>
      <c r="Q1049" s="3">
        <v>0</v>
      </c>
      <c r="R1049" s="3">
        <f t="shared" si="593"/>
        <v>0</v>
      </c>
      <c r="S1049" s="3">
        <v>0</v>
      </c>
      <c r="T1049" s="5">
        <v>0</v>
      </c>
      <c r="U1049" s="3">
        <v>0</v>
      </c>
      <c r="V1049" s="6">
        <f t="shared" si="594"/>
        <v>5500</v>
      </c>
    </row>
    <row r="1050" spans="1:258" ht="21.95" customHeight="1" x14ac:dyDescent="0.25">
      <c r="A1050" s="40" t="s">
        <v>1496</v>
      </c>
      <c r="B1050" s="8" t="s">
        <v>746</v>
      </c>
      <c r="C1050" s="2">
        <f t="shared" si="579"/>
        <v>1859000</v>
      </c>
      <c r="D1050" s="3">
        <f t="shared" si="595"/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4">
        <v>0</v>
      </c>
      <c r="L1050" s="3">
        <v>0</v>
      </c>
      <c r="M1050" s="3">
        <v>338</v>
      </c>
      <c r="N1050" s="3">
        <f t="shared" si="596"/>
        <v>1859000</v>
      </c>
      <c r="O1050" s="3">
        <v>0</v>
      </c>
      <c r="P1050" s="3">
        <v>0</v>
      </c>
      <c r="Q1050" s="3">
        <v>0</v>
      </c>
      <c r="R1050" s="3">
        <f t="shared" si="593"/>
        <v>0</v>
      </c>
      <c r="S1050" s="3">
        <v>0</v>
      </c>
      <c r="T1050" s="5">
        <v>0</v>
      </c>
      <c r="U1050" s="3">
        <v>0</v>
      </c>
      <c r="V1050" s="6">
        <f t="shared" si="594"/>
        <v>5500</v>
      </c>
    </row>
    <row r="1051" spans="1:258" ht="21.95" customHeight="1" x14ac:dyDescent="0.25">
      <c r="A1051" s="40" t="s">
        <v>1497</v>
      </c>
      <c r="B1051" s="8" t="s">
        <v>747</v>
      </c>
      <c r="C1051" s="2">
        <f t="shared" si="579"/>
        <v>1458600</v>
      </c>
      <c r="D1051" s="3">
        <f t="shared" si="595"/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4">
        <v>0</v>
      </c>
      <c r="L1051" s="3">
        <v>0</v>
      </c>
      <c r="M1051" s="5">
        <v>265.2</v>
      </c>
      <c r="N1051" s="3">
        <f t="shared" si="596"/>
        <v>1458600</v>
      </c>
      <c r="O1051" s="3">
        <v>0</v>
      </c>
      <c r="P1051" s="3">
        <v>0</v>
      </c>
      <c r="Q1051" s="3">
        <v>0</v>
      </c>
      <c r="R1051" s="3">
        <f t="shared" si="593"/>
        <v>0</v>
      </c>
      <c r="S1051" s="3">
        <v>0</v>
      </c>
      <c r="T1051" s="5">
        <v>0</v>
      </c>
      <c r="U1051" s="3">
        <v>0</v>
      </c>
      <c r="V1051" s="6">
        <f t="shared" si="594"/>
        <v>5500</v>
      </c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6"/>
      <c r="AW1051" s="6"/>
      <c r="AX1051" s="6"/>
      <c r="AY1051" s="6"/>
      <c r="AZ1051" s="6"/>
      <c r="BA1051" s="6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/>
      <c r="BN1051" s="6"/>
      <c r="BO1051" s="6"/>
      <c r="BP1051" s="6"/>
      <c r="BQ1051" s="6"/>
      <c r="BR1051" s="6"/>
      <c r="BS1051" s="6"/>
      <c r="BT1051" s="6"/>
      <c r="BU1051" s="6"/>
      <c r="BV1051" s="6"/>
      <c r="BW1051" s="6"/>
      <c r="BX1051" s="6"/>
      <c r="BY1051" s="6"/>
      <c r="BZ1051" s="6"/>
      <c r="CA1051" s="6"/>
      <c r="CB1051" s="6"/>
      <c r="CC1051" s="6"/>
      <c r="CD1051" s="6"/>
      <c r="CE1051" s="6"/>
      <c r="CF1051" s="6"/>
      <c r="CG1051" s="6"/>
      <c r="CH1051" s="6"/>
      <c r="CI1051" s="6"/>
      <c r="CJ1051" s="6"/>
      <c r="CK1051" s="6"/>
      <c r="CL1051" s="6"/>
      <c r="CM1051" s="6"/>
      <c r="CN1051" s="6"/>
      <c r="CO1051" s="6"/>
      <c r="CP1051" s="6"/>
      <c r="CQ1051" s="6"/>
      <c r="CR1051" s="6"/>
      <c r="CS1051" s="6"/>
      <c r="CT1051" s="6"/>
      <c r="CU1051" s="6"/>
      <c r="CV1051" s="6"/>
      <c r="CW1051" s="6"/>
      <c r="CX1051" s="6"/>
      <c r="CY1051" s="6"/>
      <c r="CZ1051" s="6"/>
      <c r="DA1051" s="6"/>
      <c r="DB1051" s="6"/>
      <c r="DC1051" s="6"/>
      <c r="DD1051" s="6"/>
      <c r="DE1051" s="6"/>
      <c r="DF1051" s="6"/>
      <c r="DG1051" s="6"/>
      <c r="DH1051" s="6"/>
      <c r="DI1051" s="6"/>
      <c r="DJ1051" s="6"/>
      <c r="DK1051" s="6"/>
      <c r="DL1051" s="6"/>
      <c r="DM1051" s="6"/>
      <c r="DN1051" s="6"/>
      <c r="DO1051" s="6"/>
      <c r="DP1051" s="6"/>
      <c r="DQ1051" s="6"/>
      <c r="DR1051" s="6"/>
      <c r="DS1051" s="6"/>
      <c r="DT1051" s="6"/>
      <c r="DU1051" s="6"/>
      <c r="DV1051" s="6"/>
      <c r="DW1051" s="6"/>
      <c r="DX1051" s="6"/>
      <c r="DY1051" s="6"/>
      <c r="DZ1051" s="6"/>
      <c r="EA1051" s="6"/>
      <c r="EB1051" s="6"/>
      <c r="EC1051" s="6"/>
      <c r="ED1051" s="6"/>
      <c r="EE1051" s="6"/>
      <c r="EF1051" s="6"/>
      <c r="EG1051" s="6"/>
      <c r="EH1051" s="6"/>
      <c r="EI1051" s="6"/>
      <c r="EJ1051" s="6"/>
      <c r="EK1051" s="6"/>
      <c r="EL1051" s="6"/>
      <c r="EM1051" s="6"/>
      <c r="EN1051" s="6"/>
      <c r="EO1051" s="6"/>
      <c r="EP1051" s="6"/>
      <c r="EQ1051" s="6"/>
      <c r="ER1051" s="6"/>
      <c r="ES1051" s="6"/>
      <c r="ET1051" s="6"/>
      <c r="EU1051" s="6"/>
      <c r="EV1051" s="6"/>
      <c r="EW1051" s="6"/>
      <c r="EX1051" s="6"/>
      <c r="EY1051" s="6"/>
      <c r="EZ1051" s="6"/>
      <c r="FA1051" s="6"/>
      <c r="FB1051" s="6"/>
      <c r="FC1051" s="6"/>
      <c r="FD1051" s="6"/>
      <c r="FE1051" s="6"/>
      <c r="FF1051" s="6"/>
      <c r="FG1051" s="6"/>
      <c r="FH1051" s="6"/>
      <c r="FI1051" s="6"/>
      <c r="FJ1051" s="6"/>
      <c r="FK1051" s="6"/>
      <c r="FL1051" s="6"/>
      <c r="FM1051" s="6"/>
      <c r="FN1051" s="6"/>
      <c r="FO1051" s="6"/>
      <c r="FP1051" s="6"/>
      <c r="FQ1051" s="6"/>
      <c r="FR1051" s="6"/>
      <c r="FS1051" s="6"/>
      <c r="FT1051" s="6"/>
      <c r="FU1051" s="6"/>
      <c r="FV1051" s="6"/>
      <c r="FW1051" s="6"/>
      <c r="FX1051" s="6"/>
      <c r="FY1051" s="6"/>
      <c r="FZ1051" s="6"/>
      <c r="GA1051" s="6"/>
      <c r="GB1051" s="6"/>
      <c r="GC1051" s="6"/>
      <c r="GD1051" s="6"/>
      <c r="GE1051" s="6"/>
      <c r="GF1051" s="6"/>
      <c r="GG1051" s="6"/>
      <c r="GH1051" s="6"/>
      <c r="GI1051" s="6"/>
      <c r="GJ1051" s="6"/>
      <c r="GK1051" s="6"/>
      <c r="GL1051" s="6"/>
      <c r="GM1051" s="6"/>
      <c r="GN1051" s="6"/>
      <c r="GO1051" s="6"/>
      <c r="GP1051" s="6"/>
      <c r="GQ1051" s="6"/>
      <c r="GR1051" s="6"/>
      <c r="GS1051" s="6"/>
      <c r="GT1051" s="6"/>
      <c r="GU1051" s="6"/>
      <c r="GV1051" s="6"/>
      <c r="GW1051" s="6"/>
      <c r="GX1051" s="6"/>
      <c r="GY1051" s="6"/>
      <c r="GZ1051" s="6"/>
      <c r="HA1051" s="6"/>
      <c r="HB1051" s="6"/>
      <c r="HC1051" s="6"/>
      <c r="HD1051" s="6"/>
      <c r="HE1051" s="6"/>
      <c r="HF1051" s="6"/>
      <c r="HG1051" s="6"/>
      <c r="HH1051" s="6"/>
      <c r="HI1051" s="6"/>
      <c r="HJ1051" s="6"/>
      <c r="HK1051" s="6"/>
      <c r="HL1051" s="6"/>
      <c r="HM1051" s="6"/>
      <c r="HN1051" s="6"/>
      <c r="HO1051" s="6"/>
      <c r="HP1051" s="6"/>
      <c r="HQ1051" s="6"/>
      <c r="HR1051" s="6"/>
      <c r="HS1051" s="6"/>
      <c r="HT1051" s="6"/>
      <c r="HU1051" s="6"/>
      <c r="HV1051" s="6"/>
      <c r="HW1051" s="6"/>
      <c r="HX1051" s="6"/>
      <c r="HY1051" s="6"/>
      <c r="HZ1051" s="6"/>
      <c r="IA1051" s="6"/>
      <c r="IB1051" s="6"/>
      <c r="IC1051" s="6"/>
      <c r="ID1051" s="6"/>
      <c r="IE1051" s="6"/>
      <c r="IF1051" s="6"/>
      <c r="IG1051" s="6"/>
      <c r="IH1051" s="6"/>
      <c r="II1051" s="6"/>
      <c r="IJ1051" s="6"/>
      <c r="IK1051" s="6"/>
      <c r="IL1051" s="6"/>
      <c r="IM1051" s="6"/>
      <c r="IN1051" s="6"/>
      <c r="IO1051" s="6"/>
      <c r="IP1051" s="6"/>
      <c r="IQ1051" s="6"/>
      <c r="IR1051" s="6"/>
      <c r="IS1051" s="6"/>
      <c r="IT1051" s="6"/>
      <c r="IU1051" s="6"/>
      <c r="IV1051" s="6"/>
      <c r="IW1051" s="6"/>
      <c r="IX1051" s="6"/>
    </row>
    <row r="1052" spans="1:258" ht="21.95" customHeight="1" x14ac:dyDescent="0.25">
      <c r="A1052" s="40" t="s">
        <v>1498</v>
      </c>
      <c r="B1052" s="8" t="s">
        <v>748</v>
      </c>
      <c r="C1052" s="2">
        <f t="shared" ref="C1052:C1110" si="597">D1052+L1052+N1052+P1052+R1052+S1052+T1052+U1052</f>
        <v>1456400</v>
      </c>
      <c r="D1052" s="3">
        <f t="shared" si="595"/>
        <v>0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4">
        <v>0</v>
      </c>
      <c r="L1052" s="3">
        <v>0</v>
      </c>
      <c r="M1052" s="5">
        <v>264.8</v>
      </c>
      <c r="N1052" s="3">
        <f t="shared" si="596"/>
        <v>1456400</v>
      </c>
      <c r="O1052" s="3">
        <v>0</v>
      </c>
      <c r="P1052" s="3">
        <v>0</v>
      </c>
      <c r="Q1052" s="3">
        <v>0</v>
      </c>
      <c r="R1052" s="3">
        <f t="shared" si="593"/>
        <v>0</v>
      </c>
      <c r="S1052" s="3">
        <v>0</v>
      </c>
      <c r="T1052" s="5">
        <v>0</v>
      </c>
      <c r="U1052" s="3">
        <v>0</v>
      </c>
      <c r="V1052" s="6">
        <f t="shared" si="594"/>
        <v>5500</v>
      </c>
    </row>
    <row r="1053" spans="1:258" ht="21.95" customHeight="1" x14ac:dyDescent="0.25">
      <c r="A1053" s="40" t="s">
        <v>1499</v>
      </c>
      <c r="B1053" s="8" t="s">
        <v>823</v>
      </c>
      <c r="C1053" s="2">
        <f t="shared" si="597"/>
        <v>1837000</v>
      </c>
      <c r="D1053" s="3">
        <f t="shared" si="595"/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3">
        <v>334</v>
      </c>
      <c r="N1053" s="3">
        <f t="shared" si="596"/>
        <v>1837000</v>
      </c>
      <c r="O1053" s="3">
        <v>0</v>
      </c>
      <c r="P1053" s="3">
        <v>0</v>
      </c>
      <c r="Q1053" s="3">
        <v>0</v>
      </c>
      <c r="R1053" s="3">
        <f t="shared" si="593"/>
        <v>0</v>
      </c>
      <c r="S1053" s="3">
        <v>0</v>
      </c>
      <c r="T1053" s="5">
        <v>0</v>
      </c>
      <c r="U1053" s="3">
        <v>0</v>
      </c>
      <c r="V1053" s="6">
        <f t="shared" si="594"/>
        <v>5500</v>
      </c>
    </row>
    <row r="1054" spans="1:258" ht="21.95" customHeight="1" x14ac:dyDescent="0.25">
      <c r="A1054" s="40" t="s">
        <v>1500</v>
      </c>
      <c r="B1054" s="23" t="s">
        <v>750</v>
      </c>
      <c r="C1054" s="2">
        <f t="shared" si="597"/>
        <v>8041000</v>
      </c>
      <c r="D1054" s="3">
        <f t="shared" si="595"/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4">
        <v>0</v>
      </c>
      <c r="L1054" s="3">
        <v>0</v>
      </c>
      <c r="M1054" s="3">
        <v>1462</v>
      </c>
      <c r="N1054" s="3">
        <f t="shared" si="596"/>
        <v>8041000</v>
      </c>
      <c r="O1054" s="3">
        <v>0</v>
      </c>
      <c r="P1054" s="3">
        <v>0</v>
      </c>
      <c r="Q1054" s="3">
        <v>0</v>
      </c>
      <c r="R1054" s="3">
        <f t="shared" si="593"/>
        <v>0</v>
      </c>
      <c r="S1054" s="3">
        <v>0</v>
      </c>
      <c r="T1054" s="5">
        <v>0</v>
      </c>
      <c r="U1054" s="3">
        <v>0</v>
      </c>
      <c r="V1054" s="6">
        <f t="shared" si="594"/>
        <v>5500</v>
      </c>
    </row>
    <row r="1055" spans="1:258" ht="21.95" customHeight="1" x14ac:dyDescent="0.25">
      <c r="A1055" s="40" t="s">
        <v>1501</v>
      </c>
      <c r="B1055" s="23" t="s">
        <v>752</v>
      </c>
      <c r="C1055" s="2">
        <f>D1055+L1055+N1055+P1055+R1055+S1055+T1055+U1055</f>
        <v>5742000</v>
      </c>
      <c r="D1055" s="3">
        <f>SUM(E1055:J1055)</f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4">
        <v>0</v>
      </c>
      <c r="L1055" s="3">
        <v>0</v>
      </c>
      <c r="M1055" s="3">
        <v>1044</v>
      </c>
      <c r="N1055" s="3">
        <f>M1055*5500</f>
        <v>5742000</v>
      </c>
      <c r="O1055" s="3">
        <v>0</v>
      </c>
      <c r="P1055" s="3">
        <v>0</v>
      </c>
      <c r="Q1055" s="3">
        <v>0</v>
      </c>
      <c r="R1055" s="3">
        <f>Q1055*3000</f>
        <v>0</v>
      </c>
      <c r="S1055" s="3">
        <v>0</v>
      </c>
      <c r="T1055" s="5">
        <v>0</v>
      </c>
      <c r="U1055" s="3">
        <v>0</v>
      </c>
      <c r="V1055" s="6">
        <f>N1055/M1055</f>
        <v>5500</v>
      </c>
    </row>
    <row r="1056" spans="1:258" ht="21.95" customHeight="1" x14ac:dyDescent="0.25">
      <c r="A1056" s="40" t="s">
        <v>1502</v>
      </c>
      <c r="B1056" s="23" t="s">
        <v>753</v>
      </c>
      <c r="C1056" s="2">
        <f>D1056+L1056+N1056+P1056+R1056+S1056+T1056+U1056</f>
        <v>5703500</v>
      </c>
      <c r="D1056" s="3">
        <f>SUM(E1056:J1056)</f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3">
        <v>1037</v>
      </c>
      <c r="N1056" s="3">
        <f>M1056*5500</f>
        <v>5703500</v>
      </c>
      <c r="O1056" s="3">
        <v>0</v>
      </c>
      <c r="P1056" s="3">
        <v>0</v>
      </c>
      <c r="Q1056" s="3">
        <v>0</v>
      </c>
      <c r="R1056" s="3">
        <f>Q1056*3000</f>
        <v>0</v>
      </c>
      <c r="S1056" s="3">
        <v>0</v>
      </c>
      <c r="T1056" s="5">
        <v>0</v>
      </c>
      <c r="U1056" s="3">
        <v>0</v>
      </c>
      <c r="V1056" s="6">
        <f>N1056/M1056</f>
        <v>5500</v>
      </c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7"/>
      <c r="AW1056" s="17"/>
      <c r="AX1056" s="17"/>
      <c r="AY1056" s="17"/>
      <c r="AZ1056" s="17"/>
      <c r="BA1056" s="17"/>
      <c r="BB1056" s="17"/>
      <c r="BC1056" s="17"/>
      <c r="BD1056" s="17"/>
      <c r="BE1056" s="17"/>
      <c r="BF1056" s="17"/>
      <c r="BG1056" s="17"/>
      <c r="BH1056" s="17"/>
      <c r="BI1056" s="17"/>
      <c r="BJ1056" s="17"/>
      <c r="BK1056" s="17"/>
      <c r="BL1056" s="17"/>
      <c r="BM1056" s="17"/>
      <c r="BN1056" s="17"/>
      <c r="BO1056" s="17"/>
      <c r="BP1056" s="17"/>
      <c r="BQ1056" s="17"/>
      <c r="BR1056" s="17"/>
      <c r="BS1056" s="17"/>
      <c r="BT1056" s="17"/>
      <c r="BU1056" s="17"/>
      <c r="BV1056" s="17"/>
      <c r="BW1056" s="17"/>
      <c r="BX1056" s="17"/>
      <c r="BY1056" s="17"/>
      <c r="BZ1056" s="17"/>
      <c r="CA1056" s="17"/>
      <c r="CB1056" s="17"/>
      <c r="CC1056" s="17"/>
      <c r="CD1056" s="17"/>
      <c r="CE1056" s="17"/>
      <c r="CF1056" s="17"/>
      <c r="CG1056" s="17"/>
      <c r="CH1056" s="17"/>
      <c r="CI1056" s="17"/>
      <c r="CJ1056" s="17"/>
      <c r="CK1056" s="17"/>
      <c r="CL1056" s="17"/>
      <c r="CM1056" s="17"/>
      <c r="CN1056" s="17"/>
      <c r="CO1056" s="17"/>
      <c r="CP1056" s="17"/>
      <c r="CQ1056" s="17"/>
      <c r="CR1056" s="17"/>
      <c r="CS1056" s="17"/>
      <c r="CT1056" s="17"/>
      <c r="CU1056" s="17"/>
      <c r="CV1056" s="17"/>
      <c r="CW1056" s="17"/>
      <c r="CX1056" s="17"/>
      <c r="CY1056" s="17"/>
      <c r="CZ1056" s="17"/>
      <c r="DA1056" s="17"/>
      <c r="DB1056" s="17"/>
      <c r="DC1056" s="17"/>
      <c r="DD1056" s="17"/>
      <c r="DE1056" s="17"/>
      <c r="DF1056" s="17"/>
      <c r="DG1056" s="17"/>
      <c r="DH1056" s="17"/>
      <c r="DI1056" s="17"/>
      <c r="DJ1056" s="17"/>
      <c r="DK1056" s="17"/>
      <c r="DL1056" s="17"/>
      <c r="DM1056" s="17"/>
      <c r="DN1056" s="17"/>
      <c r="DO1056" s="17"/>
      <c r="DP1056" s="17"/>
      <c r="DQ1056" s="17"/>
      <c r="DR1056" s="17"/>
      <c r="DS1056" s="17"/>
      <c r="DT1056" s="17"/>
      <c r="DU1056" s="17"/>
      <c r="DV1056" s="17"/>
      <c r="DW1056" s="17"/>
      <c r="DX1056" s="17"/>
      <c r="DY1056" s="17"/>
      <c r="DZ1056" s="17"/>
      <c r="EA1056" s="17"/>
      <c r="EB1056" s="17"/>
      <c r="EC1056" s="17"/>
      <c r="ED1056" s="17"/>
      <c r="EE1056" s="17"/>
      <c r="EF1056" s="17"/>
      <c r="EG1056" s="17"/>
      <c r="EH1056" s="17"/>
      <c r="EI1056" s="17"/>
      <c r="EJ1056" s="17"/>
      <c r="EK1056" s="17"/>
      <c r="EL1056" s="17"/>
      <c r="EM1056" s="17"/>
      <c r="EN1056" s="17"/>
      <c r="EO1056" s="17"/>
      <c r="EP1056" s="17"/>
      <c r="EQ1056" s="17"/>
      <c r="ER1056" s="17"/>
      <c r="ES1056" s="17"/>
      <c r="ET1056" s="17"/>
      <c r="EU1056" s="17"/>
      <c r="EV1056" s="17"/>
      <c r="EW1056" s="17"/>
      <c r="EX1056" s="17"/>
      <c r="EY1056" s="17"/>
      <c r="EZ1056" s="17"/>
      <c r="FA1056" s="17"/>
      <c r="FB1056" s="17"/>
      <c r="FC1056" s="17"/>
      <c r="FD1056" s="17"/>
      <c r="FE1056" s="17"/>
      <c r="FF1056" s="17"/>
      <c r="FG1056" s="17"/>
      <c r="FH1056" s="17"/>
      <c r="FI1056" s="17"/>
      <c r="FJ1056" s="17"/>
      <c r="FK1056" s="17"/>
      <c r="FL1056" s="17"/>
      <c r="FM1056" s="17"/>
      <c r="FN1056" s="17"/>
      <c r="FO1056" s="17"/>
      <c r="FP1056" s="17"/>
      <c r="FQ1056" s="17"/>
      <c r="FR1056" s="17"/>
      <c r="FS1056" s="17"/>
      <c r="FT1056" s="17"/>
      <c r="FU1056" s="17"/>
      <c r="FV1056" s="17"/>
      <c r="FW1056" s="17"/>
      <c r="FX1056" s="17"/>
      <c r="FY1056" s="17"/>
      <c r="FZ1056" s="17"/>
      <c r="GA1056" s="17"/>
      <c r="GB1056" s="17"/>
      <c r="GC1056" s="17"/>
      <c r="GD1056" s="17"/>
      <c r="GE1056" s="17"/>
      <c r="GF1056" s="17"/>
      <c r="GG1056" s="17"/>
      <c r="GH1056" s="17"/>
      <c r="GI1056" s="17"/>
      <c r="GJ1056" s="17"/>
      <c r="GK1056" s="17"/>
      <c r="GL1056" s="17"/>
      <c r="GM1056" s="17"/>
      <c r="GN1056" s="17"/>
      <c r="GO1056" s="17"/>
      <c r="GP1056" s="17"/>
      <c r="GQ1056" s="17"/>
      <c r="GR1056" s="17"/>
      <c r="GS1056" s="17"/>
      <c r="GT1056" s="17"/>
      <c r="GU1056" s="17"/>
      <c r="GV1056" s="17"/>
      <c r="GW1056" s="17"/>
      <c r="GX1056" s="17"/>
      <c r="GY1056" s="17"/>
      <c r="GZ1056" s="17"/>
      <c r="HA1056" s="17"/>
      <c r="HB1056" s="17"/>
      <c r="HC1056" s="17"/>
      <c r="HD1056" s="17"/>
      <c r="HE1056" s="17"/>
      <c r="HF1056" s="17"/>
      <c r="HG1056" s="17"/>
      <c r="HH1056" s="17"/>
      <c r="HI1056" s="17"/>
      <c r="HJ1056" s="17"/>
      <c r="HK1056" s="17"/>
      <c r="HL1056" s="17"/>
      <c r="HM1056" s="17"/>
      <c r="HN1056" s="17"/>
      <c r="HO1056" s="17"/>
      <c r="HP1056" s="17"/>
      <c r="HQ1056" s="17"/>
      <c r="HR1056" s="17"/>
      <c r="HS1056" s="17"/>
      <c r="HT1056" s="17"/>
      <c r="HU1056" s="17"/>
      <c r="HV1056" s="17"/>
      <c r="HW1056" s="17"/>
      <c r="HX1056" s="17"/>
      <c r="HY1056" s="17"/>
      <c r="HZ1056" s="17"/>
      <c r="IA1056" s="17"/>
      <c r="IB1056" s="17"/>
      <c r="IC1056" s="17"/>
      <c r="ID1056" s="17"/>
      <c r="IE1056" s="17"/>
      <c r="IF1056" s="17"/>
      <c r="IG1056" s="17"/>
      <c r="IH1056" s="17"/>
      <c r="II1056" s="17"/>
      <c r="IJ1056" s="17"/>
      <c r="IK1056" s="17"/>
      <c r="IL1056" s="17"/>
      <c r="IM1056" s="17"/>
      <c r="IN1056" s="17"/>
      <c r="IO1056" s="17"/>
      <c r="IP1056" s="17"/>
      <c r="IQ1056" s="17"/>
      <c r="IR1056" s="17"/>
      <c r="IS1056" s="17"/>
      <c r="IT1056" s="17"/>
      <c r="IU1056" s="17"/>
      <c r="IV1056" s="17"/>
      <c r="IW1056" s="17"/>
      <c r="IX1056" s="17"/>
    </row>
    <row r="1057" spans="1:258" ht="21.95" customHeight="1" x14ac:dyDescent="0.25">
      <c r="A1057" s="40" t="s">
        <v>1503</v>
      </c>
      <c r="B1057" s="23" t="s">
        <v>751</v>
      </c>
      <c r="C1057" s="2">
        <f t="shared" si="597"/>
        <v>5698000</v>
      </c>
      <c r="D1057" s="3">
        <f t="shared" si="595"/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3">
        <v>1036</v>
      </c>
      <c r="N1057" s="3">
        <f t="shared" si="596"/>
        <v>5698000</v>
      </c>
      <c r="O1057" s="3">
        <v>0</v>
      </c>
      <c r="P1057" s="3">
        <v>0</v>
      </c>
      <c r="Q1057" s="3">
        <v>0</v>
      </c>
      <c r="R1057" s="3">
        <f t="shared" si="593"/>
        <v>0</v>
      </c>
      <c r="S1057" s="3">
        <v>0</v>
      </c>
      <c r="T1057" s="5">
        <v>0</v>
      </c>
      <c r="U1057" s="3">
        <v>0</v>
      </c>
      <c r="V1057" s="6">
        <f t="shared" si="594"/>
        <v>5500</v>
      </c>
    </row>
    <row r="1058" spans="1:258" ht="21.95" customHeight="1" x14ac:dyDescent="0.25">
      <c r="A1058" s="40" t="s">
        <v>1504</v>
      </c>
      <c r="B1058" s="8" t="s">
        <v>754</v>
      </c>
      <c r="C1058" s="2">
        <f t="shared" si="597"/>
        <v>2670688.5</v>
      </c>
      <c r="D1058" s="3">
        <f t="shared" si="595"/>
        <v>2570688.5</v>
      </c>
      <c r="E1058" s="3">
        <f>350*1093.91</f>
        <v>382868.5</v>
      </c>
      <c r="F1058" s="3">
        <f>1050*1093.91</f>
        <v>1148605.5</v>
      </c>
      <c r="G1058" s="3">
        <f>300*1093.91</f>
        <v>328173</v>
      </c>
      <c r="H1058" s="3">
        <f>400*1093.91</f>
        <v>437564.00000000006</v>
      </c>
      <c r="I1058" s="3">
        <f>250*1093.91</f>
        <v>273477.5</v>
      </c>
      <c r="J1058" s="3">
        <v>0</v>
      </c>
      <c r="K1058" s="4">
        <v>0</v>
      </c>
      <c r="L1058" s="3">
        <v>0</v>
      </c>
      <c r="M1058" s="5">
        <v>0</v>
      </c>
      <c r="N1058" s="5">
        <v>0</v>
      </c>
      <c r="O1058" s="3">
        <v>0</v>
      </c>
      <c r="P1058" s="3">
        <v>0</v>
      </c>
      <c r="Q1058" s="3">
        <v>0</v>
      </c>
      <c r="R1058" s="3">
        <f t="shared" si="593"/>
        <v>0</v>
      </c>
      <c r="S1058" s="3">
        <v>0</v>
      </c>
      <c r="T1058" s="5">
        <v>0</v>
      </c>
      <c r="U1058" s="3">
        <v>100000</v>
      </c>
      <c r="V1058" s="6" t="e">
        <f t="shared" si="594"/>
        <v>#DIV/0!</v>
      </c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  <c r="BO1058" s="6"/>
      <c r="BP1058" s="6"/>
      <c r="BQ1058" s="6"/>
      <c r="BR1058" s="6"/>
      <c r="BS1058" s="6"/>
      <c r="BT1058" s="6"/>
      <c r="BU1058" s="6"/>
      <c r="BV1058" s="6"/>
      <c r="BW1058" s="6"/>
      <c r="BX1058" s="6"/>
      <c r="BY1058" s="6"/>
      <c r="BZ1058" s="6"/>
      <c r="CA1058" s="6"/>
      <c r="CB1058" s="6"/>
      <c r="CC1058" s="6"/>
      <c r="CD1058" s="6"/>
      <c r="CE1058" s="6"/>
      <c r="CF1058" s="6"/>
      <c r="CG1058" s="6"/>
      <c r="CH1058" s="6"/>
      <c r="CI1058" s="6"/>
      <c r="CJ1058" s="6"/>
      <c r="CK1058" s="6"/>
      <c r="CL1058" s="6"/>
      <c r="CM1058" s="6"/>
      <c r="CN1058" s="6"/>
      <c r="CO1058" s="6"/>
      <c r="CP1058" s="6"/>
      <c r="CQ1058" s="6"/>
      <c r="CR1058" s="6"/>
      <c r="CS1058" s="6"/>
      <c r="CT1058" s="6"/>
      <c r="CU1058" s="6"/>
      <c r="CV1058" s="6"/>
      <c r="CW1058" s="6"/>
      <c r="CX1058" s="6"/>
      <c r="CY1058" s="6"/>
      <c r="CZ1058" s="6"/>
      <c r="DA1058" s="6"/>
      <c r="DB1058" s="6"/>
      <c r="DC1058" s="6"/>
      <c r="DD1058" s="6"/>
      <c r="DE1058" s="6"/>
      <c r="DF1058" s="6"/>
      <c r="DG1058" s="6"/>
      <c r="DH1058" s="6"/>
      <c r="DI1058" s="6"/>
      <c r="DJ1058" s="6"/>
      <c r="DK1058" s="6"/>
      <c r="DL1058" s="6"/>
      <c r="DM1058" s="6"/>
      <c r="DN1058" s="6"/>
      <c r="DO1058" s="6"/>
      <c r="DP1058" s="6"/>
      <c r="DQ1058" s="6"/>
      <c r="DR1058" s="6"/>
      <c r="DS1058" s="6"/>
      <c r="DT1058" s="6"/>
      <c r="DU1058" s="6"/>
      <c r="DV1058" s="6"/>
      <c r="DW1058" s="6"/>
      <c r="DX1058" s="6"/>
      <c r="DY1058" s="6"/>
      <c r="DZ1058" s="6"/>
      <c r="EA1058" s="6"/>
      <c r="EB1058" s="6"/>
      <c r="EC1058" s="6"/>
      <c r="ED1058" s="6"/>
      <c r="EE1058" s="6"/>
      <c r="EF1058" s="6"/>
      <c r="EG1058" s="6"/>
      <c r="EH1058" s="6"/>
      <c r="EI1058" s="6"/>
      <c r="EJ1058" s="6"/>
      <c r="EK1058" s="6"/>
      <c r="EL1058" s="6"/>
      <c r="EM1058" s="6"/>
      <c r="EN1058" s="6"/>
      <c r="EO1058" s="6"/>
      <c r="EP1058" s="6"/>
      <c r="EQ1058" s="6"/>
      <c r="ER1058" s="6"/>
      <c r="ES1058" s="6"/>
      <c r="ET1058" s="6"/>
      <c r="EU1058" s="6"/>
      <c r="EV1058" s="6"/>
      <c r="EW1058" s="6"/>
      <c r="EX1058" s="6"/>
      <c r="EY1058" s="6"/>
      <c r="EZ1058" s="6"/>
      <c r="FA1058" s="6"/>
      <c r="FB1058" s="6"/>
      <c r="FC1058" s="6"/>
      <c r="FD1058" s="6"/>
      <c r="FE1058" s="6"/>
      <c r="FF1058" s="6"/>
      <c r="FG1058" s="6"/>
      <c r="FH1058" s="6"/>
      <c r="FI1058" s="6"/>
      <c r="FJ1058" s="6"/>
      <c r="FK1058" s="6"/>
      <c r="FL1058" s="6"/>
      <c r="FM1058" s="6"/>
      <c r="FN1058" s="6"/>
      <c r="FO1058" s="6"/>
      <c r="FP1058" s="6"/>
      <c r="FQ1058" s="6"/>
      <c r="FR1058" s="6"/>
      <c r="FS1058" s="6"/>
      <c r="FT1058" s="6"/>
      <c r="FU1058" s="6"/>
      <c r="FV1058" s="6"/>
      <c r="FW1058" s="6"/>
      <c r="FX1058" s="6"/>
      <c r="FY1058" s="6"/>
      <c r="FZ1058" s="6"/>
      <c r="GA1058" s="6"/>
      <c r="GB1058" s="6"/>
      <c r="GC1058" s="6"/>
      <c r="GD1058" s="6"/>
      <c r="GE1058" s="6"/>
      <c r="GF1058" s="6"/>
      <c r="GG1058" s="6"/>
      <c r="GH1058" s="6"/>
      <c r="GI1058" s="6"/>
      <c r="GJ1058" s="6"/>
      <c r="GK1058" s="6"/>
      <c r="GL1058" s="6"/>
      <c r="GM1058" s="6"/>
      <c r="GN1058" s="6"/>
      <c r="GO1058" s="6"/>
      <c r="GP1058" s="6"/>
      <c r="GQ1058" s="6"/>
      <c r="GR1058" s="6"/>
      <c r="GS1058" s="6"/>
      <c r="GT1058" s="6"/>
      <c r="GU1058" s="6"/>
      <c r="GV1058" s="6"/>
      <c r="GW1058" s="6"/>
      <c r="GX1058" s="6"/>
      <c r="GY1058" s="6"/>
      <c r="GZ1058" s="6"/>
      <c r="HA1058" s="6"/>
      <c r="HB1058" s="6"/>
      <c r="HC1058" s="6"/>
      <c r="HD1058" s="6"/>
      <c r="HE1058" s="6"/>
      <c r="HF1058" s="6"/>
      <c r="HG1058" s="6"/>
      <c r="HH1058" s="6"/>
      <c r="HI1058" s="6"/>
      <c r="HJ1058" s="6"/>
      <c r="HK1058" s="6"/>
      <c r="HL1058" s="6"/>
      <c r="HM1058" s="6"/>
      <c r="HN1058" s="6"/>
      <c r="HO1058" s="6"/>
      <c r="HP1058" s="6"/>
      <c r="HQ1058" s="6"/>
      <c r="HR1058" s="6"/>
      <c r="HS1058" s="6"/>
      <c r="HT1058" s="6"/>
      <c r="HU1058" s="6"/>
      <c r="HV1058" s="6"/>
      <c r="HW1058" s="6"/>
      <c r="HX1058" s="6"/>
      <c r="HY1058" s="6"/>
      <c r="HZ1058" s="6"/>
      <c r="IA1058" s="6"/>
      <c r="IB1058" s="6"/>
      <c r="IC1058" s="6"/>
      <c r="ID1058" s="6"/>
      <c r="IE1058" s="6"/>
      <c r="IF1058" s="6"/>
      <c r="IG1058" s="6"/>
      <c r="IH1058" s="6"/>
      <c r="II1058" s="6"/>
      <c r="IJ1058" s="6"/>
      <c r="IK1058" s="6"/>
      <c r="IL1058" s="6"/>
      <c r="IM1058" s="6"/>
      <c r="IN1058" s="6"/>
      <c r="IO1058" s="6"/>
      <c r="IP1058" s="6"/>
      <c r="IQ1058" s="6"/>
      <c r="IR1058" s="6"/>
      <c r="IS1058" s="6"/>
      <c r="IT1058" s="6"/>
      <c r="IU1058" s="6"/>
      <c r="IV1058" s="6"/>
      <c r="IW1058" s="6"/>
      <c r="IX1058" s="6"/>
    </row>
    <row r="1059" spans="1:258" ht="21.95" customHeight="1" x14ac:dyDescent="0.25">
      <c r="A1059" s="40" t="s">
        <v>1505</v>
      </c>
      <c r="B1059" s="8" t="s">
        <v>755</v>
      </c>
      <c r="C1059" s="2">
        <f t="shared" si="597"/>
        <v>2738450</v>
      </c>
      <c r="D1059" s="3">
        <f t="shared" si="595"/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4">
        <v>0</v>
      </c>
      <c r="L1059" s="3">
        <v>0</v>
      </c>
      <c r="M1059" s="3">
        <v>497.9</v>
      </c>
      <c r="N1059" s="3">
        <f t="shared" ref="N1059:N1064" si="598">M1059*5500</f>
        <v>2738450</v>
      </c>
      <c r="O1059" s="3">
        <v>0</v>
      </c>
      <c r="P1059" s="3">
        <v>0</v>
      </c>
      <c r="Q1059" s="3">
        <v>0</v>
      </c>
      <c r="R1059" s="3">
        <f t="shared" si="593"/>
        <v>0</v>
      </c>
      <c r="S1059" s="3">
        <v>0</v>
      </c>
      <c r="T1059" s="5">
        <v>0</v>
      </c>
      <c r="U1059" s="3">
        <v>0</v>
      </c>
      <c r="V1059" s="6">
        <f t="shared" si="594"/>
        <v>5500</v>
      </c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7"/>
      <c r="AU1059" s="17"/>
      <c r="AV1059" s="17"/>
      <c r="AW1059" s="17"/>
      <c r="AX1059" s="17"/>
      <c r="AY1059" s="17"/>
      <c r="AZ1059" s="17"/>
      <c r="BA1059" s="17"/>
      <c r="BB1059" s="17"/>
      <c r="BC1059" s="17"/>
      <c r="BD1059" s="17"/>
      <c r="BE1059" s="17"/>
      <c r="BF1059" s="17"/>
      <c r="BG1059" s="17"/>
      <c r="BH1059" s="17"/>
      <c r="BI1059" s="17"/>
      <c r="BJ1059" s="17"/>
      <c r="BK1059" s="17"/>
      <c r="BL1059" s="17"/>
      <c r="BM1059" s="17"/>
      <c r="BN1059" s="17"/>
      <c r="BO1059" s="17"/>
      <c r="BP1059" s="17"/>
      <c r="BQ1059" s="17"/>
      <c r="BR1059" s="17"/>
      <c r="BS1059" s="17"/>
      <c r="BT1059" s="17"/>
      <c r="BU1059" s="17"/>
      <c r="BV1059" s="17"/>
      <c r="BW1059" s="17"/>
      <c r="BX1059" s="17"/>
      <c r="BY1059" s="17"/>
      <c r="BZ1059" s="17"/>
      <c r="CA1059" s="17"/>
      <c r="CB1059" s="17"/>
      <c r="CC1059" s="17"/>
      <c r="CD1059" s="17"/>
      <c r="CE1059" s="17"/>
      <c r="CF1059" s="17"/>
      <c r="CG1059" s="17"/>
      <c r="CH1059" s="17"/>
      <c r="CI1059" s="17"/>
      <c r="CJ1059" s="17"/>
      <c r="CK1059" s="17"/>
      <c r="CL1059" s="17"/>
      <c r="CM1059" s="17"/>
      <c r="CN1059" s="17"/>
      <c r="CO1059" s="17"/>
      <c r="CP1059" s="17"/>
      <c r="CQ1059" s="17"/>
      <c r="CR1059" s="17"/>
      <c r="CS1059" s="17"/>
      <c r="CT1059" s="17"/>
      <c r="CU1059" s="17"/>
      <c r="CV1059" s="17"/>
      <c r="CW1059" s="17"/>
      <c r="CX1059" s="17"/>
      <c r="CY1059" s="17"/>
      <c r="CZ1059" s="17"/>
      <c r="DA1059" s="17"/>
      <c r="DB1059" s="17"/>
      <c r="DC1059" s="17"/>
      <c r="DD1059" s="17"/>
      <c r="DE1059" s="17"/>
      <c r="DF1059" s="17"/>
      <c r="DG1059" s="17"/>
      <c r="DH1059" s="17"/>
      <c r="DI1059" s="17"/>
      <c r="DJ1059" s="17"/>
      <c r="DK1059" s="17"/>
      <c r="DL1059" s="17"/>
      <c r="DM1059" s="17"/>
      <c r="DN1059" s="17"/>
      <c r="DO1059" s="17"/>
      <c r="DP1059" s="17"/>
      <c r="DQ1059" s="17"/>
      <c r="DR1059" s="17"/>
      <c r="DS1059" s="17"/>
      <c r="DT1059" s="17"/>
      <c r="DU1059" s="17"/>
      <c r="DV1059" s="17"/>
      <c r="DW1059" s="17"/>
      <c r="DX1059" s="17"/>
      <c r="DY1059" s="17"/>
      <c r="DZ1059" s="17"/>
      <c r="EA1059" s="17"/>
      <c r="EB1059" s="17"/>
      <c r="EC1059" s="17"/>
      <c r="ED1059" s="17"/>
      <c r="EE1059" s="17"/>
      <c r="EF1059" s="17"/>
      <c r="EG1059" s="17"/>
      <c r="EH1059" s="17"/>
      <c r="EI1059" s="17"/>
      <c r="EJ1059" s="17"/>
      <c r="EK1059" s="17"/>
      <c r="EL1059" s="17"/>
      <c r="EM1059" s="17"/>
      <c r="EN1059" s="17"/>
      <c r="EO1059" s="17"/>
      <c r="EP1059" s="17"/>
      <c r="EQ1059" s="17"/>
      <c r="ER1059" s="17"/>
      <c r="ES1059" s="17"/>
      <c r="ET1059" s="17"/>
      <c r="EU1059" s="17"/>
      <c r="EV1059" s="17"/>
      <c r="EW1059" s="17"/>
      <c r="EX1059" s="17"/>
      <c r="EY1059" s="17"/>
      <c r="EZ1059" s="17"/>
      <c r="FA1059" s="17"/>
      <c r="FB1059" s="17"/>
      <c r="FC1059" s="17"/>
      <c r="FD1059" s="17"/>
      <c r="FE1059" s="17"/>
      <c r="FF1059" s="17"/>
      <c r="FG1059" s="17"/>
      <c r="FH1059" s="17"/>
      <c r="FI1059" s="17"/>
      <c r="FJ1059" s="17"/>
      <c r="FK1059" s="17"/>
      <c r="FL1059" s="17"/>
      <c r="FM1059" s="17"/>
      <c r="FN1059" s="17"/>
      <c r="FO1059" s="17"/>
      <c r="FP1059" s="17"/>
      <c r="FQ1059" s="17"/>
      <c r="FR1059" s="17"/>
      <c r="FS1059" s="17"/>
      <c r="FT1059" s="17"/>
      <c r="FU1059" s="17"/>
      <c r="FV1059" s="17"/>
      <c r="FW1059" s="17"/>
      <c r="FX1059" s="17"/>
      <c r="FY1059" s="17"/>
      <c r="FZ1059" s="17"/>
      <c r="GA1059" s="17"/>
      <c r="GB1059" s="17"/>
      <c r="GC1059" s="17"/>
      <c r="GD1059" s="17"/>
      <c r="GE1059" s="17"/>
      <c r="GF1059" s="17"/>
      <c r="GG1059" s="17"/>
      <c r="GH1059" s="17"/>
      <c r="GI1059" s="17"/>
      <c r="GJ1059" s="17"/>
      <c r="GK1059" s="17"/>
      <c r="GL1059" s="17"/>
      <c r="GM1059" s="17"/>
      <c r="GN1059" s="17"/>
      <c r="GO1059" s="17"/>
      <c r="GP1059" s="17"/>
      <c r="GQ1059" s="17"/>
      <c r="GR1059" s="17"/>
      <c r="GS1059" s="17"/>
      <c r="GT1059" s="17"/>
      <c r="GU1059" s="17"/>
      <c r="GV1059" s="17"/>
      <c r="GW1059" s="17"/>
      <c r="GX1059" s="17"/>
      <c r="GY1059" s="17"/>
      <c r="GZ1059" s="17"/>
      <c r="HA1059" s="17"/>
      <c r="HB1059" s="17"/>
      <c r="HC1059" s="17"/>
      <c r="HD1059" s="17"/>
      <c r="HE1059" s="17"/>
      <c r="HF1059" s="17"/>
      <c r="HG1059" s="17"/>
      <c r="HH1059" s="17"/>
      <c r="HI1059" s="17"/>
      <c r="HJ1059" s="17"/>
      <c r="HK1059" s="17"/>
      <c r="HL1059" s="17"/>
      <c r="HM1059" s="17"/>
      <c r="HN1059" s="17"/>
      <c r="HO1059" s="17"/>
      <c r="HP1059" s="17"/>
      <c r="HQ1059" s="17"/>
      <c r="HR1059" s="17"/>
      <c r="HS1059" s="17"/>
      <c r="HT1059" s="17"/>
      <c r="HU1059" s="17"/>
      <c r="HV1059" s="17"/>
      <c r="HW1059" s="17"/>
      <c r="HX1059" s="17"/>
      <c r="HY1059" s="17"/>
      <c r="HZ1059" s="17"/>
      <c r="IA1059" s="17"/>
      <c r="IB1059" s="17"/>
      <c r="IC1059" s="17"/>
      <c r="ID1059" s="17"/>
      <c r="IE1059" s="17"/>
      <c r="IF1059" s="17"/>
      <c r="IG1059" s="17"/>
      <c r="IH1059" s="17"/>
      <c r="II1059" s="17"/>
      <c r="IJ1059" s="17"/>
      <c r="IK1059" s="17"/>
      <c r="IL1059" s="17"/>
      <c r="IM1059" s="17"/>
      <c r="IN1059" s="17"/>
      <c r="IO1059" s="17"/>
      <c r="IP1059" s="17"/>
      <c r="IQ1059" s="17"/>
      <c r="IR1059" s="17"/>
      <c r="IS1059" s="17"/>
      <c r="IT1059" s="17"/>
      <c r="IU1059" s="17"/>
      <c r="IV1059" s="17"/>
      <c r="IW1059" s="17"/>
      <c r="IX1059" s="17"/>
    </row>
    <row r="1060" spans="1:258" ht="21.95" customHeight="1" x14ac:dyDescent="0.25">
      <c r="A1060" s="40" t="s">
        <v>1506</v>
      </c>
      <c r="B1060" s="8" t="s">
        <v>758</v>
      </c>
      <c r="C1060" s="2">
        <f>D1060+L1060+N1060+P1060+R1060+S1060+T1060+U1060</f>
        <v>1452000</v>
      </c>
      <c r="D1060" s="3">
        <f>SUM(E1060:J1060)</f>
        <v>0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4">
        <v>0</v>
      </c>
      <c r="L1060" s="3">
        <v>0</v>
      </c>
      <c r="M1060" s="5">
        <v>264</v>
      </c>
      <c r="N1060" s="3">
        <f>M1060*5500</f>
        <v>1452000</v>
      </c>
      <c r="O1060" s="3">
        <v>0</v>
      </c>
      <c r="P1060" s="3">
        <v>0</v>
      </c>
      <c r="Q1060" s="3">
        <v>0</v>
      </c>
      <c r="R1060" s="3">
        <f>Q1060*3000</f>
        <v>0</v>
      </c>
      <c r="S1060" s="3">
        <v>0</v>
      </c>
      <c r="T1060" s="5">
        <v>0</v>
      </c>
      <c r="U1060" s="3">
        <v>0</v>
      </c>
      <c r="V1060" s="6">
        <f>N1060/M1060</f>
        <v>5500</v>
      </c>
    </row>
    <row r="1061" spans="1:258" ht="21.95" customHeight="1" x14ac:dyDescent="0.25">
      <c r="A1061" s="40" t="s">
        <v>1507</v>
      </c>
      <c r="B1061" s="8" t="s">
        <v>759</v>
      </c>
      <c r="C1061" s="2">
        <f>D1061+L1061+N1061+P1061+R1061+S1061+T1061+U1061</f>
        <v>1170000</v>
      </c>
      <c r="D1061" s="3">
        <f>SUM(E1061:J1061)</f>
        <v>0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11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390</v>
      </c>
      <c r="R1061" s="3">
        <f>Q1061*3000</f>
        <v>1170000</v>
      </c>
      <c r="S1061" s="5">
        <v>0</v>
      </c>
      <c r="T1061" s="5">
        <v>0</v>
      </c>
      <c r="U1061" s="5">
        <v>0</v>
      </c>
      <c r="V1061" s="6" t="e">
        <f>N1061/M1061</f>
        <v>#DIV/0!</v>
      </c>
    </row>
    <row r="1062" spans="1:258" ht="21.95" customHeight="1" x14ac:dyDescent="0.25">
      <c r="A1062" s="40" t="s">
        <v>1508</v>
      </c>
      <c r="B1062" s="8" t="s">
        <v>760</v>
      </c>
      <c r="C1062" s="2">
        <f>D1062+L1062+N1062+P1062+R1062+S1062+T1062+U1062</f>
        <v>1080000</v>
      </c>
      <c r="D1062" s="3">
        <f>SUM(E1062:J1062)</f>
        <v>0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4">
        <v>0</v>
      </c>
      <c r="L1062" s="3">
        <v>0</v>
      </c>
      <c r="M1062" s="5">
        <v>0</v>
      </c>
      <c r="N1062" s="5">
        <v>0</v>
      </c>
      <c r="O1062" s="3">
        <v>0</v>
      </c>
      <c r="P1062" s="3">
        <v>0</v>
      </c>
      <c r="Q1062" s="3">
        <v>360</v>
      </c>
      <c r="R1062" s="3">
        <f>Q1062*3000</f>
        <v>1080000</v>
      </c>
      <c r="S1062" s="3">
        <v>0</v>
      </c>
      <c r="T1062" s="5">
        <v>0</v>
      </c>
      <c r="U1062" s="3">
        <v>0</v>
      </c>
      <c r="V1062" s="6" t="e">
        <f>N1062/M1062</f>
        <v>#DIV/0!</v>
      </c>
      <c r="W1062" s="30"/>
      <c r="X1062" s="30"/>
      <c r="Y1062" s="30"/>
      <c r="Z1062" s="30"/>
      <c r="AA1062" s="30"/>
      <c r="AB1062" s="30"/>
      <c r="AC1062" s="30"/>
      <c r="AD1062" s="30"/>
      <c r="AE1062" s="30"/>
      <c r="AF1062" s="30"/>
      <c r="AG1062" s="30"/>
      <c r="AH1062" s="30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  <c r="AS1062" s="30"/>
      <c r="AT1062" s="30"/>
      <c r="AU1062" s="30"/>
      <c r="AV1062" s="30"/>
      <c r="AW1062" s="30"/>
      <c r="AX1062" s="30"/>
      <c r="AY1062" s="30"/>
      <c r="AZ1062" s="30"/>
      <c r="BA1062" s="30"/>
      <c r="BB1062" s="30"/>
      <c r="BC1062" s="30"/>
      <c r="BD1062" s="30"/>
      <c r="BE1062" s="30"/>
      <c r="BF1062" s="30"/>
      <c r="BG1062" s="30"/>
      <c r="BH1062" s="30"/>
      <c r="BI1062" s="30"/>
      <c r="BJ1062" s="30"/>
      <c r="BK1062" s="30"/>
      <c r="BL1062" s="30"/>
      <c r="BM1062" s="30"/>
      <c r="BN1062" s="30"/>
      <c r="BO1062" s="30"/>
      <c r="BP1062" s="30"/>
      <c r="BQ1062" s="30"/>
      <c r="BR1062" s="30"/>
      <c r="BS1062" s="30"/>
      <c r="BT1062" s="30"/>
      <c r="BU1062" s="30"/>
      <c r="BV1062" s="30"/>
      <c r="BW1062" s="30"/>
      <c r="BX1062" s="30"/>
      <c r="BY1062" s="30"/>
      <c r="BZ1062" s="30"/>
      <c r="CA1062" s="30"/>
      <c r="CB1062" s="30"/>
      <c r="CC1062" s="30"/>
      <c r="CD1062" s="30"/>
      <c r="CE1062" s="30"/>
      <c r="CF1062" s="30"/>
      <c r="CG1062" s="30"/>
      <c r="CH1062" s="30"/>
      <c r="CI1062" s="30"/>
      <c r="CJ1062" s="30"/>
      <c r="CK1062" s="30"/>
      <c r="CL1062" s="30"/>
      <c r="CM1062" s="30"/>
      <c r="CN1062" s="30"/>
      <c r="CO1062" s="30"/>
      <c r="CP1062" s="30"/>
      <c r="CQ1062" s="30"/>
      <c r="CR1062" s="30"/>
      <c r="CS1062" s="30"/>
      <c r="CT1062" s="30"/>
      <c r="CU1062" s="30"/>
      <c r="CV1062" s="30"/>
      <c r="CW1062" s="30"/>
      <c r="CX1062" s="30"/>
      <c r="CY1062" s="30"/>
      <c r="CZ1062" s="30"/>
      <c r="DA1062" s="30"/>
      <c r="DB1062" s="30"/>
      <c r="DC1062" s="30"/>
      <c r="DD1062" s="30"/>
      <c r="DE1062" s="30"/>
      <c r="DF1062" s="30"/>
      <c r="DG1062" s="30"/>
      <c r="DH1062" s="30"/>
      <c r="DI1062" s="30"/>
      <c r="DJ1062" s="30"/>
      <c r="DK1062" s="30"/>
      <c r="DL1062" s="30"/>
      <c r="DM1062" s="30"/>
      <c r="DN1062" s="30"/>
      <c r="DO1062" s="30"/>
      <c r="DP1062" s="30"/>
      <c r="DQ1062" s="30"/>
      <c r="DR1062" s="30"/>
      <c r="DS1062" s="30"/>
      <c r="DT1062" s="30"/>
      <c r="DU1062" s="30"/>
      <c r="DV1062" s="30"/>
      <c r="DW1062" s="30"/>
      <c r="DX1062" s="30"/>
      <c r="DY1062" s="30"/>
      <c r="DZ1062" s="30"/>
      <c r="EA1062" s="30"/>
      <c r="EB1062" s="30"/>
      <c r="EC1062" s="30"/>
      <c r="ED1062" s="30"/>
      <c r="EE1062" s="30"/>
      <c r="EF1062" s="30"/>
      <c r="EG1062" s="30"/>
      <c r="EH1062" s="30"/>
      <c r="EI1062" s="30"/>
      <c r="EJ1062" s="30"/>
      <c r="EK1062" s="30"/>
      <c r="EL1062" s="30"/>
      <c r="EM1062" s="30"/>
      <c r="EN1062" s="30"/>
      <c r="EO1062" s="30"/>
      <c r="EP1062" s="30"/>
      <c r="EQ1062" s="30"/>
      <c r="ER1062" s="30"/>
      <c r="ES1062" s="30"/>
      <c r="ET1062" s="30"/>
      <c r="EU1062" s="30"/>
      <c r="EV1062" s="30"/>
      <c r="EW1062" s="30"/>
      <c r="EX1062" s="30"/>
      <c r="EY1062" s="30"/>
      <c r="EZ1062" s="30"/>
      <c r="FA1062" s="30"/>
      <c r="FB1062" s="30"/>
      <c r="FC1062" s="30"/>
      <c r="FD1062" s="30"/>
      <c r="FE1062" s="30"/>
      <c r="FF1062" s="30"/>
      <c r="FG1062" s="30"/>
      <c r="FH1062" s="30"/>
      <c r="FI1062" s="30"/>
      <c r="FJ1062" s="30"/>
      <c r="FK1062" s="30"/>
      <c r="FL1062" s="30"/>
      <c r="FM1062" s="30"/>
      <c r="FN1062" s="30"/>
      <c r="FO1062" s="30"/>
      <c r="FP1062" s="30"/>
      <c r="FQ1062" s="30"/>
      <c r="FR1062" s="30"/>
      <c r="FS1062" s="30"/>
      <c r="FT1062" s="30"/>
      <c r="FU1062" s="30"/>
      <c r="FV1062" s="30"/>
      <c r="FW1062" s="30"/>
      <c r="FX1062" s="30"/>
      <c r="FY1062" s="30"/>
      <c r="FZ1062" s="30"/>
      <c r="GA1062" s="30"/>
      <c r="GB1062" s="30"/>
      <c r="GC1062" s="30"/>
      <c r="GD1062" s="30"/>
      <c r="GE1062" s="30"/>
      <c r="GF1062" s="30"/>
      <c r="GG1062" s="30"/>
      <c r="GH1062" s="30"/>
      <c r="GI1062" s="30"/>
      <c r="GJ1062" s="30"/>
      <c r="GK1062" s="30"/>
      <c r="GL1062" s="30"/>
      <c r="GM1062" s="30"/>
      <c r="GN1062" s="30"/>
      <c r="GO1062" s="30"/>
      <c r="GP1062" s="30"/>
      <c r="GQ1062" s="30"/>
      <c r="GR1062" s="30"/>
      <c r="GS1062" s="30"/>
      <c r="GT1062" s="30"/>
      <c r="GU1062" s="30"/>
      <c r="GV1062" s="30"/>
      <c r="GW1062" s="30"/>
      <c r="GX1062" s="30"/>
      <c r="GY1062" s="30"/>
      <c r="GZ1062" s="30"/>
      <c r="HA1062" s="30"/>
      <c r="HB1062" s="30"/>
      <c r="HC1062" s="30"/>
      <c r="HD1062" s="30"/>
      <c r="HE1062" s="30"/>
      <c r="HF1062" s="30"/>
      <c r="HG1062" s="30"/>
      <c r="HH1062" s="30"/>
      <c r="HI1062" s="30"/>
      <c r="HJ1062" s="30"/>
      <c r="HK1062" s="30"/>
      <c r="HL1062" s="30"/>
      <c r="HM1062" s="30"/>
      <c r="HN1062" s="30"/>
      <c r="HO1062" s="30"/>
      <c r="HP1062" s="30"/>
      <c r="HQ1062" s="30"/>
      <c r="HR1062" s="30"/>
      <c r="HS1062" s="30"/>
      <c r="HT1062" s="30"/>
      <c r="HU1062" s="30"/>
      <c r="HV1062" s="30"/>
      <c r="HW1062" s="30"/>
      <c r="HX1062" s="30"/>
      <c r="HY1062" s="30"/>
      <c r="HZ1062" s="30"/>
      <c r="IA1062" s="30"/>
      <c r="IB1062" s="30"/>
      <c r="IC1062" s="30"/>
      <c r="ID1062" s="30"/>
      <c r="IE1062" s="30"/>
      <c r="IF1062" s="30"/>
      <c r="IG1062" s="30"/>
      <c r="IH1062" s="30"/>
      <c r="II1062" s="30"/>
      <c r="IJ1062" s="30"/>
      <c r="IK1062" s="30"/>
      <c r="IL1062" s="30"/>
      <c r="IM1062" s="30"/>
      <c r="IN1062" s="30"/>
      <c r="IO1062" s="30"/>
      <c r="IP1062" s="30"/>
      <c r="IQ1062" s="30"/>
      <c r="IR1062" s="30"/>
      <c r="IS1062" s="30"/>
      <c r="IT1062" s="30"/>
      <c r="IU1062" s="30"/>
      <c r="IV1062" s="30"/>
      <c r="IW1062" s="30"/>
      <c r="IX1062" s="30"/>
    </row>
    <row r="1063" spans="1:258" ht="21.95" customHeight="1" x14ac:dyDescent="0.25">
      <c r="A1063" s="40" t="s">
        <v>1509</v>
      </c>
      <c r="B1063" s="8" t="s">
        <v>756</v>
      </c>
      <c r="C1063" s="2">
        <f t="shared" si="597"/>
        <v>1474000</v>
      </c>
      <c r="D1063" s="3">
        <f t="shared" si="595"/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4">
        <v>0</v>
      </c>
      <c r="L1063" s="3">
        <v>0</v>
      </c>
      <c r="M1063" s="3">
        <v>268</v>
      </c>
      <c r="N1063" s="3">
        <f t="shared" si="598"/>
        <v>1474000</v>
      </c>
      <c r="O1063" s="3">
        <v>0</v>
      </c>
      <c r="P1063" s="3">
        <v>0</v>
      </c>
      <c r="Q1063" s="3">
        <v>0</v>
      </c>
      <c r="R1063" s="3">
        <f t="shared" si="593"/>
        <v>0</v>
      </c>
      <c r="S1063" s="3">
        <v>0</v>
      </c>
      <c r="T1063" s="5">
        <v>0</v>
      </c>
      <c r="U1063" s="3">
        <v>0</v>
      </c>
      <c r="V1063" s="6">
        <f t="shared" si="594"/>
        <v>5500</v>
      </c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7"/>
      <c r="AV1063" s="17"/>
      <c r="AW1063" s="17"/>
      <c r="AX1063" s="17"/>
      <c r="AY1063" s="17"/>
      <c r="AZ1063" s="17"/>
      <c r="BA1063" s="17"/>
      <c r="BB1063" s="17"/>
      <c r="BC1063" s="17"/>
      <c r="BD1063" s="17"/>
      <c r="BE1063" s="17"/>
      <c r="BF1063" s="17"/>
      <c r="BG1063" s="17"/>
      <c r="BH1063" s="17"/>
      <c r="BI1063" s="17"/>
      <c r="BJ1063" s="17"/>
      <c r="BK1063" s="17"/>
      <c r="BL1063" s="17"/>
      <c r="BM1063" s="17"/>
      <c r="BN1063" s="17"/>
      <c r="BO1063" s="17"/>
      <c r="BP1063" s="17"/>
      <c r="BQ1063" s="17"/>
      <c r="BR1063" s="17"/>
      <c r="BS1063" s="17"/>
      <c r="BT1063" s="17"/>
      <c r="BU1063" s="17"/>
      <c r="BV1063" s="17"/>
      <c r="BW1063" s="17"/>
      <c r="BX1063" s="17"/>
      <c r="BY1063" s="17"/>
      <c r="BZ1063" s="17"/>
      <c r="CA1063" s="17"/>
      <c r="CB1063" s="17"/>
      <c r="CC1063" s="17"/>
      <c r="CD1063" s="17"/>
      <c r="CE1063" s="17"/>
      <c r="CF1063" s="17"/>
      <c r="CG1063" s="17"/>
      <c r="CH1063" s="17"/>
      <c r="CI1063" s="17"/>
      <c r="CJ1063" s="17"/>
      <c r="CK1063" s="17"/>
      <c r="CL1063" s="17"/>
      <c r="CM1063" s="17"/>
      <c r="CN1063" s="17"/>
      <c r="CO1063" s="17"/>
      <c r="CP1063" s="17"/>
      <c r="CQ1063" s="17"/>
      <c r="CR1063" s="17"/>
      <c r="CS1063" s="17"/>
      <c r="CT1063" s="17"/>
      <c r="CU1063" s="17"/>
      <c r="CV1063" s="17"/>
      <c r="CW1063" s="17"/>
      <c r="CX1063" s="17"/>
      <c r="CY1063" s="17"/>
      <c r="CZ1063" s="17"/>
      <c r="DA1063" s="17"/>
      <c r="DB1063" s="17"/>
      <c r="DC1063" s="17"/>
      <c r="DD1063" s="17"/>
      <c r="DE1063" s="17"/>
      <c r="DF1063" s="17"/>
      <c r="DG1063" s="17"/>
      <c r="DH1063" s="17"/>
      <c r="DI1063" s="17"/>
      <c r="DJ1063" s="17"/>
      <c r="DK1063" s="17"/>
      <c r="DL1063" s="17"/>
      <c r="DM1063" s="17"/>
      <c r="DN1063" s="17"/>
      <c r="DO1063" s="17"/>
      <c r="DP1063" s="17"/>
      <c r="DQ1063" s="17"/>
      <c r="DR1063" s="17"/>
      <c r="DS1063" s="17"/>
      <c r="DT1063" s="17"/>
      <c r="DU1063" s="17"/>
      <c r="DV1063" s="17"/>
      <c r="DW1063" s="17"/>
      <c r="DX1063" s="17"/>
      <c r="DY1063" s="17"/>
      <c r="DZ1063" s="17"/>
      <c r="EA1063" s="17"/>
      <c r="EB1063" s="17"/>
      <c r="EC1063" s="17"/>
      <c r="ED1063" s="17"/>
      <c r="EE1063" s="17"/>
      <c r="EF1063" s="17"/>
      <c r="EG1063" s="17"/>
      <c r="EH1063" s="17"/>
      <c r="EI1063" s="17"/>
      <c r="EJ1063" s="17"/>
      <c r="EK1063" s="17"/>
      <c r="EL1063" s="17"/>
      <c r="EM1063" s="17"/>
      <c r="EN1063" s="17"/>
      <c r="EO1063" s="17"/>
      <c r="EP1063" s="17"/>
      <c r="EQ1063" s="17"/>
      <c r="ER1063" s="17"/>
      <c r="ES1063" s="17"/>
      <c r="ET1063" s="17"/>
      <c r="EU1063" s="17"/>
      <c r="EV1063" s="17"/>
      <c r="EW1063" s="17"/>
      <c r="EX1063" s="17"/>
      <c r="EY1063" s="17"/>
      <c r="EZ1063" s="17"/>
      <c r="FA1063" s="17"/>
      <c r="FB1063" s="17"/>
      <c r="FC1063" s="17"/>
      <c r="FD1063" s="17"/>
      <c r="FE1063" s="17"/>
      <c r="FF1063" s="17"/>
      <c r="FG1063" s="17"/>
      <c r="FH1063" s="17"/>
      <c r="FI1063" s="17"/>
      <c r="FJ1063" s="17"/>
      <c r="FK1063" s="17"/>
      <c r="FL1063" s="17"/>
      <c r="FM1063" s="17"/>
      <c r="FN1063" s="17"/>
      <c r="FO1063" s="17"/>
      <c r="FP1063" s="17"/>
      <c r="FQ1063" s="17"/>
      <c r="FR1063" s="17"/>
      <c r="FS1063" s="17"/>
      <c r="FT1063" s="17"/>
      <c r="FU1063" s="17"/>
      <c r="FV1063" s="17"/>
      <c r="FW1063" s="17"/>
      <c r="FX1063" s="17"/>
      <c r="FY1063" s="17"/>
      <c r="FZ1063" s="17"/>
      <c r="GA1063" s="17"/>
      <c r="GB1063" s="17"/>
      <c r="GC1063" s="17"/>
      <c r="GD1063" s="17"/>
      <c r="GE1063" s="17"/>
      <c r="GF1063" s="17"/>
      <c r="GG1063" s="17"/>
      <c r="GH1063" s="17"/>
      <c r="GI1063" s="17"/>
      <c r="GJ1063" s="17"/>
      <c r="GK1063" s="17"/>
      <c r="GL1063" s="17"/>
      <c r="GM1063" s="17"/>
      <c r="GN1063" s="17"/>
      <c r="GO1063" s="17"/>
      <c r="GP1063" s="17"/>
      <c r="GQ1063" s="17"/>
      <c r="GR1063" s="17"/>
      <c r="GS1063" s="17"/>
      <c r="GT1063" s="17"/>
      <c r="GU1063" s="17"/>
      <c r="GV1063" s="17"/>
      <c r="GW1063" s="17"/>
      <c r="GX1063" s="17"/>
      <c r="GY1063" s="17"/>
      <c r="GZ1063" s="17"/>
      <c r="HA1063" s="17"/>
      <c r="HB1063" s="17"/>
      <c r="HC1063" s="17"/>
      <c r="HD1063" s="17"/>
      <c r="HE1063" s="17"/>
      <c r="HF1063" s="17"/>
      <c r="HG1063" s="17"/>
      <c r="HH1063" s="17"/>
      <c r="HI1063" s="17"/>
      <c r="HJ1063" s="17"/>
      <c r="HK1063" s="17"/>
      <c r="HL1063" s="17"/>
      <c r="HM1063" s="17"/>
      <c r="HN1063" s="17"/>
      <c r="HO1063" s="17"/>
      <c r="HP1063" s="17"/>
      <c r="HQ1063" s="17"/>
      <c r="HR1063" s="17"/>
      <c r="HS1063" s="17"/>
      <c r="HT1063" s="17"/>
      <c r="HU1063" s="17"/>
      <c r="HV1063" s="17"/>
      <c r="HW1063" s="17"/>
      <c r="HX1063" s="17"/>
      <c r="HY1063" s="17"/>
      <c r="HZ1063" s="17"/>
      <c r="IA1063" s="17"/>
      <c r="IB1063" s="17"/>
      <c r="IC1063" s="17"/>
      <c r="ID1063" s="17"/>
      <c r="IE1063" s="17"/>
      <c r="IF1063" s="17"/>
      <c r="IG1063" s="17"/>
      <c r="IH1063" s="17"/>
      <c r="II1063" s="17"/>
      <c r="IJ1063" s="17"/>
      <c r="IK1063" s="17"/>
      <c r="IL1063" s="17"/>
      <c r="IM1063" s="17"/>
      <c r="IN1063" s="17"/>
      <c r="IO1063" s="17"/>
      <c r="IP1063" s="17"/>
      <c r="IQ1063" s="17"/>
      <c r="IR1063" s="17"/>
      <c r="IS1063" s="17"/>
      <c r="IT1063" s="17"/>
      <c r="IU1063" s="17"/>
      <c r="IV1063" s="17"/>
      <c r="IW1063" s="17"/>
      <c r="IX1063" s="17"/>
    </row>
    <row r="1064" spans="1:258" ht="21.95" customHeight="1" x14ac:dyDescent="0.25">
      <c r="A1064" s="40" t="s">
        <v>1510</v>
      </c>
      <c r="B1064" s="8" t="s">
        <v>757</v>
      </c>
      <c r="C1064" s="2">
        <f t="shared" si="597"/>
        <v>1556500</v>
      </c>
      <c r="D1064" s="3">
        <f t="shared" si="595"/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4">
        <v>0</v>
      </c>
      <c r="L1064" s="3">
        <v>0</v>
      </c>
      <c r="M1064" s="5">
        <v>283</v>
      </c>
      <c r="N1064" s="3">
        <f t="shared" si="598"/>
        <v>1556500</v>
      </c>
      <c r="O1064" s="3">
        <v>0</v>
      </c>
      <c r="P1064" s="3">
        <v>0</v>
      </c>
      <c r="Q1064" s="3">
        <v>0</v>
      </c>
      <c r="R1064" s="3">
        <f t="shared" si="593"/>
        <v>0</v>
      </c>
      <c r="S1064" s="3">
        <v>0</v>
      </c>
      <c r="T1064" s="5">
        <v>0</v>
      </c>
      <c r="U1064" s="3">
        <v>0</v>
      </c>
      <c r="V1064" s="6">
        <f t="shared" si="594"/>
        <v>5500</v>
      </c>
    </row>
    <row r="1065" spans="1:258" ht="21.95" customHeight="1" x14ac:dyDescent="0.25">
      <c r="A1065" s="40" t="s">
        <v>1511</v>
      </c>
      <c r="B1065" s="8" t="s">
        <v>761</v>
      </c>
      <c r="C1065" s="2">
        <f t="shared" si="597"/>
        <v>1991550.0000000002</v>
      </c>
      <c r="D1065" s="3">
        <f t="shared" si="595"/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4">
        <v>0</v>
      </c>
      <c r="L1065" s="3">
        <v>0</v>
      </c>
      <c r="M1065" s="5">
        <v>362.1</v>
      </c>
      <c r="N1065" s="3">
        <f t="shared" ref="N1065:N1074" si="599">M1065*5500</f>
        <v>1991550.0000000002</v>
      </c>
      <c r="O1065" s="3">
        <v>0</v>
      </c>
      <c r="P1065" s="3">
        <v>0</v>
      </c>
      <c r="Q1065" s="3">
        <v>0</v>
      </c>
      <c r="R1065" s="3">
        <f t="shared" si="593"/>
        <v>0</v>
      </c>
      <c r="S1065" s="3">
        <v>0</v>
      </c>
      <c r="T1065" s="5">
        <v>0</v>
      </c>
      <c r="U1065" s="3">
        <v>0</v>
      </c>
      <c r="V1065" s="6">
        <f t="shared" si="594"/>
        <v>5500</v>
      </c>
      <c r="W1065" s="30"/>
      <c r="X1065" s="30"/>
      <c r="Y1065" s="30"/>
      <c r="Z1065" s="30"/>
      <c r="AA1065" s="30"/>
      <c r="AB1065" s="30"/>
      <c r="AC1065" s="30"/>
      <c r="AD1065" s="30"/>
      <c r="AE1065" s="30"/>
      <c r="AF1065" s="30"/>
      <c r="AG1065" s="30"/>
      <c r="AH1065" s="30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  <c r="AS1065" s="30"/>
      <c r="AT1065" s="30"/>
      <c r="AU1065" s="30"/>
      <c r="AV1065" s="30"/>
      <c r="AW1065" s="30"/>
      <c r="AX1065" s="30"/>
      <c r="AY1065" s="30"/>
      <c r="AZ1065" s="30"/>
      <c r="BA1065" s="30"/>
      <c r="BB1065" s="30"/>
      <c r="BC1065" s="30"/>
      <c r="BD1065" s="30"/>
      <c r="BE1065" s="30"/>
      <c r="BF1065" s="30"/>
      <c r="BG1065" s="30"/>
      <c r="BH1065" s="30"/>
      <c r="BI1065" s="30"/>
      <c r="BJ1065" s="30"/>
      <c r="BK1065" s="30"/>
      <c r="BL1065" s="30"/>
      <c r="BM1065" s="30"/>
      <c r="BN1065" s="30"/>
      <c r="BO1065" s="30"/>
      <c r="BP1065" s="30"/>
      <c r="BQ1065" s="30"/>
      <c r="BR1065" s="30"/>
      <c r="BS1065" s="30"/>
      <c r="BT1065" s="30"/>
      <c r="BU1065" s="30"/>
      <c r="BV1065" s="30"/>
      <c r="BW1065" s="30"/>
      <c r="BX1065" s="30"/>
      <c r="BY1065" s="30"/>
      <c r="BZ1065" s="30"/>
      <c r="CA1065" s="30"/>
      <c r="CB1065" s="30"/>
      <c r="CC1065" s="30"/>
      <c r="CD1065" s="30"/>
      <c r="CE1065" s="30"/>
      <c r="CF1065" s="30"/>
      <c r="CG1065" s="30"/>
      <c r="CH1065" s="30"/>
      <c r="CI1065" s="30"/>
      <c r="CJ1065" s="30"/>
      <c r="CK1065" s="30"/>
      <c r="CL1065" s="30"/>
      <c r="CM1065" s="30"/>
      <c r="CN1065" s="30"/>
      <c r="CO1065" s="30"/>
      <c r="CP1065" s="30"/>
      <c r="CQ1065" s="30"/>
      <c r="CR1065" s="30"/>
      <c r="CS1065" s="30"/>
      <c r="CT1065" s="30"/>
      <c r="CU1065" s="30"/>
      <c r="CV1065" s="30"/>
      <c r="CW1065" s="30"/>
      <c r="CX1065" s="30"/>
      <c r="CY1065" s="30"/>
      <c r="CZ1065" s="30"/>
      <c r="DA1065" s="30"/>
      <c r="DB1065" s="30"/>
      <c r="DC1065" s="30"/>
      <c r="DD1065" s="30"/>
      <c r="DE1065" s="30"/>
      <c r="DF1065" s="30"/>
      <c r="DG1065" s="30"/>
      <c r="DH1065" s="30"/>
      <c r="DI1065" s="30"/>
      <c r="DJ1065" s="30"/>
      <c r="DK1065" s="30"/>
      <c r="DL1065" s="30"/>
      <c r="DM1065" s="30"/>
      <c r="DN1065" s="30"/>
      <c r="DO1065" s="30"/>
      <c r="DP1065" s="30"/>
      <c r="DQ1065" s="30"/>
      <c r="DR1065" s="30"/>
      <c r="DS1065" s="30"/>
      <c r="DT1065" s="30"/>
      <c r="DU1065" s="30"/>
      <c r="DV1065" s="30"/>
      <c r="DW1065" s="30"/>
      <c r="DX1065" s="30"/>
      <c r="DY1065" s="30"/>
      <c r="DZ1065" s="30"/>
      <c r="EA1065" s="30"/>
      <c r="EB1065" s="30"/>
      <c r="EC1065" s="30"/>
      <c r="ED1065" s="30"/>
      <c r="EE1065" s="30"/>
      <c r="EF1065" s="30"/>
      <c r="EG1065" s="30"/>
      <c r="EH1065" s="30"/>
      <c r="EI1065" s="30"/>
      <c r="EJ1065" s="30"/>
      <c r="EK1065" s="30"/>
      <c r="EL1065" s="30"/>
      <c r="EM1065" s="30"/>
      <c r="EN1065" s="30"/>
      <c r="EO1065" s="30"/>
      <c r="EP1065" s="30"/>
      <c r="EQ1065" s="30"/>
      <c r="ER1065" s="30"/>
      <c r="ES1065" s="30"/>
      <c r="ET1065" s="30"/>
      <c r="EU1065" s="30"/>
      <c r="EV1065" s="30"/>
      <c r="EW1065" s="30"/>
      <c r="EX1065" s="30"/>
      <c r="EY1065" s="30"/>
      <c r="EZ1065" s="30"/>
      <c r="FA1065" s="30"/>
      <c r="FB1065" s="30"/>
      <c r="FC1065" s="30"/>
      <c r="FD1065" s="30"/>
      <c r="FE1065" s="30"/>
      <c r="FF1065" s="30"/>
      <c r="FG1065" s="30"/>
      <c r="FH1065" s="30"/>
      <c r="FI1065" s="30"/>
      <c r="FJ1065" s="30"/>
      <c r="FK1065" s="30"/>
      <c r="FL1065" s="30"/>
      <c r="FM1065" s="30"/>
      <c r="FN1065" s="30"/>
      <c r="FO1065" s="30"/>
      <c r="FP1065" s="30"/>
      <c r="FQ1065" s="30"/>
      <c r="FR1065" s="30"/>
      <c r="FS1065" s="30"/>
      <c r="FT1065" s="30"/>
      <c r="FU1065" s="30"/>
      <c r="FV1065" s="30"/>
      <c r="FW1065" s="30"/>
      <c r="FX1065" s="30"/>
      <c r="FY1065" s="30"/>
      <c r="FZ1065" s="30"/>
      <c r="GA1065" s="30"/>
      <c r="GB1065" s="30"/>
      <c r="GC1065" s="30"/>
      <c r="GD1065" s="30"/>
      <c r="GE1065" s="30"/>
      <c r="GF1065" s="30"/>
      <c r="GG1065" s="30"/>
      <c r="GH1065" s="30"/>
      <c r="GI1065" s="30"/>
      <c r="GJ1065" s="30"/>
      <c r="GK1065" s="30"/>
      <c r="GL1065" s="30"/>
      <c r="GM1065" s="30"/>
      <c r="GN1065" s="30"/>
      <c r="GO1065" s="30"/>
      <c r="GP1065" s="30"/>
      <c r="GQ1065" s="30"/>
      <c r="GR1065" s="30"/>
      <c r="GS1065" s="30"/>
      <c r="GT1065" s="30"/>
      <c r="GU1065" s="30"/>
      <c r="GV1065" s="30"/>
      <c r="GW1065" s="30"/>
      <c r="GX1065" s="30"/>
      <c r="GY1065" s="30"/>
      <c r="GZ1065" s="30"/>
      <c r="HA1065" s="30"/>
      <c r="HB1065" s="30"/>
      <c r="HC1065" s="30"/>
      <c r="HD1065" s="30"/>
      <c r="HE1065" s="30"/>
      <c r="HF1065" s="30"/>
      <c r="HG1065" s="30"/>
      <c r="HH1065" s="30"/>
      <c r="HI1065" s="30"/>
      <c r="HJ1065" s="30"/>
      <c r="HK1065" s="30"/>
      <c r="HL1065" s="30"/>
      <c r="HM1065" s="30"/>
      <c r="HN1065" s="30"/>
      <c r="HO1065" s="30"/>
      <c r="HP1065" s="30"/>
      <c r="HQ1065" s="30"/>
      <c r="HR1065" s="30"/>
      <c r="HS1065" s="30"/>
      <c r="HT1065" s="30"/>
      <c r="HU1065" s="30"/>
      <c r="HV1065" s="30"/>
      <c r="HW1065" s="30"/>
      <c r="HX1065" s="30"/>
      <c r="HY1065" s="30"/>
      <c r="HZ1065" s="30"/>
      <c r="IA1065" s="30"/>
      <c r="IB1065" s="30"/>
      <c r="IC1065" s="30"/>
      <c r="ID1065" s="30"/>
      <c r="IE1065" s="30"/>
      <c r="IF1065" s="30"/>
      <c r="IG1065" s="30"/>
      <c r="IH1065" s="30"/>
      <c r="II1065" s="30"/>
      <c r="IJ1065" s="30"/>
      <c r="IK1065" s="30"/>
      <c r="IL1065" s="30"/>
      <c r="IM1065" s="30"/>
      <c r="IN1065" s="30"/>
      <c r="IO1065" s="30"/>
      <c r="IP1065" s="30"/>
      <c r="IQ1065" s="30"/>
      <c r="IR1065" s="30"/>
      <c r="IS1065" s="30"/>
      <c r="IT1065" s="30"/>
      <c r="IU1065" s="30"/>
      <c r="IV1065" s="30"/>
      <c r="IW1065" s="30"/>
      <c r="IX1065" s="30"/>
    </row>
    <row r="1066" spans="1:258" ht="21.95" customHeight="1" x14ac:dyDescent="0.25">
      <c r="A1066" s="40" t="s">
        <v>1512</v>
      </c>
      <c r="B1066" s="8" t="s">
        <v>762</v>
      </c>
      <c r="C1066" s="2">
        <f t="shared" si="597"/>
        <v>1355750</v>
      </c>
      <c r="D1066" s="3">
        <f t="shared" si="595"/>
        <v>0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4">
        <v>0</v>
      </c>
      <c r="L1066" s="3">
        <v>0</v>
      </c>
      <c r="M1066" s="5">
        <v>246.5</v>
      </c>
      <c r="N1066" s="3">
        <f t="shared" si="599"/>
        <v>1355750</v>
      </c>
      <c r="O1066" s="3">
        <v>0</v>
      </c>
      <c r="P1066" s="3">
        <v>0</v>
      </c>
      <c r="Q1066" s="3">
        <v>0</v>
      </c>
      <c r="R1066" s="3">
        <f t="shared" si="593"/>
        <v>0</v>
      </c>
      <c r="S1066" s="3">
        <v>0</v>
      </c>
      <c r="T1066" s="5">
        <v>0</v>
      </c>
      <c r="U1066" s="3">
        <v>0</v>
      </c>
      <c r="V1066" s="6">
        <f t="shared" si="594"/>
        <v>5500</v>
      </c>
      <c r="W1066" s="30"/>
      <c r="X1066" s="30"/>
      <c r="Y1066" s="30"/>
      <c r="Z1066" s="30"/>
      <c r="AA1066" s="30"/>
      <c r="AB1066" s="30"/>
      <c r="AC1066" s="30"/>
      <c r="AD1066" s="30"/>
      <c r="AE1066" s="30"/>
      <c r="AF1066" s="30"/>
      <c r="AG1066" s="30"/>
      <c r="AH1066" s="30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  <c r="AS1066" s="30"/>
      <c r="AT1066" s="30"/>
      <c r="AU1066" s="30"/>
      <c r="AV1066" s="30"/>
      <c r="AW1066" s="30"/>
      <c r="AX1066" s="30"/>
      <c r="AY1066" s="30"/>
      <c r="AZ1066" s="30"/>
      <c r="BA1066" s="30"/>
      <c r="BB1066" s="30"/>
      <c r="BC1066" s="30"/>
      <c r="BD1066" s="30"/>
      <c r="BE1066" s="30"/>
      <c r="BF1066" s="30"/>
      <c r="BG1066" s="30"/>
      <c r="BH1066" s="30"/>
      <c r="BI1066" s="30"/>
      <c r="BJ1066" s="30"/>
      <c r="BK1066" s="30"/>
      <c r="BL1066" s="30"/>
      <c r="BM1066" s="30"/>
      <c r="BN1066" s="30"/>
      <c r="BO1066" s="30"/>
      <c r="BP1066" s="30"/>
      <c r="BQ1066" s="30"/>
      <c r="BR1066" s="30"/>
      <c r="BS1066" s="30"/>
      <c r="BT1066" s="30"/>
      <c r="BU1066" s="30"/>
      <c r="BV1066" s="30"/>
      <c r="BW1066" s="30"/>
      <c r="BX1066" s="30"/>
      <c r="BY1066" s="30"/>
      <c r="BZ1066" s="30"/>
      <c r="CA1066" s="30"/>
      <c r="CB1066" s="30"/>
      <c r="CC1066" s="30"/>
      <c r="CD1066" s="30"/>
      <c r="CE1066" s="30"/>
      <c r="CF1066" s="30"/>
      <c r="CG1066" s="30"/>
      <c r="CH1066" s="30"/>
      <c r="CI1066" s="30"/>
      <c r="CJ1066" s="30"/>
      <c r="CK1066" s="30"/>
      <c r="CL1066" s="30"/>
      <c r="CM1066" s="30"/>
      <c r="CN1066" s="30"/>
      <c r="CO1066" s="30"/>
      <c r="CP1066" s="30"/>
      <c r="CQ1066" s="30"/>
      <c r="CR1066" s="30"/>
      <c r="CS1066" s="30"/>
      <c r="CT1066" s="30"/>
      <c r="CU1066" s="30"/>
      <c r="CV1066" s="30"/>
      <c r="CW1066" s="30"/>
      <c r="CX1066" s="30"/>
      <c r="CY1066" s="30"/>
      <c r="CZ1066" s="30"/>
      <c r="DA1066" s="30"/>
      <c r="DB1066" s="30"/>
      <c r="DC1066" s="30"/>
      <c r="DD1066" s="30"/>
      <c r="DE1066" s="30"/>
      <c r="DF1066" s="30"/>
      <c r="DG1066" s="30"/>
      <c r="DH1066" s="30"/>
      <c r="DI1066" s="30"/>
      <c r="DJ1066" s="30"/>
      <c r="DK1066" s="30"/>
      <c r="DL1066" s="30"/>
      <c r="DM1066" s="30"/>
      <c r="DN1066" s="30"/>
      <c r="DO1066" s="30"/>
      <c r="DP1066" s="30"/>
      <c r="DQ1066" s="30"/>
      <c r="DR1066" s="30"/>
      <c r="DS1066" s="30"/>
      <c r="DT1066" s="30"/>
      <c r="DU1066" s="30"/>
      <c r="DV1066" s="30"/>
      <c r="DW1066" s="30"/>
      <c r="DX1066" s="30"/>
      <c r="DY1066" s="30"/>
      <c r="DZ1066" s="30"/>
      <c r="EA1066" s="30"/>
      <c r="EB1066" s="30"/>
      <c r="EC1066" s="30"/>
      <c r="ED1066" s="30"/>
      <c r="EE1066" s="30"/>
      <c r="EF1066" s="30"/>
      <c r="EG1066" s="30"/>
      <c r="EH1066" s="30"/>
      <c r="EI1066" s="30"/>
      <c r="EJ1066" s="30"/>
      <c r="EK1066" s="30"/>
      <c r="EL1066" s="30"/>
      <c r="EM1066" s="30"/>
      <c r="EN1066" s="30"/>
      <c r="EO1066" s="30"/>
      <c r="EP1066" s="30"/>
      <c r="EQ1066" s="30"/>
      <c r="ER1066" s="30"/>
      <c r="ES1066" s="30"/>
      <c r="ET1066" s="30"/>
      <c r="EU1066" s="30"/>
      <c r="EV1066" s="30"/>
      <c r="EW1066" s="30"/>
      <c r="EX1066" s="30"/>
      <c r="EY1066" s="30"/>
      <c r="EZ1066" s="30"/>
      <c r="FA1066" s="30"/>
      <c r="FB1066" s="30"/>
      <c r="FC1066" s="30"/>
      <c r="FD1066" s="30"/>
      <c r="FE1066" s="30"/>
      <c r="FF1066" s="30"/>
      <c r="FG1066" s="30"/>
      <c r="FH1066" s="30"/>
      <c r="FI1066" s="30"/>
      <c r="FJ1066" s="30"/>
      <c r="FK1066" s="30"/>
      <c r="FL1066" s="30"/>
      <c r="FM1066" s="30"/>
      <c r="FN1066" s="30"/>
      <c r="FO1066" s="30"/>
      <c r="FP1066" s="30"/>
      <c r="FQ1066" s="30"/>
      <c r="FR1066" s="30"/>
      <c r="FS1066" s="30"/>
      <c r="FT1066" s="30"/>
      <c r="FU1066" s="30"/>
      <c r="FV1066" s="30"/>
      <c r="FW1066" s="30"/>
      <c r="FX1066" s="30"/>
      <c r="FY1066" s="30"/>
      <c r="FZ1066" s="30"/>
      <c r="GA1066" s="30"/>
      <c r="GB1066" s="30"/>
      <c r="GC1066" s="30"/>
      <c r="GD1066" s="30"/>
      <c r="GE1066" s="30"/>
      <c r="GF1066" s="30"/>
      <c r="GG1066" s="30"/>
      <c r="GH1066" s="30"/>
      <c r="GI1066" s="30"/>
      <c r="GJ1066" s="30"/>
      <c r="GK1066" s="30"/>
      <c r="GL1066" s="30"/>
      <c r="GM1066" s="30"/>
      <c r="GN1066" s="30"/>
      <c r="GO1066" s="30"/>
      <c r="GP1066" s="30"/>
      <c r="GQ1066" s="30"/>
      <c r="GR1066" s="30"/>
      <c r="GS1066" s="30"/>
      <c r="GT1066" s="30"/>
      <c r="GU1066" s="30"/>
      <c r="GV1066" s="30"/>
      <c r="GW1066" s="30"/>
      <c r="GX1066" s="30"/>
      <c r="GY1066" s="30"/>
      <c r="GZ1066" s="30"/>
      <c r="HA1066" s="30"/>
      <c r="HB1066" s="30"/>
      <c r="HC1066" s="30"/>
      <c r="HD1066" s="30"/>
      <c r="HE1066" s="30"/>
      <c r="HF1066" s="30"/>
      <c r="HG1066" s="30"/>
      <c r="HH1066" s="30"/>
      <c r="HI1066" s="30"/>
      <c r="HJ1066" s="30"/>
      <c r="HK1066" s="30"/>
      <c r="HL1066" s="30"/>
      <c r="HM1066" s="30"/>
      <c r="HN1066" s="30"/>
      <c r="HO1066" s="30"/>
      <c r="HP1066" s="30"/>
      <c r="HQ1066" s="30"/>
      <c r="HR1066" s="30"/>
      <c r="HS1066" s="30"/>
      <c r="HT1066" s="30"/>
      <c r="HU1066" s="30"/>
      <c r="HV1066" s="30"/>
      <c r="HW1066" s="30"/>
      <c r="HX1066" s="30"/>
      <c r="HY1066" s="30"/>
      <c r="HZ1066" s="30"/>
      <c r="IA1066" s="30"/>
      <c r="IB1066" s="30"/>
      <c r="IC1066" s="30"/>
      <c r="ID1066" s="30"/>
      <c r="IE1066" s="30"/>
      <c r="IF1066" s="30"/>
      <c r="IG1066" s="30"/>
      <c r="IH1066" s="30"/>
      <c r="II1066" s="30"/>
      <c r="IJ1066" s="30"/>
      <c r="IK1066" s="30"/>
      <c r="IL1066" s="30"/>
      <c r="IM1066" s="30"/>
      <c r="IN1066" s="30"/>
      <c r="IO1066" s="30"/>
      <c r="IP1066" s="30"/>
      <c r="IQ1066" s="30"/>
      <c r="IR1066" s="30"/>
      <c r="IS1066" s="30"/>
      <c r="IT1066" s="30"/>
      <c r="IU1066" s="30"/>
      <c r="IV1066" s="30"/>
      <c r="IW1066" s="30"/>
      <c r="IX1066" s="30"/>
    </row>
    <row r="1067" spans="1:258" ht="21.95" customHeight="1" x14ac:dyDescent="0.25">
      <c r="A1067" s="40" t="s">
        <v>1513</v>
      </c>
      <c r="B1067" s="8" t="s">
        <v>669</v>
      </c>
      <c r="C1067" s="2">
        <f t="shared" si="597"/>
        <v>1340900</v>
      </c>
      <c r="D1067" s="3">
        <f t="shared" si="595"/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5">
        <v>243.8</v>
      </c>
      <c r="N1067" s="3">
        <f t="shared" si="599"/>
        <v>1340900</v>
      </c>
      <c r="O1067" s="3">
        <v>0</v>
      </c>
      <c r="P1067" s="3">
        <v>0</v>
      </c>
      <c r="Q1067" s="3">
        <v>0</v>
      </c>
      <c r="R1067" s="3">
        <f t="shared" si="593"/>
        <v>0</v>
      </c>
      <c r="S1067" s="3">
        <v>0</v>
      </c>
      <c r="T1067" s="5">
        <v>0</v>
      </c>
      <c r="U1067" s="3">
        <v>0</v>
      </c>
      <c r="V1067" s="6">
        <f t="shared" si="594"/>
        <v>5500</v>
      </c>
    </row>
    <row r="1068" spans="1:258" ht="21.95" customHeight="1" x14ac:dyDescent="0.25">
      <c r="A1068" s="40" t="s">
        <v>1514</v>
      </c>
      <c r="B1068" s="8" t="s">
        <v>670</v>
      </c>
      <c r="C1068" s="2">
        <f t="shared" si="597"/>
        <v>1352450</v>
      </c>
      <c r="D1068" s="3">
        <f t="shared" si="595"/>
        <v>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4">
        <v>0</v>
      </c>
      <c r="L1068" s="3">
        <v>0</v>
      </c>
      <c r="M1068" s="3">
        <v>245.9</v>
      </c>
      <c r="N1068" s="3">
        <f t="shared" si="599"/>
        <v>1352450</v>
      </c>
      <c r="O1068" s="3">
        <v>0</v>
      </c>
      <c r="P1068" s="3">
        <v>0</v>
      </c>
      <c r="Q1068" s="3">
        <v>0</v>
      </c>
      <c r="R1068" s="3">
        <f t="shared" si="593"/>
        <v>0</v>
      </c>
      <c r="S1068" s="3">
        <v>0</v>
      </c>
      <c r="T1068" s="5">
        <v>0</v>
      </c>
      <c r="U1068" s="3">
        <v>0</v>
      </c>
      <c r="V1068" s="6">
        <f t="shared" si="594"/>
        <v>5500</v>
      </c>
      <c r="W1068" s="27"/>
      <c r="X1068" s="27"/>
      <c r="Y1068" s="27"/>
      <c r="Z1068" s="27"/>
      <c r="AA1068" s="27"/>
      <c r="AB1068" s="27"/>
      <c r="AC1068" s="27"/>
      <c r="AD1068" s="27"/>
      <c r="AE1068" s="27"/>
      <c r="AF1068" s="27"/>
      <c r="AG1068" s="27"/>
      <c r="AH1068" s="27"/>
      <c r="AI1068" s="27"/>
      <c r="AJ1068" s="27"/>
      <c r="AK1068" s="27"/>
      <c r="AL1068" s="27"/>
      <c r="AM1068" s="27"/>
      <c r="AN1068" s="27"/>
      <c r="AO1068" s="27"/>
      <c r="AP1068" s="27"/>
      <c r="AQ1068" s="27"/>
      <c r="AR1068" s="27"/>
      <c r="AS1068" s="27"/>
      <c r="AT1068" s="27"/>
      <c r="AU1068" s="27"/>
      <c r="AV1068" s="27"/>
      <c r="AW1068" s="27"/>
      <c r="AX1068" s="27"/>
      <c r="AY1068" s="27"/>
      <c r="AZ1068" s="27"/>
      <c r="BA1068" s="27"/>
      <c r="BB1068" s="27"/>
      <c r="BC1068" s="27"/>
      <c r="BD1068" s="27"/>
      <c r="BE1068" s="27"/>
      <c r="BF1068" s="27"/>
      <c r="BG1068" s="27"/>
      <c r="BH1068" s="27"/>
      <c r="BI1068" s="27"/>
      <c r="BJ1068" s="27"/>
      <c r="BK1068" s="27"/>
      <c r="BL1068" s="27"/>
      <c r="BM1068" s="27"/>
      <c r="BN1068" s="27"/>
      <c r="BO1068" s="27"/>
      <c r="BP1068" s="27"/>
      <c r="BQ1068" s="27"/>
      <c r="BR1068" s="27"/>
      <c r="BS1068" s="27"/>
      <c r="BT1068" s="27"/>
      <c r="BU1068" s="27"/>
      <c r="BV1068" s="27"/>
      <c r="BW1068" s="27"/>
      <c r="BX1068" s="27"/>
      <c r="BY1068" s="27"/>
      <c r="BZ1068" s="27"/>
      <c r="CA1068" s="27"/>
      <c r="CB1068" s="27"/>
      <c r="CC1068" s="27"/>
      <c r="CD1068" s="27"/>
      <c r="CE1068" s="27"/>
      <c r="CF1068" s="27"/>
      <c r="CG1068" s="27"/>
      <c r="CH1068" s="27"/>
      <c r="CI1068" s="27"/>
      <c r="CJ1068" s="27"/>
      <c r="CK1068" s="27"/>
      <c r="CL1068" s="27"/>
      <c r="CM1068" s="27"/>
      <c r="CN1068" s="27"/>
      <c r="CO1068" s="27"/>
      <c r="CP1068" s="27"/>
      <c r="CQ1068" s="27"/>
      <c r="CR1068" s="27"/>
      <c r="CS1068" s="27"/>
      <c r="CT1068" s="27"/>
      <c r="CU1068" s="27"/>
      <c r="CV1068" s="27"/>
      <c r="CW1068" s="27"/>
      <c r="CX1068" s="27"/>
      <c r="CY1068" s="27"/>
      <c r="CZ1068" s="27"/>
      <c r="DA1068" s="27"/>
      <c r="DB1068" s="27"/>
      <c r="DC1068" s="27"/>
      <c r="DD1068" s="27"/>
      <c r="DE1068" s="27"/>
      <c r="DF1068" s="27"/>
      <c r="DG1068" s="27"/>
      <c r="DH1068" s="27"/>
      <c r="DI1068" s="27"/>
      <c r="DJ1068" s="27"/>
      <c r="DK1068" s="27"/>
      <c r="DL1068" s="27"/>
      <c r="DM1068" s="27"/>
      <c r="DN1068" s="27"/>
      <c r="DO1068" s="27"/>
      <c r="DP1068" s="27"/>
      <c r="DQ1068" s="27"/>
      <c r="DR1068" s="27"/>
      <c r="DS1068" s="27"/>
      <c r="DT1068" s="27"/>
      <c r="DU1068" s="27"/>
      <c r="DV1068" s="27"/>
      <c r="DW1068" s="27"/>
      <c r="DX1068" s="27"/>
      <c r="DY1068" s="27"/>
      <c r="DZ1068" s="27"/>
      <c r="EA1068" s="27"/>
      <c r="EB1068" s="27"/>
      <c r="EC1068" s="27"/>
      <c r="ED1068" s="27"/>
      <c r="EE1068" s="27"/>
      <c r="EF1068" s="27"/>
      <c r="EG1068" s="27"/>
      <c r="EH1068" s="27"/>
      <c r="EI1068" s="27"/>
      <c r="EJ1068" s="27"/>
      <c r="EK1068" s="27"/>
      <c r="EL1068" s="27"/>
      <c r="EM1068" s="27"/>
      <c r="EN1068" s="27"/>
      <c r="EO1068" s="27"/>
      <c r="EP1068" s="27"/>
      <c r="EQ1068" s="27"/>
      <c r="ER1068" s="27"/>
      <c r="ES1068" s="27"/>
      <c r="ET1068" s="27"/>
      <c r="EU1068" s="27"/>
      <c r="EV1068" s="27"/>
      <c r="EW1068" s="27"/>
      <c r="EX1068" s="27"/>
      <c r="EY1068" s="27"/>
      <c r="EZ1068" s="27"/>
      <c r="FA1068" s="27"/>
      <c r="FB1068" s="27"/>
      <c r="FC1068" s="27"/>
      <c r="FD1068" s="27"/>
      <c r="FE1068" s="27"/>
      <c r="FF1068" s="27"/>
      <c r="FG1068" s="27"/>
      <c r="FH1068" s="27"/>
      <c r="FI1068" s="27"/>
      <c r="FJ1068" s="27"/>
      <c r="FK1068" s="27"/>
      <c r="FL1068" s="27"/>
      <c r="FM1068" s="27"/>
      <c r="FN1068" s="27"/>
      <c r="FO1068" s="27"/>
      <c r="FP1068" s="27"/>
      <c r="FQ1068" s="27"/>
      <c r="FR1068" s="27"/>
      <c r="FS1068" s="27"/>
      <c r="FT1068" s="27"/>
      <c r="FU1068" s="27"/>
      <c r="FV1068" s="27"/>
      <c r="FW1068" s="27"/>
      <c r="FX1068" s="27"/>
      <c r="FY1068" s="27"/>
      <c r="FZ1068" s="27"/>
      <c r="GA1068" s="27"/>
      <c r="GB1068" s="27"/>
      <c r="GC1068" s="27"/>
      <c r="GD1068" s="27"/>
      <c r="GE1068" s="27"/>
      <c r="GF1068" s="27"/>
      <c r="GG1068" s="27"/>
      <c r="GH1068" s="27"/>
      <c r="GI1068" s="27"/>
      <c r="GJ1068" s="27"/>
      <c r="GK1068" s="27"/>
      <c r="GL1068" s="27"/>
      <c r="GM1068" s="27"/>
      <c r="GN1068" s="27"/>
      <c r="GO1068" s="27"/>
      <c r="GP1068" s="27"/>
      <c r="GQ1068" s="27"/>
      <c r="GR1068" s="27"/>
      <c r="GS1068" s="27"/>
      <c r="GT1068" s="27"/>
      <c r="GU1068" s="27"/>
      <c r="GV1068" s="27"/>
      <c r="GW1068" s="27"/>
      <c r="GX1068" s="27"/>
      <c r="GY1068" s="27"/>
      <c r="GZ1068" s="27"/>
      <c r="HA1068" s="27"/>
      <c r="HB1068" s="27"/>
      <c r="HC1068" s="27"/>
      <c r="HD1068" s="27"/>
      <c r="HE1068" s="27"/>
      <c r="HF1068" s="27"/>
      <c r="HG1068" s="27"/>
      <c r="HH1068" s="27"/>
      <c r="HI1068" s="27"/>
      <c r="HJ1068" s="27"/>
      <c r="HK1068" s="27"/>
      <c r="HL1068" s="27"/>
      <c r="HM1068" s="27"/>
      <c r="HN1068" s="27"/>
      <c r="HO1068" s="27"/>
      <c r="HP1068" s="27"/>
      <c r="HQ1068" s="27"/>
      <c r="HR1068" s="27"/>
      <c r="HS1068" s="27"/>
      <c r="HT1068" s="27"/>
      <c r="HU1068" s="27"/>
      <c r="HV1068" s="27"/>
      <c r="HW1068" s="27"/>
      <c r="HX1068" s="27"/>
      <c r="HY1068" s="27"/>
      <c r="HZ1068" s="27"/>
      <c r="IA1068" s="27"/>
      <c r="IB1068" s="27"/>
      <c r="IC1068" s="27"/>
      <c r="ID1068" s="27"/>
      <c r="IE1068" s="27"/>
      <c r="IF1068" s="27"/>
      <c r="IG1068" s="27"/>
      <c r="IH1068" s="27"/>
      <c r="II1068" s="27"/>
      <c r="IJ1068" s="27"/>
      <c r="IK1068" s="27"/>
      <c r="IL1068" s="27"/>
      <c r="IM1068" s="27"/>
      <c r="IN1068" s="27"/>
      <c r="IO1068" s="27"/>
      <c r="IP1068" s="27"/>
      <c r="IQ1068" s="27"/>
      <c r="IR1068" s="27"/>
      <c r="IS1068" s="27"/>
      <c r="IT1068" s="27"/>
      <c r="IU1068" s="27"/>
      <c r="IV1068" s="27"/>
      <c r="IW1068" s="27"/>
      <c r="IX1068" s="27"/>
    </row>
    <row r="1069" spans="1:258" ht="21.95" customHeight="1" x14ac:dyDescent="0.25">
      <c r="A1069" s="40" t="s">
        <v>1515</v>
      </c>
      <c r="B1069" s="8" t="s">
        <v>671</v>
      </c>
      <c r="C1069" s="2">
        <f t="shared" si="597"/>
        <v>1342550</v>
      </c>
      <c r="D1069" s="3">
        <f t="shared" si="595"/>
        <v>0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4">
        <v>0</v>
      </c>
      <c r="L1069" s="3">
        <v>0</v>
      </c>
      <c r="M1069" s="3">
        <v>244.1</v>
      </c>
      <c r="N1069" s="3">
        <f t="shared" si="599"/>
        <v>1342550</v>
      </c>
      <c r="O1069" s="3">
        <v>0</v>
      </c>
      <c r="P1069" s="3">
        <v>0</v>
      </c>
      <c r="Q1069" s="3">
        <v>0</v>
      </c>
      <c r="R1069" s="3">
        <f t="shared" si="593"/>
        <v>0</v>
      </c>
      <c r="S1069" s="3">
        <v>0</v>
      </c>
      <c r="T1069" s="5">
        <v>0</v>
      </c>
      <c r="U1069" s="3">
        <v>0</v>
      </c>
      <c r="V1069" s="6">
        <f t="shared" si="594"/>
        <v>5500</v>
      </c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7"/>
      <c r="AV1069" s="17"/>
      <c r="AW1069" s="17"/>
      <c r="AX1069" s="17"/>
      <c r="AY1069" s="17"/>
      <c r="AZ1069" s="17"/>
      <c r="BA1069" s="17"/>
      <c r="BB1069" s="17"/>
      <c r="BC1069" s="17"/>
      <c r="BD1069" s="17"/>
      <c r="BE1069" s="17"/>
      <c r="BF1069" s="17"/>
      <c r="BG1069" s="17"/>
      <c r="BH1069" s="17"/>
      <c r="BI1069" s="17"/>
      <c r="BJ1069" s="17"/>
      <c r="BK1069" s="17"/>
      <c r="BL1069" s="17"/>
      <c r="BM1069" s="17"/>
      <c r="BN1069" s="17"/>
      <c r="BO1069" s="17"/>
      <c r="BP1069" s="17"/>
      <c r="BQ1069" s="17"/>
      <c r="BR1069" s="17"/>
      <c r="BS1069" s="17"/>
      <c r="BT1069" s="17"/>
      <c r="BU1069" s="17"/>
      <c r="BV1069" s="17"/>
      <c r="BW1069" s="17"/>
      <c r="BX1069" s="17"/>
      <c r="BY1069" s="17"/>
      <c r="BZ1069" s="17"/>
      <c r="CA1069" s="17"/>
      <c r="CB1069" s="17"/>
      <c r="CC1069" s="17"/>
      <c r="CD1069" s="17"/>
      <c r="CE1069" s="17"/>
      <c r="CF1069" s="17"/>
      <c r="CG1069" s="17"/>
      <c r="CH1069" s="17"/>
      <c r="CI1069" s="17"/>
      <c r="CJ1069" s="17"/>
      <c r="CK1069" s="17"/>
      <c r="CL1069" s="17"/>
      <c r="CM1069" s="17"/>
      <c r="CN1069" s="17"/>
      <c r="CO1069" s="17"/>
      <c r="CP1069" s="17"/>
      <c r="CQ1069" s="17"/>
      <c r="CR1069" s="17"/>
      <c r="CS1069" s="17"/>
      <c r="CT1069" s="17"/>
      <c r="CU1069" s="17"/>
      <c r="CV1069" s="17"/>
      <c r="CW1069" s="17"/>
      <c r="CX1069" s="17"/>
      <c r="CY1069" s="17"/>
      <c r="CZ1069" s="17"/>
      <c r="DA1069" s="17"/>
      <c r="DB1069" s="17"/>
      <c r="DC1069" s="17"/>
      <c r="DD1069" s="17"/>
      <c r="DE1069" s="17"/>
      <c r="DF1069" s="17"/>
      <c r="DG1069" s="17"/>
      <c r="DH1069" s="17"/>
      <c r="DI1069" s="17"/>
      <c r="DJ1069" s="17"/>
      <c r="DK1069" s="17"/>
      <c r="DL1069" s="17"/>
      <c r="DM1069" s="17"/>
      <c r="DN1069" s="17"/>
      <c r="DO1069" s="17"/>
      <c r="DP1069" s="17"/>
      <c r="DQ1069" s="17"/>
      <c r="DR1069" s="17"/>
      <c r="DS1069" s="17"/>
      <c r="DT1069" s="17"/>
      <c r="DU1069" s="17"/>
      <c r="DV1069" s="17"/>
      <c r="DW1069" s="17"/>
      <c r="DX1069" s="17"/>
      <c r="DY1069" s="17"/>
      <c r="DZ1069" s="17"/>
      <c r="EA1069" s="17"/>
      <c r="EB1069" s="17"/>
      <c r="EC1069" s="17"/>
      <c r="ED1069" s="17"/>
      <c r="EE1069" s="17"/>
      <c r="EF1069" s="17"/>
      <c r="EG1069" s="17"/>
      <c r="EH1069" s="17"/>
      <c r="EI1069" s="17"/>
      <c r="EJ1069" s="17"/>
      <c r="EK1069" s="17"/>
      <c r="EL1069" s="17"/>
      <c r="EM1069" s="17"/>
      <c r="EN1069" s="17"/>
      <c r="EO1069" s="17"/>
      <c r="EP1069" s="17"/>
      <c r="EQ1069" s="17"/>
      <c r="ER1069" s="17"/>
      <c r="ES1069" s="17"/>
      <c r="ET1069" s="17"/>
      <c r="EU1069" s="17"/>
      <c r="EV1069" s="17"/>
      <c r="EW1069" s="17"/>
      <c r="EX1069" s="17"/>
      <c r="EY1069" s="17"/>
      <c r="EZ1069" s="17"/>
      <c r="FA1069" s="17"/>
      <c r="FB1069" s="17"/>
      <c r="FC1069" s="17"/>
      <c r="FD1069" s="17"/>
      <c r="FE1069" s="17"/>
      <c r="FF1069" s="17"/>
      <c r="FG1069" s="17"/>
      <c r="FH1069" s="17"/>
      <c r="FI1069" s="17"/>
      <c r="FJ1069" s="17"/>
      <c r="FK1069" s="17"/>
      <c r="FL1069" s="17"/>
      <c r="FM1069" s="17"/>
      <c r="FN1069" s="17"/>
      <c r="FO1069" s="17"/>
      <c r="FP1069" s="17"/>
      <c r="FQ1069" s="17"/>
      <c r="FR1069" s="17"/>
      <c r="FS1069" s="17"/>
      <c r="FT1069" s="17"/>
      <c r="FU1069" s="17"/>
      <c r="FV1069" s="17"/>
      <c r="FW1069" s="17"/>
      <c r="FX1069" s="17"/>
      <c r="FY1069" s="17"/>
      <c r="FZ1069" s="17"/>
      <c r="GA1069" s="17"/>
      <c r="GB1069" s="17"/>
      <c r="GC1069" s="17"/>
      <c r="GD1069" s="17"/>
      <c r="GE1069" s="17"/>
      <c r="GF1069" s="17"/>
      <c r="GG1069" s="17"/>
      <c r="GH1069" s="17"/>
      <c r="GI1069" s="17"/>
      <c r="GJ1069" s="17"/>
      <c r="GK1069" s="17"/>
      <c r="GL1069" s="17"/>
      <c r="GM1069" s="17"/>
      <c r="GN1069" s="17"/>
      <c r="GO1069" s="17"/>
      <c r="GP1069" s="17"/>
      <c r="GQ1069" s="17"/>
      <c r="GR1069" s="17"/>
      <c r="GS1069" s="17"/>
      <c r="GT1069" s="17"/>
      <c r="GU1069" s="17"/>
      <c r="GV1069" s="17"/>
      <c r="GW1069" s="17"/>
      <c r="GX1069" s="17"/>
      <c r="GY1069" s="17"/>
      <c r="GZ1069" s="17"/>
      <c r="HA1069" s="17"/>
      <c r="HB1069" s="17"/>
      <c r="HC1069" s="17"/>
      <c r="HD1069" s="17"/>
      <c r="HE1069" s="17"/>
      <c r="HF1069" s="17"/>
      <c r="HG1069" s="17"/>
      <c r="HH1069" s="17"/>
      <c r="HI1069" s="17"/>
      <c r="HJ1069" s="17"/>
      <c r="HK1069" s="17"/>
      <c r="HL1069" s="17"/>
      <c r="HM1069" s="17"/>
      <c r="HN1069" s="17"/>
      <c r="HO1069" s="17"/>
      <c r="HP1069" s="17"/>
      <c r="HQ1069" s="17"/>
      <c r="HR1069" s="17"/>
      <c r="HS1069" s="17"/>
      <c r="HT1069" s="17"/>
      <c r="HU1069" s="17"/>
      <c r="HV1069" s="17"/>
      <c r="HW1069" s="17"/>
      <c r="HX1069" s="17"/>
      <c r="HY1069" s="17"/>
      <c r="HZ1069" s="17"/>
      <c r="IA1069" s="17"/>
      <c r="IB1069" s="17"/>
      <c r="IC1069" s="17"/>
      <c r="ID1069" s="17"/>
      <c r="IE1069" s="17"/>
      <c r="IF1069" s="17"/>
      <c r="IG1069" s="17"/>
      <c r="IH1069" s="17"/>
      <c r="II1069" s="17"/>
      <c r="IJ1069" s="17"/>
      <c r="IK1069" s="17"/>
      <c r="IL1069" s="17"/>
      <c r="IM1069" s="17"/>
      <c r="IN1069" s="17"/>
      <c r="IO1069" s="17"/>
      <c r="IP1069" s="17"/>
      <c r="IQ1069" s="17"/>
      <c r="IR1069" s="17"/>
      <c r="IS1069" s="17"/>
      <c r="IT1069" s="17"/>
      <c r="IU1069" s="17"/>
      <c r="IV1069" s="17"/>
      <c r="IW1069" s="17"/>
      <c r="IX1069" s="17"/>
    </row>
    <row r="1070" spans="1:258" ht="21.95" customHeight="1" x14ac:dyDescent="0.25">
      <c r="A1070" s="40" t="s">
        <v>1516</v>
      </c>
      <c r="B1070" s="8" t="s">
        <v>763</v>
      </c>
      <c r="C1070" s="2">
        <f t="shared" si="597"/>
        <v>1346400</v>
      </c>
      <c r="D1070" s="3">
        <f t="shared" si="595"/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4">
        <v>0</v>
      </c>
      <c r="L1070" s="3">
        <v>0</v>
      </c>
      <c r="M1070" s="5">
        <v>244.8</v>
      </c>
      <c r="N1070" s="3">
        <f t="shared" si="599"/>
        <v>1346400</v>
      </c>
      <c r="O1070" s="3">
        <v>0</v>
      </c>
      <c r="P1070" s="3">
        <v>0</v>
      </c>
      <c r="Q1070" s="3">
        <v>0</v>
      </c>
      <c r="R1070" s="3">
        <f t="shared" si="593"/>
        <v>0</v>
      </c>
      <c r="S1070" s="3">
        <v>0</v>
      </c>
      <c r="T1070" s="5">
        <v>0</v>
      </c>
      <c r="U1070" s="3">
        <v>0</v>
      </c>
      <c r="V1070" s="6">
        <f t="shared" si="594"/>
        <v>5500</v>
      </c>
    </row>
    <row r="1071" spans="1:258" ht="21.95" customHeight="1" x14ac:dyDescent="0.25">
      <c r="A1071" s="40" t="s">
        <v>1635</v>
      </c>
      <c r="B1071" s="8" t="s">
        <v>764</v>
      </c>
      <c r="C1071" s="2">
        <f t="shared" si="597"/>
        <v>1346400</v>
      </c>
      <c r="D1071" s="3">
        <f t="shared" si="595"/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4">
        <v>0</v>
      </c>
      <c r="L1071" s="3">
        <v>0</v>
      </c>
      <c r="M1071" s="5">
        <v>244.8</v>
      </c>
      <c r="N1071" s="3">
        <f t="shared" si="599"/>
        <v>1346400</v>
      </c>
      <c r="O1071" s="3">
        <v>0</v>
      </c>
      <c r="P1071" s="3">
        <v>0</v>
      </c>
      <c r="Q1071" s="3">
        <v>0</v>
      </c>
      <c r="R1071" s="3">
        <f t="shared" si="593"/>
        <v>0</v>
      </c>
      <c r="S1071" s="3">
        <v>0</v>
      </c>
      <c r="T1071" s="5">
        <v>0</v>
      </c>
      <c r="U1071" s="3">
        <v>0</v>
      </c>
      <c r="V1071" s="6">
        <f t="shared" si="594"/>
        <v>5500</v>
      </c>
    </row>
    <row r="1072" spans="1:258" ht="21.95" customHeight="1" x14ac:dyDescent="0.25">
      <c r="A1072" s="40" t="s">
        <v>1517</v>
      </c>
      <c r="B1072" s="8" t="s">
        <v>672</v>
      </c>
      <c r="C1072" s="2">
        <f t="shared" si="597"/>
        <v>1353000</v>
      </c>
      <c r="D1072" s="3">
        <f t="shared" si="595"/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4">
        <v>0</v>
      </c>
      <c r="L1072" s="3">
        <v>0</v>
      </c>
      <c r="M1072" s="5">
        <v>246</v>
      </c>
      <c r="N1072" s="3">
        <f t="shared" si="599"/>
        <v>1353000</v>
      </c>
      <c r="O1072" s="3">
        <v>0</v>
      </c>
      <c r="P1072" s="3">
        <v>0</v>
      </c>
      <c r="Q1072" s="3">
        <v>0</v>
      </c>
      <c r="R1072" s="3">
        <f t="shared" si="593"/>
        <v>0</v>
      </c>
      <c r="S1072" s="3">
        <v>0</v>
      </c>
      <c r="T1072" s="5">
        <v>0</v>
      </c>
      <c r="U1072" s="3">
        <v>0</v>
      </c>
      <c r="V1072" s="6">
        <f t="shared" si="594"/>
        <v>5500</v>
      </c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7"/>
      <c r="AV1072" s="17"/>
      <c r="AW1072" s="17"/>
      <c r="AX1072" s="17"/>
      <c r="AY1072" s="17"/>
      <c r="AZ1072" s="17"/>
      <c r="BA1072" s="17"/>
      <c r="BB1072" s="17"/>
      <c r="BC1072" s="17"/>
      <c r="BD1072" s="17"/>
      <c r="BE1072" s="17"/>
      <c r="BF1072" s="17"/>
      <c r="BG1072" s="17"/>
      <c r="BH1072" s="17"/>
      <c r="BI1072" s="17"/>
      <c r="BJ1072" s="17"/>
      <c r="BK1072" s="17"/>
      <c r="BL1072" s="17"/>
      <c r="BM1072" s="17"/>
      <c r="BN1072" s="17"/>
      <c r="BO1072" s="17"/>
      <c r="BP1072" s="17"/>
      <c r="BQ1072" s="17"/>
      <c r="BR1072" s="17"/>
      <c r="BS1072" s="17"/>
      <c r="BT1072" s="17"/>
      <c r="BU1072" s="17"/>
      <c r="BV1072" s="17"/>
      <c r="BW1072" s="17"/>
      <c r="BX1072" s="17"/>
      <c r="BY1072" s="17"/>
      <c r="BZ1072" s="17"/>
      <c r="CA1072" s="17"/>
      <c r="CB1072" s="17"/>
      <c r="CC1072" s="17"/>
      <c r="CD1072" s="17"/>
      <c r="CE1072" s="17"/>
      <c r="CF1072" s="17"/>
      <c r="CG1072" s="17"/>
      <c r="CH1072" s="17"/>
      <c r="CI1072" s="17"/>
      <c r="CJ1072" s="17"/>
      <c r="CK1072" s="17"/>
      <c r="CL1072" s="17"/>
      <c r="CM1072" s="17"/>
      <c r="CN1072" s="17"/>
      <c r="CO1072" s="17"/>
      <c r="CP1072" s="17"/>
      <c r="CQ1072" s="17"/>
      <c r="CR1072" s="17"/>
      <c r="CS1072" s="17"/>
      <c r="CT1072" s="17"/>
      <c r="CU1072" s="17"/>
      <c r="CV1072" s="17"/>
      <c r="CW1072" s="17"/>
      <c r="CX1072" s="17"/>
      <c r="CY1072" s="17"/>
      <c r="CZ1072" s="17"/>
      <c r="DA1072" s="17"/>
      <c r="DB1072" s="17"/>
      <c r="DC1072" s="17"/>
      <c r="DD1072" s="17"/>
      <c r="DE1072" s="17"/>
      <c r="DF1072" s="17"/>
      <c r="DG1072" s="17"/>
      <c r="DH1072" s="17"/>
      <c r="DI1072" s="17"/>
      <c r="DJ1072" s="17"/>
      <c r="DK1072" s="17"/>
      <c r="DL1072" s="17"/>
      <c r="DM1072" s="17"/>
      <c r="DN1072" s="17"/>
      <c r="DO1072" s="17"/>
      <c r="DP1072" s="17"/>
      <c r="DQ1072" s="17"/>
      <c r="DR1072" s="17"/>
      <c r="DS1072" s="17"/>
      <c r="DT1072" s="17"/>
      <c r="DU1072" s="17"/>
      <c r="DV1072" s="17"/>
      <c r="DW1072" s="17"/>
      <c r="DX1072" s="17"/>
      <c r="DY1072" s="17"/>
      <c r="DZ1072" s="17"/>
      <c r="EA1072" s="17"/>
      <c r="EB1072" s="17"/>
      <c r="EC1072" s="17"/>
      <c r="ED1072" s="17"/>
      <c r="EE1072" s="17"/>
      <c r="EF1072" s="17"/>
      <c r="EG1072" s="17"/>
      <c r="EH1072" s="17"/>
      <c r="EI1072" s="17"/>
      <c r="EJ1072" s="17"/>
      <c r="EK1072" s="17"/>
      <c r="EL1072" s="17"/>
      <c r="EM1072" s="17"/>
      <c r="EN1072" s="17"/>
      <c r="EO1072" s="17"/>
      <c r="EP1072" s="17"/>
      <c r="EQ1072" s="17"/>
      <c r="ER1072" s="17"/>
      <c r="ES1072" s="17"/>
      <c r="ET1072" s="17"/>
      <c r="EU1072" s="17"/>
      <c r="EV1072" s="17"/>
      <c r="EW1072" s="17"/>
      <c r="EX1072" s="17"/>
      <c r="EY1072" s="17"/>
      <c r="EZ1072" s="17"/>
      <c r="FA1072" s="17"/>
      <c r="FB1072" s="17"/>
      <c r="FC1072" s="17"/>
      <c r="FD1072" s="17"/>
      <c r="FE1072" s="17"/>
      <c r="FF1072" s="17"/>
      <c r="FG1072" s="17"/>
      <c r="FH1072" s="17"/>
      <c r="FI1072" s="17"/>
      <c r="FJ1072" s="17"/>
      <c r="FK1072" s="17"/>
      <c r="FL1072" s="17"/>
      <c r="FM1072" s="17"/>
      <c r="FN1072" s="17"/>
      <c r="FO1072" s="17"/>
      <c r="FP1072" s="17"/>
      <c r="FQ1072" s="17"/>
      <c r="FR1072" s="17"/>
      <c r="FS1072" s="17"/>
      <c r="FT1072" s="17"/>
      <c r="FU1072" s="17"/>
      <c r="FV1072" s="17"/>
      <c r="FW1072" s="17"/>
      <c r="FX1072" s="17"/>
      <c r="FY1072" s="17"/>
      <c r="FZ1072" s="17"/>
      <c r="GA1072" s="17"/>
      <c r="GB1072" s="17"/>
      <c r="GC1072" s="17"/>
      <c r="GD1072" s="17"/>
      <c r="GE1072" s="17"/>
      <c r="GF1072" s="17"/>
      <c r="GG1072" s="17"/>
      <c r="GH1072" s="17"/>
      <c r="GI1072" s="17"/>
      <c r="GJ1072" s="17"/>
      <c r="GK1072" s="17"/>
      <c r="GL1072" s="17"/>
      <c r="GM1072" s="17"/>
      <c r="GN1072" s="17"/>
      <c r="GO1072" s="17"/>
      <c r="GP1072" s="17"/>
      <c r="GQ1072" s="17"/>
      <c r="GR1072" s="17"/>
      <c r="GS1072" s="17"/>
      <c r="GT1072" s="17"/>
      <c r="GU1072" s="17"/>
      <c r="GV1072" s="17"/>
      <c r="GW1072" s="17"/>
      <c r="GX1072" s="17"/>
      <c r="GY1072" s="17"/>
      <c r="GZ1072" s="17"/>
      <c r="HA1072" s="17"/>
      <c r="HB1072" s="17"/>
      <c r="HC1072" s="17"/>
      <c r="HD1072" s="17"/>
      <c r="HE1072" s="17"/>
      <c r="HF1072" s="17"/>
      <c r="HG1072" s="17"/>
      <c r="HH1072" s="17"/>
      <c r="HI1072" s="17"/>
      <c r="HJ1072" s="17"/>
      <c r="HK1072" s="17"/>
      <c r="HL1072" s="17"/>
      <c r="HM1072" s="17"/>
      <c r="HN1072" s="17"/>
      <c r="HO1072" s="17"/>
      <c r="HP1072" s="17"/>
      <c r="HQ1072" s="17"/>
      <c r="HR1072" s="17"/>
      <c r="HS1072" s="17"/>
      <c r="HT1072" s="17"/>
      <c r="HU1072" s="17"/>
      <c r="HV1072" s="17"/>
      <c r="HW1072" s="17"/>
      <c r="HX1072" s="17"/>
      <c r="HY1072" s="17"/>
      <c r="HZ1072" s="17"/>
      <c r="IA1072" s="17"/>
      <c r="IB1072" s="17"/>
      <c r="IC1072" s="17"/>
      <c r="ID1072" s="17"/>
      <c r="IE1072" s="17"/>
      <c r="IF1072" s="17"/>
      <c r="IG1072" s="17"/>
      <c r="IH1072" s="17"/>
      <c r="II1072" s="17"/>
      <c r="IJ1072" s="17"/>
      <c r="IK1072" s="17"/>
      <c r="IL1072" s="17"/>
      <c r="IM1072" s="17"/>
      <c r="IN1072" s="17"/>
      <c r="IO1072" s="17"/>
      <c r="IP1072" s="17"/>
      <c r="IQ1072" s="17"/>
      <c r="IR1072" s="17"/>
      <c r="IS1072" s="17"/>
      <c r="IT1072" s="17"/>
      <c r="IU1072" s="17"/>
      <c r="IV1072" s="17"/>
      <c r="IW1072" s="17"/>
      <c r="IX1072" s="17"/>
    </row>
    <row r="1073" spans="1:22" ht="21.95" customHeight="1" x14ac:dyDescent="0.25">
      <c r="A1073" s="40" t="s">
        <v>1518</v>
      </c>
      <c r="B1073" s="8" t="s">
        <v>673</v>
      </c>
      <c r="C1073" s="2">
        <f t="shared" si="597"/>
        <v>1370600</v>
      </c>
      <c r="D1073" s="3">
        <f t="shared" si="595"/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4">
        <v>0</v>
      </c>
      <c r="L1073" s="3">
        <v>0</v>
      </c>
      <c r="M1073" s="3">
        <v>249.2</v>
      </c>
      <c r="N1073" s="3">
        <f t="shared" si="599"/>
        <v>1370600</v>
      </c>
      <c r="O1073" s="3">
        <v>0</v>
      </c>
      <c r="P1073" s="3">
        <v>0</v>
      </c>
      <c r="Q1073" s="3">
        <v>0</v>
      </c>
      <c r="R1073" s="3">
        <f t="shared" si="593"/>
        <v>0</v>
      </c>
      <c r="S1073" s="3">
        <v>0</v>
      </c>
      <c r="T1073" s="5">
        <v>0</v>
      </c>
      <c r="U1073" s="3">
        <v>0</v>
      </c>
      <c r="V1073" s="6">
        <f t="shared" si="594"/>
        <v>5500</v>
      </c>
    </row>
    <row r="1074" spans="1:22" ht="21.95" customHeight="1" x14ac:dyDescent="0.25">
      <c r="A1074" s="40" t="s">
        <v>1519</v>
      </c>
      <c r="B1074" s="8" t="s">
        <v>674</v>
      </c>
      <c r="C1074" s="2">
        <f t="shared" si="597"/>
        <v>1456400</v>
      </c>
      <c r="D1074" s="3">
        <f t="shared" si="595"/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4">
        <v>0</v>
      </c>
      <c r="L1074" s="3">
        <v>0</v>
      </c>
      <c r="M1074" s="3">
        <v>264.8</v>
      </c>
      <c r="N1074" s="3">
        <f t="shared" si="599"/>
        <v>1456400</v>
      </c>
      <c r="O1074" s="3">
        <v>0</v>
      </c>
      <c r="P1074" s="3">
        <v>0</v>
      </c>
      <c r="Q1074" s="3">
        <v>0</v>
      </c>
      <c r="R1074" s="3">
        <f t="shared" si="593"/>
        <v>0</v>
      </c>
      <c r="S1074" s="3">
        <v>0</v>
      </c>
      <c r="T1074" s="5">
        <v>0</v>
      </c>
      <c r="U1074" s="3">
        <v>0</v>
      </c>
      <c r="V1074" s="6">
        <f t="shared" si="594"/>
        <v>5500</v>
      </c>
    </row>
    <row r="1075" spans="1:22" ht="21.95" customHeight="1" x14ac:dyDescent="0.25">
      <c r="A1075" s="40" t="s">
        <v>1520</v>
      </c>
      <c r="B1075" s="8" t="s">
        <v>1188</v>
      </c>
      <c r="C1075" s="2">
        <f t="shared" si="597"/>
        <v>6650000</v>
      </c>
      <c r="D1075" s="3">
        <f t="shared" si="595"/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4">
        <v>3</v>
      </c>
      <c r="L1075" s="3">
        <f>K1075*2150000</f>
        <v>6450000</v>
      </c>
      <c r="M1075" s="3">
        <v>0</v>
      </c>
      <c r="N1075" s="3">
        <v>0</v>
      </c>
      <c r="O1075" s="3">
        <v>0</v>
      </c>
      <c r="P1075" s="3">
        <v>0</v>
      </c>
      <c r="Q1075" s="3">
        <v>0</v>
      </c>
      <c r="R1075" s="3">
        <f t="shared" si="593"/>
        <v>0</v>
      </c>
      <c r="S1075" s="3">
        <v>0</v>
      </c>
      <c r="T1075" s="5">
        <v>0</v>
      </c>
      <c r="U1075" s="3">
        <v>200000</v>
      </c>
      <c r="V1075" s="6" t="e">
        <f t="shared" si="594"/>
        <v>#DIV/0!</v>
      </c>
    </row>
    <row r="1076" spans="1:22" ht="21.95" customHeight="1" x14ac:dyDescent="0.25">
      <c r="A1076" s="40" t="s">
        <v>1521</v>
      </c>
      <c r="B1076" s="8" t="s">
        <v>1638</v>
      </c>
      <c r="C1076" s="2">
        <f t="shared" si="597"/>
        <v>2250000</v>
      </c>
      <c r="D1076" s="3">
        <f t="shared" si="595"/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4">
        <v>1</v>
      </c>
      <c r="L1076" s="3">
        <v>2150000</v>
      </c>
      <c r="M1076" s="3">
        <v>0</v>
      </c>
      <c r="N1076" s="3">
        <v>0</v>
      </c>
      <c r="O1076" s="3">
        <v>0</v>
      </c>
      <c r="P1076" s="3">
        <v>0</v>
      </c>
      <c r="Q1076" s="3">
        <v>0</v>
      </c>
      <c r="R1076" s="3">
        <v>0</v>
      </c>
      <c r="S1076" s="3">
        <v>0</v>
      </c>
      <c r="T1076" s="5">
        <v>0</v>
      </c>
      <c r="U1076" s="3">
        <v>100000</v>
      </c>
      <c r="V1076" s="6" t="e">
        <f t="shared" si="594"/>
        <v>#DIV/0!</v>
      </c>
    </row>
    <row r="1077" spans="1:22" ht="21.95" customHeight="1" x14ac:dyDescent="0.25">
      <c r="A1077" s="40" t="s">
        <v>1522</v>
      </c>
      <c r="B1077" s="8" t="s">
        <v>765</v>
      </c>
      <c r="C1077" s="2">
        <f t="shared" si="597"/>
        <v>3512758</v>
      </c>
      <c r="D1077" s="3">
        <f t="shared" si="595"/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4">
        <v>0</v>
      </c>
      <c r="L1077" s="3">
        <v>0</v>
      </c>
      <c r="M1077" s="5">
        <v>953</v>
      </c>
      <c r="N1077" s="3">
        <f t="shared" ref="N1077:N1080" si="600">M1077*3686</f>
        <v>3512758</v>
      </c>
      <c r="O1077" s="3">
        <v>0</v>
      </c>
      <c r="P1077" s="3">
        <v>0</v>
      </c>
      <c r="Q1077" s="3">
        <v>0</v>
      </c>
      <c r="R1077" s="3">
        <f t="shared" si="593"/>
        <v>0</v>
      </c>
      <c r="S1077" s="3">
        <v>0</v>
      </c>
      <c r="T1077" s="5">
        <v>0</v>
      </c>
      <c r="U1077" s="3">
        <v>0</v>
      </c>
      <c r="V1077" s="6">
        <f t="shared" si="594"/>
        <v>3686</v>
      </c>
    </row>
    <row r="1078" spans="1:22" ht="21.95" customHeight="1" x14ac:dyDescent="0.25">
      <c r="A1078" s="40" t="s">
        <v>1523</v>
      </c>
      <c r="B1078" s="8" t="s">
        <v>824</v>
      </c>
      <c r="C1078" s="2">
        <f t="shared" si="597"/>
        <v>16689674.5</v>
      </c>
      <c r="D1078" s="3">
        <f t="shared" si="595"/>
        <v>6044834.5</v>
      </c>
      <c r="E1078" s="3">
        <f>350*2572.27</f>
        <v>900294.5</v>
      </c>
      <c r="F1078" s="3">
        <f>1050*2572.27</f>
        <v>2700883.5</v>
      </c>
      <c r="G1078" s="3">
        <f>300*2572.27</f>
        <v>771681</v>
      </c>
      <c r="H1078" s="3">
        <f>400*2572.27</f>
        <v>1028908</v>
      </c>
      <c r="I1078" s="3">
        <f>250*2572.27</f>
        <v>643067.5</v>
      </c>
      <c r="J1078" s="3">
        <v>0</v>
      </c>
      <c r="K1078" s="4">
        <v>0</v>
      </c>
      <c r="L1078" s="3">
        <v>0</v>
      </c>
      <c r="M1078" s="5">
        <v>940</v>
      </c>
      <c r="N1078" s="3">
        <f t="shared" si="600"/>
        <v>3464840</v>
      </c>
      <c r="O1078" s="3">
        <v>0</v>
      </c>
      <c r="P1078" s="3">
        <v>0</v>
      </c>
      <c r="Q1078" s="5">
        <v>2360</v>
      </c>
      <c r="R1078" s="3">
        <f t="shared" si="593"/>
        <v>7080000</v>
      </c>
      <c r="S1078" s="5">
        <v>0</v>
      </c>
      <c r="T1078" s="5">
        <v>0</v>
      </c>
      <c r="U1078" s="3">
        <v>100000</v>
      </c>
      <c r="V1078" s="6">
        <f t="shared" si="594"/>
        <v>3686</v>
      </c>
    </row>
    <row r="1079" spans="1:22" ht="21.95" customHeight="1" x14ac:dyDescent="0.25">
      <c r="A1079" s="40" t="s">
        <v>1524</v>
      </c>
      <c r="B1079" s="8" t="s">
        <v>825</v>
      </c>
      <c r="C1079" s="2">
        <f t="shared" si="597"/>
        <v>21196788</v>
      </c>
      <c r="D1079" s="3">
        <f t="shared" si="595"/>
        <v>8730344</v>
      </c>
      <c r="E1079" s="3">
        <f>350*3715.04</f>
        <v>1300264</v>
      </c>
      <c r="F1079" s="3">
        <f>1050*3715.04</f>
        <v>3900792</v>
      </c>
      <c r="G1079" s="3">
        <f>300*3715.04</f>
        <v>1114512</v>
      </c>
      <c r="H1079" s="3">
        <f>400*3715.04</f>
        <v>1486016</v>
      </c>
      <c r="I1079" s="3">
        <f>250*3715.04</f>
        <v>928760</v>
      </c>
      <c r="J1079" s="3">
        <v>0</v>
      </c>
      <c r="K1079" s="4">
        <v>0</v>
      </c>
      <c r="L1079" s="3">
        <v>0</v>
      </c>
      <c r="M1079" s="5">
        <v>954</v>
      </c>
      <c r="N1079" s="3">
        <f t="shared" si="600"/>
        <v>3516444</v>
      </c>
      <c r="O1079" s="3">
        <v>0</v>
      </c>
      <c r="P1079" s="3">
        <v>0</v>
      </c>
      <c r="Q1079" s="3">
        <v>2950</v>
      </c>
      <c r="R1079" s="3">
        <f t="shared" si="593"/>
        <v>8850000</v>
      </c>
      <c r="S1079" s="3">
        <v>0</v>
      </c>
      <c r="T1079" s="5">
        <v>0</v>
      </c>
      <c r="U1079" s="3">
        <v>100000</v>
      </c>
      <c r="V1079" s="6">
        <f t="shared" si="594"/>
        <v>3686</v>
      </c>
    </row>
    <row r="1080" spans="1:22" ht="21.95" customHeight="1" x14ac:dyDescent="0.25">
      <c r="A1080" s="40" t="s">
        <v>1525</v>
      </c>
      <c r="B1080" s="8" t="s">
        <v>826</v>
      </c>
      <c r="C1080" s="2">
        <f t="shared" si="597"/>
        <v>16648062</v>
      </c>
      <c r="D1080" s="3">
        <f t="shared" si="595"/>
        <v>5984792</v>
      </c>
      <c r="E1080" s="3">
        <f>350*2546.72</f>
        <v>891351.99999999988</v>
      </c>
      <c r="F1080" s="3">
        <f>1050*2546.72</f>
        <v>2674056</v>
      </c>
      <c r="G1080" s="3">
        <f>300*2546.72</f>
        <v>764015.99999999988</v>
      </c>
      <c r="H1080" s="3">
        <f>400*2546.72</f>
        <v>1018687.9999999999</v>
      </c>
      <c r="I1080" s="3">
        <f>250*2546.72</f>
        <v>636680</v>
      </c>
      <c r="J1080" s="3">
        <v>0</v>
      </c>
      <c r="K1080" s="4">
        <v>0</v>
      </c>
      <c r="L1080" s="3">
        <v>0</v>
      </c>
      <c r="M1080" s="5">
        <v>945</v>
      </c>
      <c r="N1080" s="3">
        <f t="shared" si="600"/>
        <v>3483270</v>
      </c>
      <c r="O1080" s="3">
        <v>0</v>
      </c>
      <c r="P1080" s="3">
        <v>0</v>
      </c>
      <c r="Q1080" s="5">
        <v>2360</v>
      </c>
      <c r="R1080" s="3">
        <f t="shared" si="593"/>
        <v>7080000</v>
      </c>
      <c r="S1080" s="3">
        <v>0</v>
      </c>
      <c r="T1080" s="5">
        <v>0</v>
      </c>
      <c r="U1080" s="5">
        <v>100000</v>
      </c>
      <c r="V1080" s="6">
        <f t="shared" si="594"/>
        <v>3686</v>
      </c>
    </row>
    <row r="1081" spans="1:22" ht="21.95" customHeight="1" x14ac:dyDescent="0.25">
      <c r="A1081" s="40" t="s">
        <v>1526</v>
      </c>
      <c r="B1081" s="8" t="s">
        <v>675</v>
      </c>
      <c r="C1081" s="2">
        <f t="shared" si="597"/>
        <v>4536350</v>
      </c>
      <c r="D1081" s="3">
        <f t="shared" si="595"/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11">
        <v>0</v>
      </c>
      <c r="L1081" s="5">
        <v>0</v>
      </c>
      <c r="M1081" s="5">
        <v>427.7</v>
      </c>
      <c r="N1081" s="3">
        <f t="shared" ref="N1081:N1088" si="601">M1081*5500</f>
        <v>2352350</v>
      </c>
      <c r="O1081" s="5">
        <v>0</v>
      </c>
      <c r="P1081" s="5">
        <v>0</v>
      </c>
      <c r="Q1081" s="5">
        <v>728</v>
      </c>
      <c r="R1081" s="3">
        <f t="shared" si="593"/>
        <v>2184000</v>
      </c>
      <c r="S1081" s="5">
        <v>0</v>
      </c>
      <c r="T1081" s="5">
        <v>0</v>
      </c>
      <c r="U1081" s="5">
        <v>0</v>
      </c>
      <c r="V1081" s="6">
        <f t="shared" si="594"/>
        <v>5500</v>
      </c>
    </row>
    <row r="1082" spans="1:22" ht="21.95" customHeight="1" x14ac:dyDescent="0.25">
      <c r="A1082" s="40" t="s">
        <v>1527</v>
      </c>
      <c r="B1082" s="8" t="s">
        <v>676</v>
      </c>
      <c r="C1082" s="2">
        <f t="shared" si="597"/>
        <v>2761800</v>
      </c>
      <c r="D1082" s="3">
        <f t="shared" si="595"/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11">
        <v>0</v>
      </c>
      <c r="L1082" s="5">
        <v>0</v>
      </c>
      <c r="M1082" s="3">
        <v>303.60000000000002</v>
      </c>
      <c r="N1082" s="3">
        <f t="shared" si="601"/>
        <v>1669800.0000000002</v>
      </c>
      <c r="O1082" s="3">
        <v>0</v>
      </c>
      <c r="P1082" s="3">
        <v>0</v>
      </c>
      <c r="Q1082" s="3">
        <v>364</v>
      </c>
      <c r="R1082" s="3">
        <f t="shared" si="593"/>
        <v>1092000</v>
      </c>
      <c r="S1082" s="5">
        <v>0</v>
      </c>
      <c r="T1082" s="5">
        <v>0</v>
      </c>
      <c r="U1082" s="5">
        <v>0</v>
      </c>
      <c r="V1082" s="6">
        <f t="shared" si="594"/>
        <v>5500</v>
      </c>
    </row>
    <row r="1083" spans="1:22" ht="21.95" customHeight="1" x14ac:dyDescent="0.25">
      <c r="A1083" s="40" t="s">
        <v>1650</v>
      </c>
      <c r="B1083" s="8" t="s">
        <v>677</v>
      </c>
      <c r="C1083" s="2">
        <f t="shared" si="597"/>
        <v>2742000</v>
      </c>
      <c r="D1083" s="3">
        <f t="shared" si="595"/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11">
        <v>0</v>
      </c>
      <c r="L1083" s="5">
        <v>0</v>
      </c>
      <c r="M1083" s="3">
        <v>300</v>
      </c>
      <c r="N1083" s="3">
        <f t="shared" si="601"/>
        <v>1650000</v>
      </c>
      <c r="O1083" s="3">
        <v>0</v>
      </c>
      <c r="P1083" s="3">
        <v>0</v>
      </c>
      <c r="Q1083" s="3">
        <v>364</v>
      </c>
      <c r="R1083" s="3">
        <f t="shared" si="593"/>
        <v>1092000</v>
      </c>
      <c r="S1083" s="3">
        <v>0</v>
      </c>
      <c r="T1083" s="5">
        <v>0</v>
      </c>
      <c r="U1083" s="5">
        <v>0</v>
      </c>
      <c r="V1083" s="6">
        <f t="shared" si="594"/>
        <v>5500</v>
      </c>
    </row>
    <row r="1084" spans="1:22" ht="21.95" customHeight="1" x14ac:dyDescent="0.25">
      <c r="A1084" s="40" t="s">
        <v>1651</v>
      </c>
      <c r="B1084" s="8" t="s">
        <v>678</v>
      </c>
      <c r="C1084" s="2">
        <f t="shared" si="597"/>
        <v>2768950</v>
      </c>
      <c r="D1084" s="3">
        <f t="shared" si="595"/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11">
        <v>0</v>
      </c>
      <c r="L1084" s="5">
        <v>0</v>
      </c>
      <c r="M1084" s="3">
        <v>304.89999999999998</v>
      </c>
      <c r="N1084" s="3">
        <f t="shared" si="601"/>
        <v>1676949.9999999998</v>
      </c>
      <c r="O1084" s="3">
        <v>0</v>
      </c>
      <c r="P1084" s="3">
        <v>0</v>
      </c>
      <c r="Q1084" s="3">
        <v>364</v>
      </c>
      <c r="R1084" s="3">
        <f t="shared" si="593"/>
        <v>1092000</v>
      </c>
      <c r="S1084" s="3">
        <v>0</v>
      </c>
      <c r="T1084" s="5">
        <v>0</v>
      </c>
      <c r="U1084" s="5">
        <v>0</v>
      </c>
      <c r="V1084" s="6">
        <f t="shared" si="594"/>
        <v>5500</v>
      </c>
    </row>
    <row r="1085" spans="1:22" ht="21.95" customHeight="1" x14ac:dyDescent="0.25">
      <c r="A1085" s="40" t="s">
        <v>1652</v>
      </c>
      <c r="B1085" s="8" t="s">
        <v>766</v>
      </c>
      <c r="C1085" s="2">
        <f t="shared" si="597"/>
        <v>3828000</v>
      </c>
      <c r="D1085" s="3">
        <f t="shared" si="595"/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4">
        <v>0</v>
      </c>
      <c r="L1085" s="3">
        <v>0</v>
      </c>
      <c r="M1085" s="5">
        <v>696</v>
      </c>
      <c r="N1085" s="3">
        <f t="shared" si="601"/>
        <v>3828000</v>
      </c>
      <c r="O1085" s="3">
        <v>0</v>
      </c>
      <c r="P1085" s="3">
        <v>0</v>
      </c>
      <c r="Q1085" s="3">
        <v>0</v>
      </c>
      <c r="R1085" s="3">
        <f t="shared" si="593"/>
        <v>0</v>
      </c>
      <c r="S1085" s="3">
        <v>0</v>
      </c>
      <c r="T1085" s="5">
        <v>0</v>
      </c>
      <c r="U1085" s="3">
        <v>0</v>
      </c>
      <c r="V1085" s="6">
        <f t="shared" si="594"/>
        <v>5500</v>
      </c>
    </row>
    <row r="1086" spans="1:22" ht="21.95" customHeight="1" x14ac:dyDescent="0.25">
      <c r="A1086" s="40" t="s">
        <v>1653</v>
      </c>
      <c r="B1086" s="8" t="s">
        <v>425</v>
      </c>
      <c r="C1086" s="2">
        <f t="shared" si="597"/>
        <v>4082649.9999999995</v>
      </c>
      <c r="D1086" s="3">
        <f t="shared" si="595"/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4">
        <v>0</v>
      </c>
      <c r="L1086" s="3">
        <v>0</v>
      </c>
      <c r="M1086" s="3">
        <v>742.3</v>
      </c>
      <c r="N1086" s="3">
        <f t="shared" si="601"/>
        <v>4082649.9999999995</v>
      </c>
      <c r="O1086" s="3">
        <v>0</v>
      </c>
      <c r="P1086" s="3">
        <v>0</v>
      </c>
      <c r="Q1086" s="3">
        <v>0</v>
      </c>
      <c r="R1086" s="3">
        <f t="shared" si="593"/>
        <v>0</v>
      </c>
      <c r="S1086" s="3">
        <v>0</v>
      </c>
      <c r="T1086" s="5">
        <v>0</v>
      </c>
      <c r="U1086" s="3">
        <v>0</v>
      </c>
      <c r="V1086" s="6">
        <f t="shared" si="594"/>
        <v>5500</v>
      </c>
    </row>
    <row r="1087" spans="1:22" ht="21.95" customHeight="1" x14ac:dyDescent="0.25">
      <c r="A1087" s="40" t="s">
        <v>1654</v>
      </c>
      <c r="B1087" s="8" t="s">
        <v>426</v>
      </c>
      <c r="C1087" s="2">
        <f t="shared" si="597"/>
        <v>2673000</v>
      </c>
      <c r="D1087" s="3">
        <f t="shared" si="595"/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4">
        <v>0</v>
      </c>
      <c r="L1087" s="3">
        <v>0</v>
      </c>
      <c r="M1087" s="3">
        <v>486</v>
      </c>
      <c r="N1087" s="3">
        <f t="shared" si="601"/>
        <v>2673000</v>
      </c>
      <c r="O1087" s="3">
        <v>0</v>
      </c>
      <c r="P1087" s="3">
        <v>0</v>
      </c>
      <c r="Q1087" s="3">
        <v>0</v>
      </c>
      <c r="R1087" s="3">
        <f t="shared" si="593"/>
        <v>0</v>
      </c>
      <c r="S1087" s="3">
        <v>0</v>
      </c>
      <c r="T1087" s="5">
        <v>0</v>
      </c>
      <c r="U1087" s="3">
        <v>0</v>
      </c>
      <c r="V1087" s="6">
        <f t="shared" si="594"/>
        <v>5500</v>
      </c>
    </row>
    <row r="1088" spans="1:22" ht="21.95" customHeight="1" x14ac:dyDescent="0.25">
      <c r="A1088" s="40" t="s">
        <v>1655</v>
      </c>
      <c r="B1088" s="8" t="s">
        <v>679</v>
      </c>
      <c r="C1088" s="2">
        <f t="shared" si="597"/>
        <v>2997500</v>
      </c>
      <c r="D1088" s="3">
        <f t="shared" si="595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4">
        <v>0</v>
      </c>
      <c r="L1088" s="3">
        <v>0</v>
      </c>
      <c r="M1088" s="3">
        <v>545</v>
      </c>
      <c r="N1088" s="3">
        <f t="shared" si="601"/>
        <v>2997500</v>
      </c>
      <c r="O1088" s="3">
        <v>0</v>
      </c>
      <c r="P1088" s="3">
        <v>0</v>
      </c>
      <c r="Q1088" s="3">
        <v>0</v>
      </c>
      <c r="R1088" s="3">
        <f t="shared" si="593"/>
        <v>0</v>
      </c>
      <c r="S1088" s="3">
        <v>0</v>
      </c>
      <c r="T1088" s="5">
        <v>0</v>
      </c>
      <c r="U1088" s="3">
        <v>0</v>
      </c>
      <c r="V1088" s="6">
        <f t="shared" si="594"/>
        <v>5500</v>
      </c>
    </row>
    <row r="1089" spans="1:22" ht="42.95" customHeight="1" x14ac:dyDescent="0.25">
      <c r="A1089" s="51" t="s">
        <v>305</v>
      </c>
      <c r="B1089" s="51"/>
      <c r="C1089" s="2">
        <f>SUM(C1090)</f>
        <v>8609395</v>
      </c>
      <c r="D1089" s="2">
        <f t="shared" ref="D1089:U1089" si="602">SUM(D1090)</f>
        <v>4364655</v>
      </c>
      <c r="E1089" s="2">
        <f t="shared" si="602"/>
        <v>650055</v>
      </c>
      <c r="F1089" s="2">
        <f t="shared" si="602"/>
        <v>1950165</v>
      </c>
      <c r="G1089" s="2">
        <f t="shared" si="602"/>
        <v>557190</v>
      </c>
      <c r="H1089" s="2">
        <f t="shared" si="602"/>
        <v>742920</v>
      </c>
      <c r="I1089" s="2">
        <f t="shared" si="602"/>
        <v>464325</v>
      </c>
      <c r="J1089" s="2">
        <f t="shared" si="602"/>
        <v>0</v>
      </c>
      <c r="K1089" s="14">
        <f t="shared" si="602"/>
        <v>0</v>
      </c>
      <c r="L1089" s="2">
        <f t="shared" si="602"/>
        <v>0</v>
      </c>
      <c r="M1089" s="2">
        <f t="shared" si="602"/>
        <v>0</v>
      </c>
      <c r="N1089" s="2">
        <f t="shared" si="602"/>
        <v>0</v>
      </c>
      <c r="O1089" s="2">
        <f t="shared" si="602"/>
        <v>0</v>
      </c>
      <c r="P1089" s="2">
        <f t="shared" si="602"/>
        <v>0</v>
      </c>
      <c r="Q1089" s="2">
        <f t="shared" si="602"/>
        <v>1381.58</v>
      </c>
      <c r="R1089" s="2">
        <f t="shared" si="602"/>
        <v>4144740</v>
      </c>
      <c r="S1089" s="2">
        <f t="shared" si="602"/>
        <v>0</v>
      </c>
      <c r="T1089" s="2">
        <f t="shared" si="602"/>
        <v>0</v>
      </c>
      <c r="U1089" s="2">
        <f t="shared" si="602"/>
        <v>100000</v>
      </c>
    </row>
    <row r="1090" spans="1:22" ht="23.1" customHeight="1" x14ac:dyDescent="0.25">
      <c r="A1090" s="39" t="s">
        <v>1656</v>
      </c>
      <c r="B1090" s="8" t="s">
        <v>306</v>
      </c>
      <c r="C1090" s="2">
        <f t="shared" si="597"/>
        <v>8609395</v>
      </c>
      <c r="D1090" s="3">
        <f t="shared" ref="D1090" si="603">SUM(E1090:J1090)</f>
        <v>4364655</v>
      </c>
      <c r="E1090" s="5">
        <f>350*1857.3</f>
        <v>650055</v>
      </c>
      <c r="F1090" s="5">
        <f>1050*1857.3</f>
        <v>1950165</v>
      </c>
      <c r="G1090" s="5">
        <f>300*1857.3</f>
        <v>557190</v>
      </c>
      <c r="H1090" s="5">
        <f>400*1857.3</f>
        <v>742920</v>
      </c>
      <c r="I1090" s="5">
        <f>250*1857.3</f>
        <v>464325</v>
      </c>
      <c r="J1090" s="5">
        <f>350*0</f>
        <v>0</v>
      </c>
      <c r="K1090" s="11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1381.58</v>
      </c>
      <c r="R1090" s="3">
        <f>Q1090*3000</f>
        <v>4144740</v>
      </c>
      <c r="S1090" s="5">
        <v>0</v>
      </c>
      <c r="T1090" s="5">
        <v>0</v>
      </c>
      <c r="U1090" s="5">
        <v>100000</v>
      </c>
      <c r="V1090" s="6" t="e">
        <f t="shared" ref="V1090" si="604">N1090/M1090</f>
        <v>#DIV/0!</v>
      </c>
    </row>
    <row r="1091" spans="1:22" ht="42.95" customHeight="1" x14ac:dyDescent="0.25">
      <c r="A1091" s="51" t="s">
        <v>281</v>
      </c>
      <c r="B1091" s="51"/>
      <c r="C1091" s="2">
        <f>SUM(C1092)</f>
        <v>4446820</v>
      </c>
      <c r="D1091" s="2">
        <f t="shared" ref="D1091:U1091" si="605">SUM(D1092)</f>
        <v>814320</v>
      </c>
      <c r="E1091" s="2">
        <f t="shared" si="605"/>
        <v>146160</v>
      </c>
      <c r="F1091" s="2">
        <f t="shared" si="605"/>
        <v>438480</v>
      </c>
      <c r="G1091" s="2">
        <f t="shared" si="605"/>
        <v>125280</v>
      </c>
      <c r="H1091" s="2">
        <f t="shared" si="605"/>
        <v>0</v>
      </c>
      <c r="I1091" s="2">
        <f t="shared" si="605"/>
        <v>104400</v>
      </c>
      <c r="J1091" s="2">
        <f t="shared" si="605"/>
        <v>0</v>
      </c>
      <c r="K1091" s="14">
        <f t="shared" si="605"/>
        <v>0</v>
      </c>
      <c r="L1091" s="2">
        <f t="shared" si="605"/>
        <v>0</v>
      </c>
      <c r="M1091" s="2">
        <f t="shared" si="605"/>
        <v>432</v>
      </c>
      <c r="N1091" s="2">
        <f t="shared" si="605"/>
        <v>2376000</v>
      </c>
      <c r="O1091" s="2">
        <f t="shared" si="605"/>
        <v>0</v>
      </c>
      <c r="P1091" s="2">
        <f t="shared" si="605"/>
        <v>0</v>
      </c>
      <c r="Q1091" s="2">
        <f t="shared" si="605"/>
        <v>385.5</v>
      </c>
      <c r="R1091" s="2">
        <f t="shared" si="605"/>
        <v>1156500</v>
      </c>
      <c r="S1091" s="2">
        <f t="shared" si="605"/>
        <v>0</v>
      </c>
      <c r="T1091" s="2">
        <f t="shared" si="605"/>
        <v>0</v>
      </c>
      <c r="U1091" s="2">
        <f t="shared" si="605"/>
        <v>100000</v>
      </c>
    </row>
    <row r="1092" spans="1:22" ht="23.1" customHeight="1" x14ac:dyDescent="0.25">
      <c r="A1092" s="40" t="s">
        <v>1657</v>
      </c>
      <c r="B1092" s="8" t="s">
        <v>304</v>
      </c>
      <c r="C1092" s="2">
        <f t="shared" si="597"/>
        <v>4446820</v>
      </c>
      <c r="D1092" s="3">
        <f t="shared" ref="D1092" si="606">SUM(E1092:J1092)</f>
        <v>814320</v>
      </c>
      <c r="E1092" s="3">
        <f>350*417.6</f>
        <v>146160</v>
      </c>
      <c r="F1092" s="3">
        <f>1050*417.6</f>
        <v>438480</v>
      </c>
      <c r="G1092" s="3">
        <f>300*417.6</f>
        <v>125280</v>
      </c>
      <c r="H1092" s="3">
        <f>400*0</f>
        <v>0</v>
      </c>
      <c r="I1092" s="3">
        <f>250*417.6</f>
        <v>104400</v>
      </c>
      <c r="J1092" s="3">
        <f>350*0</f>
        <v>0</v>
      </c>
      <c r="K1092" s="4">
        <v>0</v>
      </c>
      <c r="L1092" s="3">
        <v>0</v>
      </c>
      <c r="M1092" s="3">
        <v>432</v>
      </c>
      <c r="N1092" s="3">
        <f>M1092*5500</f>
        <v>2376000</v>
      </c>
      <c r="O1092" s="3">
        <v>0</v>
      </c>
      <c r="P1092" s="3">
        <v>0</v>
      </c>
      <c r="Q1092" s="3">
        <v>385.5</v>
      </c>
      <c r="R1092" s="3">
        <f>Q1092*3000</f>
        <v>1156500</v>
      </c>
      <c r="S1092" s="3">
        <v>0</v>
      </c>
      <c r="T1092" s="3">
        <v>0</v>
      </c>
      <c r="U1092" s="3">
        <v>100000</v>
      </c>
      <c r="V1092" s="6">
        <f t="shared" ref="V1092" si="607">N1092/M1092</f>
        <v>5500</v>
      </c>
    </row>
    <row r="1093" spans="1:22" ht="42.95" customHeight="1" x14ac:dyDescent="0.25">
      <c r="A1093" s="51" t="s">
        <v>1551</v>
      </c>
      <c r="B1093" s="51"/>
      <c r="C1093" s="2">
        <f>SUM(C1094)</f>
        <v>7401600</v>
      </c>
      <c r="D1093" s="2">
        <f t="shared" ref="D1093:U1093" si="608">SUM(D1094)</f>
        <v>7301600</v>
      </c>
      <c r="E1093" s="2">
        <f t="shared" si="608"/>
        <v>0</v>
      </c>
      <c r="F1093" s="2">
        <f t="shared" si="608"/>
        <v>3833340</v>
      </c>
      <c r="G1093" s="2">
        <f t="shared" si="608"/>
        <v>1095240</v>
      </c>
      <c r="H1093" s="2">
        <f t="shared" si="608"/>
        <v>1460320</v>
      </c>
      <c r="I1093" s="2">
        <f t="shared" si="608"/>
        <v>912700</v>
      </c>
      <c r="J1093" s="2">
        <f t="shared" si="608"/>
        <v>0</v>
      </c>
      <c r="K1093" s="14">
        <f t="shared" si="608"/>
        <v>0</v>
      </c>
      <c r="L1093" s="2">
        <f t="shared" si="608"/>
        <v>0</v>
      </c>
      <c r="M1093" s="2">
        <f t="shared" si="608"/>
        <v>0</v>
      </c>
      <c r="N1093" s="2">
        <f t="shared" si="608"/>
        <v>0</v>
      </c>
      <c r="O1093" s="2">
        <f t="shared" si="608"/>
        <v>0</v>
      </c>
      <c r="P1093" s="2">
        <f t="shared" si="608"/>
        <v>0</v>
      </c>
      <c r="Q1093" s="2">
        <f t="shared" si="608"/>
        <v>0</v>
      </c>
      <c r="R1093" s="2">
        <f t="shared" si="608"/>
        <v>0</v>
      </c>
      <c r="S1093" s="2">
        <f t="shared" si="608"/>
        <v>0</v>
      </c>
      <c r="T1093" s="2">
        <f t="shared" si="608"/>
        <v>0</v>
      </c>
      <c r="U1093" s="2">
        <f t="shared" si="608"/>
        <v>100000</v>
      </c>
    </row>
    <row r="1094" spans="1:22" ht="23.1" customHeight="1" x14ac:dyDescent="0.25">
      <c r="A1094" s="40" t="s">
        <v>1658</v>
      </c>
      <c r="B1094" s="8" t="s">
        <v>1552</v>
      </c>
      <c r="C1094" s="2">
        <f t="shared" si="597"/>
        <v>7401600</v>
      </c>
      <c r="D1094" s="3">
        <f t="shared" ref="D1094" si="609">SUM(E1094:J1094)</f>
        <v>7301600</v>
      </c>
      <c r="E1094" s="3">
        <f>350*0</f>
        <v>0</v>
      </c>
      <c r="F1094" s="3">
        <f>1050*3650.8</f>
        <v>3833340</v>
      </c>
      <c r="G1094" s="3">
        <f>300*3650.8</f>
        <v>1095240</v>
      </c>
      <c r="H1094" s="3">
        <f>400*3650.8</f>
        <v>1460320</v>
      </c>
      <c r="I1094" s="3">
        <f>250*3650.8</f>
        <v>912700</v>
      </c>
      <c r="J1094" s="3">
        <v>0</v>
      </c>
      <c r="K1094" s="4">
        <v>0</v>
      </c>
      <c r="L1094" s="3">
        <v>0</v>
      </c>
      <c r="M1094" s="3">
        <v>0</v>
      </c>
      <c r="N1094" s="3">
        <v>0</v>
      </c>
      <c r="O1094" s="3">
        <v>0</v>
      </c>
      <c r="P1094" s="3">
        <v>0</v>
      </c>
      <c r="Q1094" s="3">
        <v>0</v>
      </c>
      <c r="R1094" s="3">
        <v>0</v>
      </c>
      <c r="S1094" s="3">
        <v>0</v>
      </c>
      <c r="T1094" s="3">
        <v>0</v>
      </c>
      <c r="U1094" s="3">
        <v>100000</v>
      </c>
      <c r="V1094" s="6" t="e">
        <f t="shared" ref="V1094" si="610">N1094/M1094</f>
        <v>#DIV/0!</v>
      </c>
    </row>
    <row r="1095" spans="1:22" ht="42.95" customHeight="1" x14ac:dyDescent="0.25">
      <c r="A1095" s="51" t="s">
        <v>284</v>
      </c>
      <c r="B1095" s="51"/>
      <c r="C1095" s="2">
        <f>SUM(C1096)</f>
        <v>3956730</v>
      </c>
      <c r="D1095" s="2">
        <f t="shared" ref="D1095:U1095" si="611">SUM(D1096)</f>
        <v>887830</v>
      </c>
      <c r="E1095" s="2">
        <f t="shared" si="611"/>
        <v>132230</v>
      </c>
      <c r="F1095" s="2">
        <f t="shared" si="611"/>
        <v>396690</v>
      </c>
      <c r="G1095" s="2">
        <f t="shared" si="611"/>
        <v>113340</v>
      </c>
      <c r="H1095" s="2">
        <f t="shared" si="611"/>
        <v>151120</v>
      </c>
      <c r="I1095" s="2">
        <f t="shared" si="611"/>
        <v>94450</v>
      </c>
      <c r="J1095" s="2">
        <f t="shared" si="611"/>
        <v>0</v>
      </c>
      <c r="K1095" s="14">
        <f t="shared" si="611"/>
        <v>0</v>
      </c>
      <c r="L1095" s="2">
        <f t="shared" si="611"/>
        <v>0</v>
      </c>
      <c r="M1095" s="2">
        <f t="shared" si="611"/>
        <v>377.8</v>
      </c>
      <c r="N1095" s="2">
        <f t="shared" si="611"/>
        <v>2077900</v>
      </c>
      <c r="O1095" s="2">
        <f t="shared" si="611"/>
        <v>0</v>
      </c>
      <c r="P1095" s="2">
        <f t="shared" si="611"/>
        <v>0</v>
      </c>
      <c r="Q1095" s="2">
        <f t="shared" si="611"/>
        <v>297</v>
      </c>
      <c r="R1095" s="2">
        <f t="shared" si="611"/>
        <v>891000</v>
      </c>
      <c r="S1095" s="2">
        <f t="shared" si="611"/>
        <v>0</v>
      </c>
      <c r="T1095" s="2">
        <f t="shared" si="611"/>
        <v>0</v>
      </c>
      <c r="U1095" s="2">
        <f t="shared" si="611"/>
        <v>100000</v>
      </c>
      <c r="V1095" s="18">
        <f>C1095</f>
        <v>3956730</v>
      </c>
    </row>
    <row r="1096" spans="1:22" ht="23.1" customHeight="1" x14ac:dyDescent="0.25">
      <c r="A1096" s="40" t="s">
        <v>1659</v>
      </c>
      <c r="B1096" s="8" t="s">
        <v>285</v>
      </c>
      <c r="C1096" s="2">
        <f t="shared" si="597"/>
        <v>3956730</v>
      </c>
      <c r="D1096" s="3">
        <f t="shared" ref="D1096" si="612">SUM(E1096:J1096)</f>
        <v>887830</v>
      </c>
      <c r="E1096" s="3">
        <f>350*377.8</f>
        <v>132230</v>
      </c>
      <c r="F1096" s="3">
        <f>1050*377.8</f>
        <v>396690</v>
      </c>
      <c r="G1096" s="3">
        <f>300*377.8</f>
        <v>113340</v>
      </c>
      <c r="H1096" s="3">
        <f>400*377.8</f>
        <v>151120</v>
      </c>
      <c r="I1096" s="3">
        <f>250*377.8</f>
        <v>94450</v>
      </c>
      <c r="J1096" s="3">
        <v>0</v>
      </c>
      <c r="K1096" s="4">
        <v>0</v>
      </c>
      <c r="L1096" s="3">
        <v>0</v>
      </c>
      <c r="M1096" s="3">
        <v>377.8</v>
      </c>
      <c r="N1096" s="3">
        <f t="shared" ref="N1096" si="613">M1096*5500</f>
        <v>2077900</v>
      </c>
      <c r="O1096" s="3">
        <v>0</v>
      </c>
      <c r="P1096" s="3">
        <v>0</v>
      </c>
      <c r="Q1096" s="3">
        <v>297</v>
      </c>
      <c r="R1096" s="3">
        <f t="shared" ref="R1096" si="614">Q1096*3000</f>
        <v>891000</v>
      </c>
      <c r="S1096" s="3">
        <v>0</v>
      </c>
      <c r="T1096" s="3">
        <v>0</v>
      </c>
      <c r="U1096" s="3">
        <v>100000</v>
      </c>
      <c r="V1096" s="6">
        <f t="shared" ref="V1096" si="615">N1096/M1096</f>
        <v>5500</v>
      </c>
    </row>
    <row r="1097" spans="1:22" ht="42.95" customHeight="1" x14ac:dyDescent="0.25">
      <c r="A1097" s="51" t="s">
        <v>286</v>
      </c>
      <c r="B1097" s="51"/>
      <c r="C1097" s="2">
        <f>SUM(C1098:C1100)</f>
        <v>6966975</v>
      </c>
      <c r="D1097" s="2">
        <f t="shared" ref="D1097:U1097" si="616">SUM(D1098:D1100)</f>
        <v>992875</v>
      </c>
      <c r="E1097" s="2">
        <f t="shared" si="616"/>
        <v>147875</v>
      </c>
      <c r="F1097" s="2">
        <f t="shared" si="616"/>
        <v>443625</v>
      </c>
      <c r="G1097" s="2">
        <f t="shared" si="616"/>
        <v>126750</v>
      </c>
      <c r="H1097" s="2">
        <f t="shared" si="616"/>
        <v>169000</v>
      </c>
      <c r="I1097" s="2">
        <f t="shared" si="616"/>
        <v>105625</v>
      </c>
      <c r="J1097" s="2">
        <f t="shared" si="616"/>
        <v>0</v>
      </c>
      <c r="K1097" s="14">
        <f t="shared" si="616"/>
        <v>0</v>
      </c>
      <c r="L1097" s="2">
        <f t="shared" si="616"/>
        <v>0</v>
      </c>
      <c r="M1097" s="2">
        <f t="shared" si="616"/>
        <v>866.2</v>
      </c>
      <c r="N1097" s="2">
        <f t="shared" si="616"/>
        <v>4764100</v>
      </c>
      <c r="O1097" s="2">
        <f t="shared" si="616"/>
        <v>0</v>
      </c>
      <c r="P1097" s="2">
        <f t="shared" si="616"/>
        <v>0</v>
      </c>
      <c r="Q1097" s="2">
        <f t="shared" si="616"/>
        <v>370</v>
      </c>
      <c r="R1097" s="2">
        <f t="shared" si="616"/>
        <v>1110000</v>
      </c>
      <c r="S1097" s="2">
        <f t="shared" si="616"/>
        <v>0</v>
      </c>
      <c r="T1097" s="2">
        <f t="shared" si="616"/>
        <v>0</v>
      </c>
      <c r="U1097" s="2">
        <f t="shared" si="616"/>
        <v>100000</v>
      </c>
    </row>
    <row r="1098" spans="1:22" ht="23.1" customHeight="1" x14ac:dyDescent="0.25">
      <c r="A1098" s="40" t="s">
        <v>1683</v>
      </c>
      <c r="B1098" s="8" t="s">
        <v>308</v>
      </c>
      <c r="C1098" s="2">
        <f t="shared" si="597"/>
        <v>1574100</v>
      </c>
      <c r="D1098" s="3">
        <f t="shared" ref="D1098:D1100" si="617">SUM(E1098:J1098)</f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4">
        <v>0</v>
      </c>
      <c r="L1098" s="3">
        <v>0</v>
      </c>
      <c r="M1098" s="3">
        <v>286.2</v>
      </c>
      <c r="N1098" s="3">
        <f t="shared" ref="N1098:N1100" si="618">M1098*5500</f>
        <v>1574100</v>
      </c>
      <c r="O1098" s="3">
        <v>0</v>
      </c>
      <c r="P1098" s="3">
        <v>0</v>
      </c>
      <c r="Q1098" s="3">
        <v>0</v>
      </c>
      <c r="R1098" s="3">
        <f t="shared" ref="R1098:R1100" si="619">Q1098*3000</f>
        <v>0</v>
      </c>
      <c r="S1098" s="3">
        <v>0</v>
      </c>
      <c r="T1098" s="3">
        <v>0</v>
      </c>
      <c r="U1098" s="3">
        <v>0</v>
      </c>
      <c r="V1098" s="6">
        <f t="shared" ref="V1098:V1100" si="620">N1098/M1098</f>
        <v>5500</v>
      </c>
    </row>
    <row r="1099" spans="1:22" ht="23.1" customHeight="1" x14ac:dyDescent="0.25">
      <c r="A1099" s="40" t="s">
        <v>1682</v>
      </c>
      <c r="B1099" s="8" t="s">
        <v>834</v>
      </c>
      <c r="C1099" s="2">
        <f t="shared" si="597"/>
        <v>3797875</v>
      </c>
      <c r="D1099" s="3">
        <f t="shared" si="617"/>
        <v>992875</v>
      </c>
      <c r="E1099" s="3">
        <f>350*422.5</f>
        <v>147875</v>
      </c>
      <c r="F1099" s="3">
        <f>1050*422.5</f>
        <v>443625</v>
      </c>
      <c r="G1099" s="3">
        <f>300*422.5</f>
        <v>126750</v>
      </c>
      <c r="H1099" s="3">
        <f>400*422.5</f>
        <v>169000</v>
      </c>
      <c r="I1099" s="3">
        <f>250*422.5</f>
        <v>105625</v>
      </c>
      <c r="J1099" s="3">
        <v>0</v>
      </c>
      <c r="K1099" s="4">
        <v>0</v>
      </c>
      <c r="L1099" s="3">
        <v>0</v>
      </c>
      <c r="M1099" s="3">
        <v>290</v>
      </c>
      <c r="N1099" s="3">
        <f t="shared" si="618"/>
        <v>1595000</v>
      </c>
      <c r="O1099" s="3">
        <v>0</v>
      </c>
      <c r="P1099" s="3">
        <v>0</v>
      </c>
      <c r="Q1099" s="3">
        <v>370</v>
      </c>
      <c r="R1099" s="3">
        <f t="shared" si="619"/>
        <v>1110000</v>
      </c>
      <c r="S1099" s="3">
        <v>0</v>
      </c>
      <c r="T1099" s="3">
        <v>0</v>
      </c>
      <c r="U1099" s="3">
        <v>100000</v>
      </c>
      <c r="V1099" s="6">
        <f t="shared" si="620"/>
        <v>5500</v>
      </c>
    </row>
    <row r="1100" spans="1:22" ht="23.1" customHeight="1" x14ac:dyDescent="0.25">
      <c r="A1100" s="40" t="s">
        <v>1681</v>
      </c>
      <c r="B1100" s="8" t="s">
        <v>835</v>
      </c>
      <c r="C1100" s="2">
        <f t="shared" si="597"/>
        <v>1595000</v>
      </c>
      <c r="D1100" s="3">
        <f t="shared" si="617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4">
        <v>0</v>
      </c>
      <c r="L1100" s="3">
        <v>0</v>
      </c>
      <c r="M1100" s="3">
        <v>290</v>
      </c>
      <c r="N1100" s="3">
        <f t="shared" si="618"/>
        <v>1595000</v>
      </c>
      <c r="O1100" s="3">
        <v>0</v>
      </c>
      <c r="P1100" s="3">
        <v>0</v>
      </c>
      <c r="Q1100" s="3">
        <v>0</v>
      </c>
      <c r="R1100" s="3">
        <f t="shared" si="619"/>
        <v>0</v>
      </c>
      <c r="S1100" s="3">
        <v>0</v>
      </c>
      <c r="T1100" s="3">
        <v>0</v>
      </c>
      <c r="U1100" s="3">
        <v>0</v>
      </c>
      <c r="V1100" s="6">
        <f t="shared" si="620"/>
        <v>5500</v>
      </c>
    </row>
    <row r="1101" spans="1:22" ht="42.95" customHeight="1" x14ac:dyDescent="0.25">
      <c r="A1101" s="51" t="s">
        <v>291</v>
      </c>
      <c r="B1101" s="51"/>
      <c r="C1101" s="2">
        <f>SUM(C1102:C1103)</f>
        <v>9376875</v>
      </c>
      <c r="D1101" s="2">
        <f t="shared" ref="D1101:U1101" si="621">SUM(D1102:D1103)</f>
        <v>992875</v>
      </c>
      <c r="E1101" s="2">
        <f t="shared" si="621"/>
        <v>147875</v>
      </c>
      <c r="F1101" s="2">
        <f t="shared" si="621"/>
        <v>443625</v>
      </c>
      <c r="G1101" s="2">
        <f t="shared" si="621"/>
        <v>126750</v>
      </c>
      <c r="H1101" s="2">
        <f t="shared" si="621"/>
        <v>169000</v>
      </c>
      <c r="I1101" s="2">
        <f t="shared" si="621"/>
        <v>105625</v>
      </c>
      <c r="J1101" s="2">
        <f t="shared" si="621"/>
        <v>0</v>
      </c>
      <c r="K1101" s="14">
        <f t="shared" si="621"/>
        <v>0</v>
      </c>
      <c r="L1101" s="2">
        <f t="shared" si="621"/>
        <v>0</v>
      </c>
      <c r="M1101" s="2">
        <f t="shared" si="621"/>
        <v>622</v>
      </c>
      <c r="N1101" s="2">
        <f t="shared" si="621"/>
        <v>3421000</v>
      </c>
      <c r="O1101" s="2">
        <f t="shared" si="621"/>
        <v>0</v>
      </c>
      <c r="P1101" s="2">
        <f t="shared" si="621"/>
        <v>0</v>
      </c>
      <c r="Q1101" s="2">
        <f t="shared" si="621"/>
        <v>1621</v>
      </c>
      <c r="R1101" s="2">
        <f t="shared" si="621"/>
        <v>4863000</v>
      </c>
      <c r="S1101" s="2">
        <f t="shared" si="621"/>
        <v>0</v>
      </c>
      <c r="T1101" s="2">
        <f t="shared" si="621"/>
        <v>0</v>
      </c>
      <c r="U1101" s="2">
        <f t="shared" si="621"/>
        <v>100000</v>
      </c>
    </row>
    <row r="1102" spans="1:22" ht="24.95" customHeight="1" x14ac:dyDescent="0.25">
      <c r="A1102" s="40" t="s">
        <v>1680</v>
      </c>
      <c r="B1102" s="8" t="s">
        <v>294</v>
      </c>
      <c r="C1102" s="2">
        <f t="shared" si="597"/>
        <v>4113000</v>
      </c>
      <c r="D1102" s="3">
        <f t="shared" ref="D1102:D1103" si="622">SUM(E1102:J1102)</f>
        <v>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4">
        <v>0</v>
      </c>
      <c r="L1102" s="3">
        <v>0</v>
      </c>
      <c r="M1102" s="3">
        <v>300</v>
      </c>
      <c r="N1102" s="3">
        <f t="shared" ref="N1102:N1103" si="623">M1102*5500</f>
        <v>1650000</v>
      </c>
      <c r="O1102" s="3">
        <v>0</v>
      </c>
      <c r="P1102" s="3">
        <v>0</v>
      </c>
      <c r="Q1102" s="3">
        <v>821</v>
      </c>
      <c r="R1102" s="3">
        <f t="shared" ref="R1102:R1103" si="624">Q1102*3000</f>
        <v>2463000</v>
      </c>
      <c r="S1102" s="3">
        <v>0</v>
      </c>
      <c r="T1102" s="3">
        <v>0</v>
      </c>
      <c r="U1102" s="3">
        <v>0</v>
      </c>
      <c r="V1102" s="6">
        <f t="shared" ref="V1102:V1103" si="625">N1102/M1102</f>
        <v>5500</v>
      </c>
    </row>
    <row r="1103" spans="1:22" ht="24.95" customHeight="1" x14ac:dyDescent="0.25">
      <c r="A1103" s="40" t="s">
        <v>1679</v>
      </c>
      <c r="B1103" s="8" t="s">
        <v>295</v>
      </c>
      <c r="C1103" s="2">
        <f t="shared" si="597"/>
        <v>5263875</v>
      </c>
      <c r="D1103" s="3">
        <f t="shared" si="622"/>
        <v>992875</v>
      </c>
      <c r="E1103" s="3">
        <f>350*422.5</f>
        <v>147875</v>
      </c>
      <c r="F1103" s="3">
        <f>1050*422.5</f>
        <v>443625</v>
      </c>
      <c r="G1103" s="3">
        <f>300*422.5</f>
        <v>126750</v>
      </c>
      <c r="H1103" s="3">
        <f>400*422.5</f>
        <v>169000</v>
      </c>
      <c r="I1103" s="3">
        <f>250*422.5</f>
        <v>105625</v>
      </c>
      <c r="J1103" s="3">
        <v>0</v>
      </c>
      <c r="K1103" s="4">
        <v>0</v>
      </c>
      <c r="L1103" s="3">
        <v>0</v>
      </c>
      <c r="M1103" s="3">
        <v>322</v>
      </c>
      <c r="N1103" s="3">
        <f t="shared" si="623"/>
        <v>1771000</v>
      </c>
      <c r="O1103" s="3">
        <v>0</v>
      </c>
      <c r="P1103" s="3">
        <v>0</v>
      </c>
      <c r="Q1103" s="3">
        <v>800</v>
      </c>
      <c r="R1103" s="3">
        <f t="shared" si="624"/>
        <v>2400000</v>
      </c>
      <c r="S1103" s="3">
        <v>0</v>
      </c>
      <c r="T1103" s="3">
        <v>0</v>
      </c>
      <c r="U1103" s="3">
        <v>100000</v>
      </c>
      <c r="V1103" s="6">
        <f t="shared" si="625"/>
        <v>5500</v>
      </c>
    </row>
    <row r="1104" spans="1:22" ht="42.95" customHeight="1" x14ac:dyDescent="0.25">
      <c r="A1104" s="51" t="s">
        <v>314</v>
      </c>
      <c r="B1104" s="51"/>
      <c r="C1104" s="2">
        <f>SUM(C1105:C1106)</f>
        <v>6682100</v>
      </c>
      <c r="D1104" s="2">
        <f t="shared" ref="D1104:U1104" si="626">SUM(D1105:D1106)</f>
        <v>267400</v>
      </c>
      <c r="E1104" s="2">
        <f t="shared" si="626"/>
        <v>267400</v>
      </c>
      <c r="F1104" s="2">
        <f t="shared" si="626"/>
        <v>0</v>
      </c>
      <c r="G1104" s="2">
        <f t="shared" si="626"/>
        <v>0</v>
      </c>
      <c r="H1104" s="2">
        <f t="shared" si="626"/>
        <v>0</v>
      </c>
      <c r="I1104" s="2">
        <f t="shared" si="626"/>
        <v>0</v>
      </c>
      <c r="J1104" s="2">
        <f t="shared" si="626"/>
        <v>0</v>
      </c>
      <c r="K1104" s="14">
        <f t="shared" si="626"/>
        <v>0</v>
      </c>
      <c r="L1104" s="2">
        <f t="shared" si="626"/>
        <v>0</v>
      </c>
      <c r="M1104" s="2">
        <f t="shared" si="626"/>
        <v>608</v>
      </c>
      <c r="N1104" s="2">
        <f t="shared" si="626"/>
        <v>3344000</v>
      </c>
      <c r="O1104" s="2">
        <f t="shared" si="626"/>
        <v>0</v>
      </c>
      <c r="P1104" s="2">
        <f t="shared" si="626"/>
        <v>0</v>
      </c>
      <c r="Q1104" s="2">
        <f t="shared" si="626"/>
        <v>882</v>
      </c>
      <c r="R1104" s="2">
        <f t="shared" si="626"/>
        <v>2646000</v>
      </c>
      <c r="S1104" s="2">
        <f t="shared" si="626"/>
        <v>224700</v>
      </c>
      <c r="T1104" s="2">
        <f t="shared" si="626"/>
        <v>0</v>
      </c>
      <c r="U1104" s="2">
        <f t="shared" si="626"/>
        <v>200000</v>
      </c>
    </row>
    <row r="1105" spans="1:22" ht="24.95" customHeight="1" x14ac:dyDescent="0.25">
      <c r="A1105" s="39" t="s">
        <v>1678</v>
      </c>
      <c r="B1105" s="8" t="s">
        <v>317</v>
      </c>
      <c r="C1105" s="2">
        <f t="shared" si="597"/>
        <v>3156300</v>
      </c>
      <c r="D1105" s="3">
        <f t="shared" ref="D1105:D1106" si="627">SUM(E1105:J1105)</f>
        <v>107800</v>
      </c>
      <c r="E1105" s="5">
        <f>308*350</f>
        <v>107800</v>
      </c>
      <c r="F1105" s="5">
        <v>0</v>
      </c>
      <c r="G1105" s="5">
        <v>0</v>
      </c>
      <c r="H1105" s="5">
        <v>0</v>
      </c>
      <c r="I1105" s="5">
        <v>0</v>
      </c>
      <c r="J1105" s="5">
        <v>0</v>
      </c>
      <c r="K1105" s="11">
        <v>0</v>
      </c>
      <c r="L1105" s="5">
        <v>0</v>
      </c>
      <c r="M1105" s="5">
        <v>280</v>
      </c>
      <c r="N1105" s="3">
        <f t="shared" ref="N1105:N1106" si="628">M1105*5500</f>
        <v>1540000</v>
      </c>
      <c r="O1105" s="5">
        <v>0</v>
      </c>
      <c r="P1105" s="5">
        <v>0</v>
      </c>
      <c r="Q1105" s="5">
        <v>431</v>
      </c>
      <c r="R1105" s="3">
        <f t="shared" ref="R1105:R1106" si="629">Q1105*3000</f>
        <v>1293000</v>
      </c>
      <c r="S1105" s="5">
        <v>115500</v>
      </c>
      <c r="T1105" s="5">
        <v>0</v>
      </c>
      <c r="U1105" s="5">
        <v>100000</v>
      </c>
      <c r="V1105" s="6">
        <f t="shared" ref="V1105" si="630">N1105/M1105</f>
        <v>5500</v>
      </c>
    </row>
    <row r="1106" spans="1:22" ht="24.95" customHeight="1" x14ac:dyDescent="0.25">
      <c r="A1106" s="39" t="s">
        <v>1677</v>
      </c>
      <c r="B1106" s="8" t="s">
        <v>319</v>
      </c>
      <c r="C1106" s="2">
        <f t="shared" si="597"/>
        <v>3525800</v>
      </c>
      <c r="D1106" s="3">
        <f t="shared" si="627"/>
        <v>159600</v>
      </c>
      <c r="E1106" s="5">
        <f>456*350</f>
        <v>159600</v>
      </c>
      <c r="F1106" s="5">
        <v>0</v>
      </c>
      <c r="G1106" s="5">
        <v>0</v>
      </c>
      <c r="H1106" s="5">
        <v>0</v>
      </c>
      <c r="I1106" s="5">
        <v>0</v>
      </c>
      <c r="J1106" s="5">
        <v>0</v>
      </c>
      <c r="K1106" s="11">
        <v>0</v>
      </c>
      <c r="L1106" s="5">
        <v>0</v>
      </c>
      <c r="M1106" s="5">
        <v>328</v>
      </c>
      <c r="N1106" s="3">
        <f t="shared" si="628"/>
        <v>1804000</v>
      </c>
      <c r="O1106" s="5">
        <v>0</v>
      </c>
      <c r="P1106" s="5">
        <v>0</v>
      </c>
      <c r="Q1106" s="5">
        <v>451</v>
      </c>
      <c r="R1106" s="3">
        <f t="shared" si="629"/>
        <v>1353000</v>
      </c>
      <c r="S1106" s="5">
        <v>109200</v>
      </c>
      <c r="T1106" s="5">
        <v>0</v>
      </c>
      <c r="U1106" s="5">
        <v>100000</v>
      </c>
      <c r="V1106" s="6">
        <f>N1106/M1106</f>
        <v>5500</v>
      </c>
    </row>
    <row r="1107" spans="1:22" ht="42.95" customHeight="1" x14ac:dyDescent="0.25">
      <c r="A1107" s="51" t="s">
        <v>320</v>
      </c>
      <c r="B1107" s="51"/>
      <c r="C1107" s="2">
        <f>SUM(C1108)</f>
        <v>2700450</v>
      </c>
      <c r="D1107" s="2">
        <f t="shared" ref="D1107:U1107" si="631">SUM(D1108)</f>
        <v>0</v>
      </c>
      <c r="E1107" s="2">
        <f t="shared" si="631"/>
        <v>0</v>
      </c>
      <c r="F1107" s="2">
        <f t="shared" si="631"/>
        <v>0</v>
      </c>
      <c r="G1107" s="2">
        <f t="shared" si="631"/>
        <v>0</v>
      </c>
      <c r="H1107" s="2">
        <f t="shared" si="631"/>
        <v>0</v>
      </c>
      <c r="I1107" s="2">
        <f t="shared" si="631"/>
        <v>0</v>
      </c>
      <c r="J1107" s="2">
        <f t="shared" si="631"/>
        <v>0</v>
      </c>
      <c r="K1107" s="14">
        <f t="shared" si="631"/>
        <v>0</v>
      </c>
      <c r="L1107" s="2">
        <f t="shared" si="631"/>
        <v>0</v>
      </c>
      <c r="M1107" s="2">
        <f t="shared" si="631"/>
        <v>321.89999999999998</v>
      </c>
      <c r="N1107" s="2">
        <f t="shared" si="631"/>
        <v>1770449.9999999998</v>
      </c>
      <c r="O1107" s="2">
        <f t="shared" si="631"/>
        <v>0</v>
      </c>
      <c r="P1107" s="2">
        <f t="shared" si="631"/>
        <v>0</v>
      </c>
      <c r="Q1107" s="2">
        <f t="shared" si="631"/>
        <v>310</v>
      </c>
      <c r="R1107" s="2">
        <f t="shared" si="631"/>
        <v>930000</v>
      </c>
      <c r="S1107" s="2">
        <f t="shared" si="631"/>
        <v>0</v>
      </c>
      <c r="T1107" s="2">
        <f t="shared" si="631"/>
        <v>0</v>
      </c>
      <c r="U1107" s="2">
        <f t="shared" si="631"/>
        <v>0</v>
      </c>
      <c r="V1107" s="18">
        <f>C1107</f>
        <v>2700450</v>
      </c>
    </row>
    <row r="1108" spans="1:22" ht="24.95" customHeight="1" x14ac:dyDescent="0.25">
      <c r="A1108" s="39" t="s">
        <v>1676</v>
      </c>
      <c r="B1108" s="8" t="s">
        <v>321</v>
      </c>
      <c r="C1108" s="2">
        <f t="shared" si="597"/>
        <v>2700450</v>
      </c>
      <c r="D1108" s="3">
        <f t="shared" ref="D1108" si="632">SUM(E1108:J1108)</f>
        <v>0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4">
        <v>0</v>
      </c>
      <c r="L1108" s="3">
        <v>0</v>
      </c>
      <c r="M1108" s="3">
        <v>321.89999999999998</v>
      </c>
      <c r="N1108" s="3">
        <f>M1108*5500</f>
        <v>1770449.9999999998</v>
      </c>
      <c r="O1108" s="3">
        <v>0</v>
      </c>
      <c r="P1108" s="3">
        <v>0</v>
      </c>
      <c r="Q1108" s="45">
        <v>310</v>
      </c>
      <c r="R1108" s="3">
        <f>Q1108*3000</f>
        <v>930000</v>
      </c>
      <c r="S1108" s="3">
        <v>0</v>
      </c>
      <c r="T1108" s="3">
        <v>0</v>
      </c>
      <c r="U1108" s="3">
        <v>0</v>
      </c>
      <c r="V1108" s="6">
        <f t="shared" ref="V1108" si="633">N1108/M1108</f>
        <v>5500</v>
      </c>
    </row>
    <row r="1109" spans="1:22" ht="42.95" customHeight="1" x14ac:dyDescent="0.25">
      <c r="A1109" s="51" t="s">
        <v>1166</v>
      </c>
      <c r="B1109" s="51"/>
      <c r="C1109" s="2">
        <f>SUM(C1110)</f>
        <v>3799150</v>
      </c>
      <c r="D1109" s="2">
        <f t="shared" ref="D1109:U1109" si="634">SUM(D1110)</f>
        <v>3699150</v>
      </c>
      <c r="E1109" s="2">
        <f t="shared" si="634"/>
        <v>663950</v>
      </c>
      <c r="F1109" s="2">
        <f t="shared" si="634"/>
        <v>1991850</v>
      </c>
      <c r="G1109" s="2">
        <f t="shared" si="634"/>
        <v>569100</v>
      </c>
      <c r="H1109" s="2">
        <f t="shared" si="634"/>
        <v>0</v>
      </c>
      <c r="I1109" s="2">
        <f t="shared" si="634"/>
        <v>474250</v>
      </c>
      <c r="J1109" s="2">
        <f t="shared" si="634"/>
        <v>0</v>
      </c>
      <c r="K1109" s="14">
        <f t="shared" si="634"/>
        <v>0</v>
      </c>
      <c r="L1109" s="2">
        <f t="shared" si="634"/>
        <v>0</v>
      </c>
      <c r="M1109" s="2">
        <f t="shared" si="634"/>
        <v>0</v>
      </c>
      <c r="N1109" s="2">
        <f t="shared" si="634"/>
        <v>0</v>
      </c>
      <c r="O1109" s="2">
        <f t="shared" si="634"/>
        <v>0</v>
      </c>
      <c r="P1109" s="2">
        <f t="shared" si="634"/>
        <v>0</v>
      </c>
      <c r="Q1109" s="2">
        <f t="shared" si="634"/>
        <v>0</v>
      </c>
      <c r="R1109" s="2">
        <f t="shared" si="634"/>
        <v>0</v>
      </c>
      <c r="S1109" s="2">
        <f t="shared" si="634"/>
        <v>0</v>
      </c>
      <c r="T1109" s="2">
        <f t="shared" si="634"/>
        <v>0</v>
      </c>
      <c r="U1109" s="2">
        <f t="shared" si="634"/>
        <v>100000</v>
      </c>
      <c r="V1109" s="18">
        <f>C1109</f>
        <v>3799150</v>
      </c>
    </row>
    <row r="1110" spans="1:22" ht="24.95" customHeight="1" x14ac:dyDescent="0.25">
      <c r="A1110" s="40" t="s">
        <v>1675</v>
      </c>
      <c r="B1110" s="8" t="s">
        <v>324</v>
      </c>
      <c r="C1110" s="2">
        <f t="shared" si="597"/>
        <v>3799150</v>
      </c>
      <c r="D1110" s="3">
        <f t="shared" ref="D1110" si="635">SUM(E1110:J1110)</f>
        <v>3699150</v>
      </c>
      <c r="E1110" s="3">
        <f>350*1897</f>
        <v>663950</v>
      </c>
      <c r="F1110" s="3">
        <f>1050*1897</f>
        <v>1991850</v>
      </c>
      <c r="G1110" s="3">
        <f>300*1897</f>
        <v>569100</v>
      </c>
      <c r="H1110" s="3">
        <f>400*0</f>
        <v>0</v>
      </c>
      <c r="I1110" s="3">
        <f>250*1897</f>
        <v>474250</v>
      </c>
      <c r="J1110" s="3">
        <v>0</v>
      </c>
      <c r="K1110" s="4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  <c r="R1110" s="3">
        <v>0</v>
      </c>
      <c r="S1110" s="3">
        <v>0</v>
      </c>
      <c r="T1110" s="3">
        <v>0</v>
      </c>
      <c r="U1110" s="3">
        <v>100000</v>
      </c>
      <c r="V1110" s="6" t="e">
        <f t="shared" ref="V1110" si="636">N1110/M1110</f>
        <v>#DIV/0!</v>
      </c>
    </row>
    <row r="1111" spans="1:22" ht="42.95" customHeight="1" x14ac:dyDescent="0.25">
      <c r="A1111" s="51" t="s">
        <v>1165</v>
      </c>
      <c r="B1111" s="51"/>
      <c r="C1111" s="2">
        <f>SUM(C1112)</f>
        <v>2248490</v>
      </c>
      <c r="D1111" s="2">
        <f t="shared" ref="D1111:U1111" si="637">SUM(D1112)</f>
        <v>121589.99999999999</v>
      </c>
      <c r="E1111" s="2">
        <f t="shared" si="637"/>
        <v>121589.99999999999</v>
      </c>
      <c r="F1111" s="2">
        <f t="shared" si="637"/>
        <v>0</v>
      </c>
      <c r="G1111" s="2">
        <f t="shared" si="637"/>
        <v>0</v>
      </c>
      <c r="H1111" s="2">
        <f t="shared" si="637"/>
        <v>0</v>
      </c>
      <c r="I1111" s="2">
        <f t="shared" si="637"/>
        <v>0</v>
      </c>
      <c r="J1111" s="2">
        <f t="shared" si="637"/>
        <v>0</v>
      </c>
      <c r="K1111" s="14">
        <f t="shared" si="637"/>
        <v>0</v>
      </c>
      <c r="L1111" s="2">
        <f t="shared" si="637"/>
        <v>0</v>
      </c>
      <c r="M1111" s="2">
        <f t="shared" si="637"/>
        <v>235</v>
      </c>
      <c r="N1111" s="2">
        <f t="shared" si="637"/>
        <v>1292500</v>
      </c>
      <c r="O1111" s="2">
        <f t="shared" si="637"/>
        <v>0</v>
      </c>
      <c r="P1111" s="2">
        <f t="shared" si="637"/>
        <v>0</v>
      </c>
      <c r="Q1111" s="2">
        <f t="shared" si="637"/>
        <v>244.8</v>
      </c>
      <c r="R1111" s="2">
        <f t="shared" si="637"/>
        <v>734400</v>
      </c>
      <c r="S1111" s="2">
        <f t="shared" si="637"/>
        <v>0</v>
      </c>
      <c r="T1111" s="2">
        <f t="shared" si="637"/>
        <v>0</v>
      </c>
      <c r="U1111" s="2">
        <f t="shared" si="637"/>
        <v>100000</v>
      </c>
    </row>
    <row r="1112" spans="1:22" ht="24.95" customHeight="1" x14ac:dyDescent="0.25">
      <c r="A1112" s="40" t="s">
        <v>1674</v>
      </c>
      <c r="B1112" s="8" t="s">
        <v>322</v>
      </c>
      <c r="C1112" s="2">
        <f t="shared" ref="C1112:C1137" si="638">D1112+L1112+N1112+P1112+R1112+S1112+T1112+U1112</f>
        <v>2248490</v>
      </c>
      <c r="D1112" s="3">
        <f t="shared" ref="D1112" si="639">SUM(E1112:J1112)</f>
        <v>121589.99999999999</v>
      </c>
      <c r="E1112" s="3">
        <f>350*347.4</f>
        <v>121589.99999999999</v>
      </c>
      <c r="F1112" s="3">
        <f>1050*0</f>
        <v>0</v>
      </c>
      <c r="G1112" s="3">
        <f>300*0</f>
        <v>0</v>
      </c>
      <c r="H1112" s="3">
        <f>400*0</f>
        <v>0</v>
      </c>
      <c r="I1112" s="3">
        <f>250*0</f>
        <v>0</v>
      </c>
      <c r="J1112" s="3">
        <v>0</v>
      </c>
      <c r="K1112" s="4">
        <v>0</v>
      </c>
      <c r="L1112" s="3">
        <v>0</v>
      </c>
      <c r="M1112" s="3">
        <v>235</v>
      </c>
      <c r="N1112" s="3">
        <f>M1112*5500</f>
        <v>1292500</v>
      </c>
      <c r="O1112" s="3">
        <v>0</v>
      </c>
      <c r="P1112" s="3">
        <v>0</v>
      </c>
      <c r="Q1112" s="3">
        <v>244.8</v>
      </c>
      <c r="R1112" s="3">
        <f>Q1112*3000</f>
        <v>734400</v>
      </c>
      <c r="S1112" s="3">
        <v>0</v>
      </c>
      <c r="T1112" s="3">
        <v>0</v>
      </c>
      <c r="U1112" s="3">
        <v>100000</v>
      </c>
      <c r="V1112" s="6">
        <f t="shared" ref="V1112" si="640">N1112/M1112</f>
        <v>5500</v>
      </c>
    </row>
    <row r="1113" spans="1:22" ht="42.95" customHeight="1" x14ac:dyDescent="0.25">
      <c r="A1113" s="51" t="s">
        <v>326</v>
      </c>
      <c r="B1113" s="51"/>
      <c r="C1113" s="2">
        <f>SUM(C1114:C1115)</f>
        <v>9642500</v>
      </c>
      <c r="D1113" s="2">
        <f t="shared" ref="D1113:U1113" si="641">SUM(D1114:D1115)</f>
        <v>0</v>
      </c>
      <c r="E1113" s="2">
        <f t="shared" si="641"/>
        <v>0</v>
      </c>
      <c r="F1113" s="2">
        <f t="shared" si="641"/>
        <v>0</v>
      </c>
      <c r="G1113" s="2">
        <f t="shared" si="641"/>
        <v>0</v>
      </c>
      <c r="H1113" s="2">
        <f t="shared" si="641"/>
        <v>0</v>
      </c>
      <c r="I1113" s="2">
        <f t="shared" si="641"/>
        <v>0</v>
      </c>
      <c r="J1113" s="2">
        <f t="shared" si="641"/>
        <v>0</v>
      </c>
      <c r="K1113" s="14">
        <f t="shared" si="641"/>
        <v>0</v>
      </c>
      <c r="L1113" s="2">
        <f t="shared" si="641"/>
        <v>0</v>
      </c>
      <c r="M1113" s="2">
        <f t="shared" si="641"/>
        <v>1175</v>
      </c>
      <c r="N1113" s="2">
        <f t="shared" si="641"/>
        <v>6462500</v>
      </c>
      <c r="O1113" s="2">
        <f t="shared" si="641"/>
        <v>0</v>
      </c>
      <c r="P1113" s="2">
        <f t="shared" si="641"/>
        <v>0</v>
      </c>
      <c r="Q1113" s="2">
        <f t="shared" si="641"/>
        <v>1060</v>
      </c>
      <c r="R1113" s="2">
        <f t="shared" si="641"/>
        <v>3180000</v>
      </c>
      <c r="S1113" s="2">
        <f t="shared" si="641"/>
        <v>0</v>
      </c>
      <c r="T1113" s="2">
        <f t="shared" si="641"/>
        <v>0</v>
      </c>
      <c r="U1113" s="2">
        <f t="shared" si="641"/>
        <v>0</v>
      </c>
    </row>
    <row r="1114" spans="1:22" ht="23.1" customHeight="1" x14ac:dyDescent="0.25">
      <c r="A1114" s="39" t="s">
        <v>1673</v>
      </c>
      <c r="B1114" s="8" t="s">
        <v>1347</v>
      </c>
      <c r="C1114" s="2">
        <f t="shared" si="638"/>
        <v>8130000</v>
      </c>
      <c r="D1114" s="3">
        <f t="shared" ref="D1114:D1115" si="642">SUM(E1114:J1114)</f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11">
        <v>0</v>
      </c>
      <c r="L1114" s="5">
        <v>0</v>
      </c>
      <c r="M1114" s="5">
        <v>900</v>
      </c>
      <c r="N1114" s="3">
        <f t="shared" ref="N1114:N1115" si="643">M1114*5500</f>
        <v>4950000</v>
      </c>
      <c r="O1114" s="5">
        <v>0</v>
      </c>
      <c r="P1114" s="5">
        <v>0</v>
      </c>
      <c r="Q1114" s="5">
        <v>1060</v>
      </c>
      <c r="R1114" s="3">
        <f>Q1114*3000</f>
        <v>3180000</v>
      </c>
      <c r="S1114" s="5">
        <v>0</v>
      </c>
      <c r="T1114" s="5">
        <v>0</v>
      </c>
      <c r="U1114" s="5">
        <v>0</v>
      </c>
      <c r="V1114" s="6">
        <f t="shared" ref="V1114:V1115" si="644">N1114/M1114</f>
        <v>5500</v>
      </c>
    </row>
    <row r="1115" spans="1:22" ht="23.1" customHeight="1" x14ac:dyDescent="0.25">
      <c r="A1115" s="39" t="s">
        <v>1672</v>
      </c>
      <c r="B1115" s="8" t="s">
        <v>329</v>
      </c>
      <c r="C1115" s="2">
        <f t="shared" si="638"/>
        <v>1512500</v>
      </c>
      <c r="D1115" s="3">
        <f t="shared" si="642"/>
        <v>0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4">
        <v>0</v>
      </c>
      <c r="L1115" s="3">
        <v>0</v>
      </c>
      <c r="M1115" s="3">
        <v>275</v>
      </c>
      <c r="N1115" s="3">
        <f t="shared" si="643"/>
        <v>1512500</v>
      </c>
      <c r="O1115" s="3">
        <v>0</v>
      </c>
      <c r="P1115" s="3">
        <v>0</v>
      </c>
      <c r="Q1115" s="3">
        <v>0</v>
      </c>
      <c r="R1115" s="3">
        <v>0</v>
      </c>
      <c r="S1115" s="3">
        <v>0</v>
      </c>
      <c r="T1115" s="3">
        <v>0</v>
      </c>
      <c r="U1115" s="3">
        <v>0</v>
      </c>
      <c r="V1115" s="6">
        <f t="shared" si="644"/>
        <v>5500</v>
      </c>
    </row>
    <row r="1116" spans="1:22" ht="42.95" customHeight="1" x14ac:dyDescent="0.25">
      <c r="A1116" s="51" t="s">
        <v>333</v>
      </c>
      <c r="B1116" s="51"/>
      <c r="C1116" s="2">
        <f>SUM(C1117)</f>
        <v>2363320</v>
      </c>
      <c r="D1116" s="2">
        <f t="shared" ref="D1116:U1116" si="645">SUM(D1117)</f>
        <v>463320</v>
      </c>
      <c r="E1116" s="2">
        <f t="shared" si="645"/>
        <v>180179.99999999997</v>
      </c>
      <c r="F1116" s="2">
        <f t="shared" si="645"/>
        <v>0</v>
      </c>
      <c r="G1116" s="2">
        <f t="shared" si="645"/>
        <v>154440</v>
      </c>
      <c r="H1116" s="2">
        <f t="shared" si="645"/>
        <v>0</v>
      </c>
      <c r="I1116" s="2">
        <f t="shared" si="645"/>
        <v>128699.99999999999</v>
      </c>
      <c r="J1116" s="2">
        <f t="shared" si="645"/>
        <v>0</v>
      </c>
      <c r="K1116" s="14">
        <f t="shared" si="645"/>
        <v>0</v>
      </c>
      <c r="L1116" s="2">
        <f t="shared" si="645"/>
        <v>0</v>
      </c>
      <c r="M1116" s="2">
        <f t="shared" si="645"/>
        <v>0</v>
      </c>
      <c r="N1116" s="2">
        <f t="shared" si="645"/>
        <v>0</v>
      </c>
      <c r="O1116" s="2">
        <f t="shared" si="645"/>
        <v>0</v>
      </c>
      <c r="P1116" s="2">
        <f t="shared" si="645"/>
        <v>0</v>
      </c>
      <c r="Q1116" s="2">
        <f t="shared" si="645"/>
        <v>600</v>
      </c>
      <c r="R1116" s="2">
        <f t="shared" si="645"/>
        <v>1800000</v>
      </c>
      <c r="S1116" s="2">
        <f t="shared" si="645"/>
        <v>0</v>
      </c>
      <c r="T1116" s="2">
        <f t="shared" si="645"/>
        <v>0</v>
      </c>
      <c r="U1116" s="2">
        <f t="shared" si="645"/>
        <v>100000</v>
      </c>
    </row>
    <row r="1117" spans="1:22" ht="23.1" customHeight="1" x14ac:dyDescent="0.25">
      <c r="A1117" s="39" t="s">
        <v>1671</v>
      </c>
      <c r="B1117" s="8" t="s">
        <v>1554</v>
      </c>
      <c r="C1117" s="2">
        <f t="shared" si="638"/>
        <v>2363320</v>
      </c>
      <c r="D1117" s="3">
        <f t="shared" ref="D1117" si="646">SUM(E1117:J1117)</f>
        <v>463320</v>
      </c>
      <c r="E1117" s="3">
        <f>350*514.8</f>
        <v>180179.99999999997</v>
      </c>
      <c r="F1117" s="3">
        <f>1050*0</f>
        <v>0</v>
      </c>
      <c r="G1117" s="3">
        <f>300*514.8</f>
        <v>154440</v>
      </c>
      <c r="H1117" s="3">
        <f>400*0</f>
        <v>0</v>
      </c>
      <c r="I1117" s="3">
        <f>250*514.8</f>
        <v>128699.99999999999</v>
      </c>
      <c r="J1117" s="3">
        <v>0</v>
      </c>
      <c r="K1117" s="11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600</v>
      </c>
      <c r="R1117" s="3">
        <f>Q1117*3000</f>
        <v>1800000</v>
      </c>
      <c r="S1117" s="5">
        <v>0</v>
      </c>
      <c r="T1117" s="5">
        <v>0</v>
      </c>
      <c r="U1117" s="5">
        <v>100000</v>
      </c>
      <c r="V1117" s="6" t="e">
        <f t="shared" ref="V1117" si="647">N1117/M1117</f>
        <v>#DIV/0!</v>
      </c>
    </row>
    <row r="1118" spans="1:22" ht="45" customHeight="1" x14ac:dyDescent="0.25">
      <c r="A1118" s="51" t="s">
        <v>1637</v>
      </c>
      <c r="B1118" s="51"/>
      <c r="C1118" s="2">
        <f>SUM(C1119:C1130)</f>
        <v>105347320</v>
      </c>
      <c r="D1118" s="2">
        <f t="shared" ref="D1118:U1118" si="648">SUM(D1119:D1130)</f>
        <v>28361470</v>
      </c>
      <c r="E1118" s="2">
        <f t="shared" si="648"/>
        <v>4994710</v>
      </c>
      <c r="F1118" s="2">
        <f t="shared" si="648"/>
        <v>14984130</v>
      </c>
      <c r="G1118" s="2">
        <f t="shared" si="648"/>
        <v>4281180</v>
      </c>
      <c r="H1118" s="2">
        <f t="shared" si="648"/>
        <v>533800</v>
      </c>
      <c r="I1118" s="2">
        <f t="shared" si="648"/>
        <v>3567650</v>
      </c>
      <c r="J1118" s="2">
        <f t="shared" si="648"/>
        <v>0</v>
      </c>
      <c r="K1118" s="14">
        <f t="shared" si="648"/>
        <v>0</v>
      </c>
      <c r="L1118" s="2">
        <f t="shared" si="648"/>
        <v>0</v>
      </c>
      <c r="M1118" s="2">
        <f t="shared" si="648"/>
        <v>7026.6</v>
      </c>
      <c r="N1118" s="2">
        <f t="shared" si="648"/>
        <v>38646300</v>
      </c>
      <c r="O1118" s="2">
        <f t="shared" si="648"/>
        <v>382</v>
      </c>
      <c r="P1118" s="2">
        <f t="shared" si="648"/>
        <v>458400</v>
      </c>
      <c r="Q1118" s="2">
        <f t="shared" si="648"/>
        <v>12134.300000000001</v>
      </c>
      <c r="R1118" s="2">
        <f t="shared" si="648"/>
        <v>36402900</v>
      </c>
      <c r="S1118" s="2">
        <f t="shared" si="648"/>
        <v>278250</v>
      </c>
      <c r="T1118" s="2">
        <f t="shared" si="648"/>
        <v>0</v>
      </c>
      <c r="U1118" s="2">
        <f t="shared" si="648"/>
        <v>1200000</v>
      </c>
    </row>
    <row r="1119" spans="1:22" ht="21.95" customHeight="1" x14ac:dyDescent="0.25">
      <c r="A1119" s="40" t="s">
        <v>1670</v>
      </c>
      <c r="B1119" s="8" t="s">
        <v>364</v>
      </c>
      <c r="C1119" s="2">
        <f>D1119+L1119+N1119+P1119+R1119+S1119+T1119+U1119</f>
        <v>14264480</v>
      </c>
      <c r="D1119" s="3">
        <f>SUM(E1119:J1119)</f>
        <v>4281030</v>
      </c>
      <c r="E1119" s="3">
        <f>350*2195.4</f>
        <v>768390</v>
      </c>
      <c r="F1119" s="3">
        <f>1050*2195.4</f>
        <v>2305170</v>
      </c>
      <c r="G1119" s="3">
        <f>300*2195.4</f>
        <v>658620</v>
      </c>
      <c r="H1119" s="3">
        <f t="shared" ref="H1119:H1125" si="649">400*0</f>
        <v>0</v>
      </c>
      <c r="I1119" s="3">
        <f>250*2195.4</f>
        <v>548850</v>
      </c>
      <c r="J1119" s="3">
        <v>0</v>
      </c>
      <c r="K1119" s="4">
        <v>0</v>
      </c>
      <c r="L1119" s="3">
        <v>0</v>
      </c>
      <c r="M1119" s="3">
        <v>901.9</v>
      </c>
      <c r="N1119" s="3">
        <f>M1119*5500</f>
        <v>4960450</v>
      </c>
      <c r="O1119" s="3">
        <v>0</v>
      </c>
      <c r="P1119" s="3">
        <v>0</v>
      </c>
      <c r="Q1119" s="3">
        <v>1641</v>
      </c>
      <c r="R1119" s="3">
        <f>Q1119*3000</f>
        <v>4923000</v>
      </c>
      <c r="S1119" s="3">
        <v>0</v>
      </c>
      <c r="T1119" s="3">
        <v>0</v>
      </c>
      <c r="U1119" s="3">
        <v>100000</v>
      </c>
      <c r="V1119" s="6">
        <f>N1119/M1119</f>
        <v>5500</v>
      </c>
    </row>
    <row r="1120" spans="1:22" ht="21.95" customHeight="1" x14ac:dyDescent="0.25">
      <c r="A1120" s="40" t="s">
        <v>1669</v>
      </c>
      <c r="B1120" s="8" t="s">
        <v>365</v>
      </c>
      <c r="C1120" s="2">
        <f>D1120+L1120+N1120+P1120+R1120+S1120+T1120+U1120</f>
        <v>14095655</v>
      </c>
      <c r="D1120" s="3">
        <f>SUM(E1120:J1120)</f>
        <v>4165005</v>
      </c>
      <c r="E1120" s="3">
        <f>350*2135.9</f>
        <v>747565</v>
      </c>
      <c r="F1120" s="3">
        <f>1050*2135.9</f>
        <v>2242695</v>
      </c>
      <c r="G1120" s="3">
        <f>300*2135.9</f>
        <v>640770</v>
      </c>
      <c r="H1120" s="3">
        <f t="shared" si="649"/>
        <v>0</v>
      </c>
      <c r="I1120" s="3">
        <f>250*2135.9</f>
        <v>533975</v>
      </c>
      <c r="J1120" s="3">
        <v>0</v>
      </c>
      <c r="K1120" s="4">
        <v>0</v>
      </c>
      <c r="L1120" s="3">
        <v>0</v>
      </c>
      <c r="M1120" s="3">
        <v>892.3</v>
      </c>
      <c r="N1120" s="3">
        <f>M1120*5500</f>
        <v>4907650</v>
      </c>
      <c r="O1120" s="3">
        <v>0</v>
      </c>
      <c r="P1120" s="3">
        <v>0</v>
      </c>
      <c r="Q1120" s="3">
        <v>1641</v>
      </c>
      <c r="R1120" s="3">
        <f>Q1120*3000</f>
        <v>4923000</v>
      </c>
      <c r="S1120" s="3">
        <v>0</v>
      </c>
      <c r="T1120" s="3">
        <v>0</v>
      </c>
      <c r="U1120" s="3">
        <v>100000</v>
      </c>
      <c r="V1120" s="6">
        <f>N1120/M1120</f>
        <v>5500</v>
      </c>
    </row>
    <row r="1121" spans="1:22" ht="21.95" customHeight="1" x14ac:dyDescent="0.25">
      <c r="A1121" s="40" t="s">
        <v>1668</v>
      </c>
      <c r="B1121" s="8" t="s">
        <v>366</v>
      </c>
      <c r="C1121" s="2">
        <f>D1121+L1121+N1121+P1121+R1121+S1121+T1121+U1121</f>
        <v>13662160</v>
      </c>
      <c r="D1121" s="3">
        <f>SUM(E1121:J1121)</f>
        <v>4176510</v>
      </c>
      <c r="E1121" s="3">
        <f>350*2141.8</f>
        <v>749630.00000000012</v>
      </c>
      <c r="F1121" s="3">
        <f>1050*2141.8</f>
        <v>2248890</v>
      </c>
      <c r="G1121" s="3">
        <f>300*2141.8</f>
        <v>642540</v>
      </c>
      <c r="H1121" s="3">
        <f t="shared" si="649"/>
        <v>0</v>
      </c>
      <c r="I1121" s="3">
        <f>250*2141.8</f>
        <v>535450</v>
      </c>
      <c r="J1121" s="3">
        <v>0</v>
      </c>
      <c r="K1121" s="4">
        <v>0</v>
      </c>
      <c r="L1121" s="3">
        <v>0</v>
      </c>
      <c r="M1121" s="3">
        <v>811.5</v>
      </c>
      <c r="N1121" s="3">
        <f>M1121*5500</f>
        <v>4463250</v>
      </c>
      <c r="O1121" s="3">
        <v>0</v>
      </c>
      <c r="P1121" s="3">
        <v>0</v>
      </c>
      <c r="Q1121" s="3">
        <v>1640.8</v>
      </c>
      <c r="R1121" s="3">
        <f>Q1121*3000</f>
        <v>4922400</v>
      </c>
      <c r="S1121" s="3">
        <v>0</v>
      </c>
      <c r="T1121" s="3">
        <v>0</v>
      </c>
      <c r="U1121" s="3">
        <v>100000</v>
      </c>
      <c r="V1121" s="6">
        <f>N1121/M1121</f>
        <v>5500</v>
      </c>
    </row>
    <row r="1122" spans="1:22" ht="21.95" customHeight="1" x14ac:dyDescent="0.25">
      <c r="A1122" s="40" t="s">
        <v>1667</v>
      </c>
      <c r="B1122" s="8" t="s">
        <v>360</v>
      </c>
      <c r="C1122" s="2">
        <f t="shared" si="638"/>
        <v>5099555</v>
      </c>
      <c r="D1122" s="3">
        <f t="shared" ref="D1122:D1130" si="650">SUM(E1122:J1122)</f>
        <v>1582255</v>
      </c>
      <c r="E1122" s="3">
        <f>350*673.3</f>
        <v>235654.99999999997</v>
      </c>
      <c r="F1122" s="3">
        <f>1050*673.3</f>
        <v>706965</v>
      </c>
      <c r="G1122" s="3">
        <f>300*673.3</f>
        <v>201990</v>
      </c>
      <c r="H1122" s="3">
        <f>400*673.3</f>
        <v>269320</v>
      </c>
      <c r="I1122" s="3">
        <f>250*673.3</f>
        <v>168325</v>
      </c>
      <c r="J1122" s="3">
        <v>0</v>
      </c>
      <c r="K1122" s="4">
        <v>0</v>
      </c>
      <c r="L1122" s="3">
        <v>0</v>
      </c>
      <c r="M1122" s="3">
        <v>378.6</v>
      </c>
      <c r="N1122" s="3">
        <f t="shared" ref="N1122:N1124" si="651">M1122*5500</f>
        <v>2082300.0000000002</v>
      </c>
      <c r="O1122" s="3">
        <v>0</v>
      </c>
      <c r="P1122" s="3">
        <v>0</v>
      </c>
      <c r="Q1122" s="3">
        <v>445</v>
      </c>
      <c r="R1122" s="3">
        <f t="shared" ref="R1122:R1130" si="652">Q1122*3000</f>
        <v>1335000</v>
      </c>
      <c r="S1122" s="3">
        <v>0</v>
      </c>
      <c r="T1122" s="3">
        <v>0</v>
      </c>
      <c r="U1122" s="3">
        <v>100000</v>
      </c>
      <c r="V1122" s="6">
        <f t="shared" ref="V1122:V1130" si="653">N1122/M1122</f>
        <v>5500</v>
      </c>
    </row>
    <row r="1123" spans="1:22" ht="21.95" customHeight="1" x14ac:dyDescent="0.25">
      <c r="A1123" s="40" t="s">
        <v>1666</v>
      </c>
      <c r="B1123" s="8" t="s">
        <v>361</v>
      </c>
      <c r="C1123" s="2">
        <f t="shared" si="638"/>
        <v>11272255</v>
      </c>
      <c r="D1123" s="3">
        <f t="shared" si="650"/>
        <v>3642405</v>
      </c>
      <c r="E1123" s="3">
        <f>350*1867.9</f>
        <v>653765</v>
      </c>
      <c r="F1123" s="3">
        <f>1050*1867.9</f>
        <v>1961295</v>
      </c>
      <c r="G1123" s="3">
        <f>300*1867.9</f>
        <v>560370</v>
      </c>
      <c r="H1123" s="3">
        <f t="shared" si="649"/>
        <v>0</v>
      </c>
      <c r="I1123" s="3">
        <f>250*1867.9</f>
        <v>466975</v>
      </c>
      <c r="J1123" s="3">
        <v>0</v>
      </c>
      <c r="K1123" s="4">
        <v>0</v>
      </c>
      <c r="L1123" s="3">
        <v>0</v>
      </c>
      <c r="M1123" s="3">
        <v>794.7</v>
      </c>
      <c r="N1123" s="3">
        <f t="shared" si="651"/>
        <v>4370850</v>
      </c>
      <c r="O1123" s="3">
        <v>0</v>
      </c>
      <c r="P1123" s="3">
        <v>0</v>
      </c>
      <c r="Q1123" s="3">
        <v>1053</v>
      </c>
      <c r="R1123" s="3">
        <f t="shared" si="652"/>
        <v>3159000</v>
      </c>
      <c r="S1123" s="3">
        <v>0</v>
      </c>
      <c r="T1123" s="3">
        <v>0</v>
      </c>
      <c r="U1123" s="3">
        <v>100000</v>
      </c>
      <c r="V1123" s="6">
        <f t="shared" si="653"/>
        <v>5500</v>
      </c>
    </row>
    <row r="1124" spans="1:22" ht="21.95" customHeight="1" x14ac:dyDescent="0.25">
      <c r="A1124" s="40" t="s">
        <v>1665</v>
      </c>
      <c r="B1124" s="8" t="s">
        <v>362</v>
      </c>
      <c r="C1124" s="2">
        <f t="shared" si="638"/>
        <v>8429460</v>
      </c>
      <c r="D1124" s="3">
        <f t="shared" si="650"/>
        <v>1795560</v>
      </c>
      <c r="E1124" s="3">
        <f>350*920.8</f>
        <v>322280</v>
      </c>
      <c r="F1124" s="3">
        <f>1050*920.8</f>
        <v>966840</v>
      </c>
      <c r="G1124" s="3">
        <f>300*920.8</f>
        <v>276240</v>
      </c>
      <c r="H1124" s="3">
        <f t="shared" si="649"/>
        <v>0</v>
      </c>
      <c r="I1124" s="3">
        <f>250*920.8</f>
        <v>230200</v>
      </c>
      <c r="J1124" s="3">
        <v>0</v>
      </c>
      <c r="K1124" s="4">
        <v>0</v>
      </c>
      <c r="L1124" s="3">
        <v>0</v>
      </c>
      <c r="M1124" s="3">
        <v>759.8</v>
      </c>
      <c r="N1124" s="3">
        <f t="shared" si="651"/>
        <v>4178899.9999999995</v>
      </c>
      <c r="O1124" s="3">
        <v>0</v>
      </c>
      <c r="P1124" s="3">
        <v>0</v>
      </c>
      <c r="Q1124" s="3">
        <v>785</v>
      </c>
      <c r="R1124" s="3">
        <f t="shared" si="652"/>
        <v>2355000</v>
      </c>
      <c r="S1124" s="3">
        <v>0</v>
      </c>
      <c r="T1124" s="3">
        <v>0</v>
      </c>
      <c r="U1124" s="3">
        <v>100000</v>
      </c>
      <c r="V1124" s="6">
        <f t="shared" si="653"/>
        <v>5500</v>
      </c>
    </row>
    <row r="1125" spans="1:22" ht="21.95" customHeight="1" x14ac:dyDescent="0.25">
      <c r="A1125" s="40" t="s">
        <v>1664</v>
      </c>
      <c r="B1125" s="8" t="s">
        <v>363</v>
      </c>
      <c r="C1125" s="2">
        <f t="shared" si="638"/>
        <v>4723690</v>
      </c>
      <c r="D1125" s="3">
        <f t="shared" si="650"/>
        <v>1790490</v>
      </c>
      <c r="E1125" s="3">
        <f>350*918.2</f>
        <v>321370</v>
      </c>
      <c r="F1125" s="3">
        <f>1050*918.2</f>
        <v>964110</v>
      </c>
      <c r="G1125" s="3">
        <f>300*918.2</f>
        <v>275460</v>
      </c>
      <c r="H1125" s="3">
        <f t="shared" si="649"/>
        <v>0</v>
      </c>
      <c r="I1125" s="3">
        <f>250*918.2</f>
        <v>229550</v>
      </c>
      <c r="J1125" s="3">
        <v>0</v>
      </c>
      <c r="K1125" s="4">
        <v>0</v>
      </c>
      <c r="L1125" s="3">
        <v>0</v>
      </c>
      <c r="M1125" s="3">
        <v>0</v>
      </c>
      <c r="N1125" s="3">
        <v>0</v>
      </c>
      <c r="O1125" s="3">
        <v>382</v>
      </c>
      <c r="P1125" s="3">
        <v>458400</v>
      </c>
      <c r="Q1125" s="3">
        <v>791.6</v>
      </c>
      <c r="R1125" s="3">
        <f t="shared" si="652"/>
        <v>2374800</v>
      </c>
      <c r="S1125" s="3">
        <v>0</v>
      </c>
      <c r="T1125" s="3">
        <v>0</v>
      </c>
      <c r="U1125" s="3">
        <v>100000</v>
      </c>
      <c r="V1125" s="6" t="e">
        <f t="shared" si="653"/>
        <v>#DIV/0!</v>
      </c>
    </row>
    <row r="1126" spans="1:22" ht="21.95" customHeight="1" x14ac:dyDescent="0.25">
      <c r="A1126" s="40" t="s">
        <v>1663</v>
      </c>
      <c r="B1126" s="8" t="s">
        <v>367</v>
      </c>
      <c r="C1126" s="2">
        <f t="shared" si="638"/>
        <v>8331810</v>
      </c>
      <c r="D1126" s="3">
        <f t="shared" si="650"/>
        <v>1553820</v>
      </c>
      <c r="E1126" s="3">
        <f>350*661.2</f>
        <v>231420.00000000003</v>
      </c>
      <c r="F1126" s="3">
        <f>1050*661.2</f>
        <v>694260</v>
      </c>
      <c r="G1126" s="3">
        <f>300*661.2</f>
        <v>198360</v>
      </c>
      <c r="H1126" s="3">
        <f>400*661.2</f>
        <v>264480</v>
      </c>
      <c r="I1126" s="3">
        <f>250*661.2</f>
        <v>165300</v>
      </c>
      <c r="J1126" s="3">
        <v>0</v>
      </c>
      <c r="K1126" s="4">
        <v>0</v>
      </c>
      <c r="L1126" s="3">
        <v>0</v>
      </c>
      <c r="M1126" s="3">
        <v>560.29999999999995</v>
      </c>
      <c r="N1126" s="3">
        <f t="shared" ref="N1126:N1130" si="654">M1126*5500</f>
        <v>3081649.9999999995</v>
      </c>
      <c r="O1126" s="3">
        <v>0</v>
      </c>
      <c r="P1126" s="3">
        <v>0</v>
      </c>
      <c r="Q1126" s="3">
        <v>1152.3</v>
      </c>
      <c r="R1126" s="3">
        <f t="shared" si="652"/>
        <v>3456900</v>
      </c>
      <c r="S1126" s="3">
        <v>139440</v>
      </c>
      <c r="T1126" s="3">
        <v>0</v>
      </c>
      <c r="U1126" s="3">
        <v>100000</v>
      </c>
      <c r="V1126" s="6">
        <f t="shared" si="653"/>
        <v>5500</v>
      </c>
    </row>
    <row r="1127" spans="1:22" ht="21.95" customHeight="1" x14ac:dyDescent="0.25">
      <c r="A1127" s="40" t="s">
        <v>1662</v>
      </c>
      <c r="B1127" s="8" t="s">
        <v>368</v>
      </c>
      <c r="C1127" s="2">
        <f t="shared" si="638"/>
        <v>8257650</v>
      </c>
      <c r="D1127" s="3">
        <f t="shared" si="650"/>
        <v>1437540</v>
      </c>
      <c r="E1127" s="3">
        <f>350*737.2</f>
        <v>258020.00000000003</v>
      </c>
      <c r="F1127" s="3">
        <f>1050*737.2</f>
        <v>774060</v>
      </c>
      <c r="G1127" s="3">
        <f>300*737.2</f>
        <v>221160</v>
      </c>
      <c r="H1127" s="3">
        <f>400*0</f>
        <v>0</v>
      </c>
      <c r="I1127" s="3">
        <f>250*737.2</f>
        <v>184300</v>
      </c>
      <c r="J1127" s="3">
        <v>0</v>
      </c>
      <c r="K1127" s="4">
        <v>0</v>
      </c>
      <c r="L1127" s="3">
        <v>0</v>
      </c>
      <c r="M1127" s="3">
        <v>569</v>
      </c>
      <c r="N1127" s="3">
        <f t="shared" si="654"/>
        <v>3129500</v>
      </c>
      <c r="O1127" s="3">
        <v>0</v>
      </c>
      <c r="P1127" s="3">
        <v>0</v>
      </c>
      <c r="Q1127" s="3">
        <v>1150.5999999999999</v>
      </c>
      <c r="R1127" s="3">
        <f t="shared" si="652"/>
        <v>3451799.9999999995</v>
      </c>
      <c r="S1127" s="3">
        <v>138810</v>
      </c>
      <c r="T1127" s="3">
        <v>0</v>
      </c>
      <c r="U1127" s="3">
        <v>100000</v>
      </c>
      <c r="V1127" s="6">
        <f t="shared" si="653"/>
        <v>5500</v>
      </c>
    </row>
    <row r="1128" spans="1:22" ht="21.95" customHeight="1" x14ac:dyDescent="0.25">
      <c r="A1128" s="40" t="s">
        <v>1661</v>
      </c>
      <c r="B1128" s="8" t="s">
        <v>369</v>
      </c>
      <c r="C1128" s="2">
        <f t="shared" si="638"/>
        <v>6635965</v>
      </c>
      <c r="D1128" s="3">
        <f t="shared" si="650"/>
        <v>1426815</v>
      </c>
      <c r="E1128" s="3">
        <f>350*731.7</f>
        <v>256095.00000000003</v>
      </c>
      <c r="F1128" s="3">
        <f>1050*731.7</f>
        <v>768285</v>
      </c>
      <c r="G1128" s="3">
        <f>300*731.7</f>
        <v>219510</v>
      </c>
      <c r="H1128" s="3">
        <f>400*0</f>
        <v>0</v>
      </c>
      <c r="I1128" s="3">
        <f>250*731.7</f>
        <v>182925</v>
      </c>
      <c r="J1128" s="3">
        <v>0</v>
      </c>
      <c r="K1128" s="4">
        <v>0</v>
      </c>
      <c r="L1128" s="3">
        <v>0</v>
      </c>
      <c r="M1128" s="3">
        <v>561.29999999999995</v>
      </c>
      <c r="N1128" s="3">
        <f t="shared" si="654"/>
        <v>3087149.9999999995</v>
      </c>
      <c r="O1128" s="3">
        <v>0</v>
      </c>
      <c r="P1128" s="3">
        <v>0</v>
      </c>
      <c r="Q1128" s="3">
        <v>674</v>
      </c>
      <c r="R1128" s="3">
        <f t="shared" si="652"/>
        <v>2022000</v>
      </c>
      <c r="S1128" s="3">
        <v>0</v>
      </c>
      <c r="T1128" s="3">
        <v>0</v>
      </c>
      <c r="U1128" s="3">
        <v>100000</v>
      </c>
      <c r="V1128" s="6">
        <f t="shared" si="653"/>
        <v>5500</v>
      </c>
    </row>
    <row r="1129" spans="1:22" ht="21.95" customHeight="1" x14ac:dyDescent="0.25">
      <c r="A1129" s="40" t="s">
        <v>1972</v>
      </c>
      <c r="B1129" s="8" t="s">
        <v>370</v>
      </c>
      <c r="C1129" s="2">
        <f t="shared" si="638"/>
        <v>6904010</v>
      </c>
      <c r="D1129" s="3">
        <f t="shared" si="650"/>
        <v>1684410</v>
      </c>
      <c r="E1129" s="3">
        <f>350*863.8</f>
        <v>302330</v>
      </c>
      <c r="F1129" s="3">
        <f>1050*863.8</f>
        <v>906990</v>
      </c>
      <c r="G1129" s="3">
        <f>300*863.8</f>
        <v>259140</v>
      </c>
      <c r="H1129" s="3">
        <f>400*0</f>
        <v>0</v>
      </c>
      <c r="I1129" s="3">
        <f>250*863.8</f>
        <v>215950</v>
      </c>
      <c r="J1129" s="3">
        <v>0</v>
      </c>
      <c r="K1129" s="4">
        <v>0</v>
      </c>
      <c r="L1129" s="3">
        <v>0</v>
      </c>
      <c r="M1129" s="3">
        <v>557.20000000000005</v>
      </c>
      <c r="N1129" s="3">
        <f t="shared" si="654"/>
        <v>3064600.0000000005</v>
      </c>
      <c r="O1129" s="3">
        <v>0</v>
      </c>
      <c r="P1129" s="3">
        <v>0</v>
      </c>
      <c r="Q1129" s="3">
        <v>685</v>
      </c>
      <c r="R1129" s="3">
        <f t="shared" si="652"/>
        <v>2055000</v>
      </c>
      <c r="S1129" s="3">
        <v>0</v>
      </c>
      <c r="T1129" s="3">
        <v>0</v>
      </c>
      <c r="U1129" s="3">
        <v>100000</v>
      </c>
      <c r="V1129" s="6">
        <f t="shared" si="653"/>
        <v>5500</v>
      </c>
    </row>
    <row r="1130" spans="1:22" ht="21.95" customHeight="1" x14ac:dyDescent="0.25">
      <c r="A1130" s="40" t="s">
        <v>1973</v>
      </c>
      <c r="B1130" s="8" t="s">
        <v>371</v>
      </c>
      <c r="C1130" s="2">
        <f t="shared" si="638"/>
        <v>3670630</v>
      </c>
      <c r="D1130" s="3">
        <f t="shared" si="650"/>
        <v>825630</v>
      </c>
      <c r="E1130" s="3">
        <f>350*423.4</f>
        <v>148190</v>
      </c>
      <c r="F1130" s="3">
        <f>1050*423.4</f>
        <v>444570</v>
      </c>
      <c r="G1130" s="3">
        <f>300*423.4</f>
        <v>127020</v>
      </c>
      <c r="H1130" s="3">
        <f>400*0</f>
        <v>0</v>
      </c>
      <c r="I1130" s="3">
        <f>250*423.4</f>
        <v>105850</v>
      </c>
      <c r="J1130" s="3">
        <v>0</v>
      </c>
      <c r="K1130" s="4">
        <v>0</v>
      </c>
      <c r="L1130" s="3">
        <v>0</v>
      </c>
      <c r="M1130" s="3">
        <v>240</v>
      </c>
      <c r="N1130" s="3">
        <f t="shared" si="654"/>
        <v>1320000</v>
      </c>
      <c r="O1130" s="3">
        <v>0</v>
      </c>
      <c r="P1130" s="3">
        <v>0</v>
      </c>
      <c r="Q1130" s="3">
        <v>475</v>
      </c>
      <c r="R1130" s="3">
        <f t="shared" si="652"/>
        <v>1425000</v>
      </c>
      <c r="S1130" s="3">
        <v>0</v>
      </c>
      <c r="T1130" s="3">
        <v>0</v>
      </c>
      <c r="U1130" s="3">
        <v>100000</v>
      </c>
      <c r="V1130" s="6">
        <f t="shared" si="653"/>
        <v>5500</v>
      </c>
    </row>
    <row r="1131" spans="1:22" ht="45" customHeight="1" x14ac:dyDescent="0.25">
      <c r="A1131" s="51" t="s">
        <v>1578</v>
      </c>
      <c r="B1131" s="51"/>
      <c r="C1131" s="2">
        <f>SUM(C1132:C1134)</f>
        <v>5211600</v>
      </c>
      <c r="D1131" s="2">
        <f t="shared" ref="D1131:U1131" si="655">SUM(D1132:D1134)</f>
        <v>0</v>
      </c>
      <c r="E1131" s="2">
        <f t="shared" si="655"/>
        <v>0</v>
      </c>
      <c r="F1131" s="2">
        <f t="shared" si="655"/>
        <v>0</v>
      </c>
      <c r="G1131" s="2">
        <f t="shared" si="655"/>
        <v>0</v>
      </c>
      <c r="H1131" s="2">
        <f t="shared" si="655"/>
        <v>0</v>
      </c>
      <c r="I1131" s="2">
        <f t="shared" si="655"/>
        <v>0</v>
      </c>
      <c r="J1131" s="2">
        <f t="shared" si="655"/>
        <v>0</v>
      </c>
      <c r="K1131" s="14">
        <f t="shared" si="655"/>
        <v>0</v>
      </c>
      <c r="L1131" s="2">
        <f t="shared" si="655"/>
        <v>0</v>
      </c>
      <c r="M1131" s="2">
        <f t="shared" si="655"/>
        <v>600</v>
      </c>
      <c r="N1131" s="2">
        <f t="shared" si="655"/>
        <v>2211600</v>
      </c>
      <c r="O1131" s="2">
        <f t="shared" si="655"/>
        <v>0</v>
      </c>
      <c r="P1131" s="2">
        <f t="shared" si="655"/>
        <v>0</v>
      </c>
      <c r="Q1131" s="2">
        <f t="shared" si="655"/>
        <v>800</v>
      </c>
      <c r="R1131" s="2">
        <f t="shared" si="655"/>
        <v>2400000</v>
      </c>
      <c r="S1131" s="2">
        <f t="shared" si="655"/>
        <v>0</v>
      </c>
      <c r="T1131" s="2">
        <f t="shared" si="655"/>
        <v>0</v>
      </c>
      <c r="U1131" s="2">
        <f t="shared" si="655"/>
        <v>600000</v>
      </c>
      <c r="V1131" s="18">
        <f>C1131</f>
        <v>5211600</v>
      </c>
    </row>
    <row r="1132" spans="1:22" ht="23.25" customHeight="1" x14ac:dyDescent="0.25">
      <c r="A1132" s="39" t="s">
        <v>1974</v>
      </c>
      <c r="B1132" s="8" t="s">
        <v>1648</v>
      </c>
      <c r="C1132" s="2">
        <f t="shared" ref="C1132" si="656">D1132+L1132+N1132+P1132+R1132+S1132+T1132+U1132</f>
        <v>300000</v>
      </c>
      <c r="D1132" s="3">
        <f t="shared" ref="D1132" si="657">SUM(E1132:J1132)</f>
        <v>0</v>
      </c>
      <c r="E1132" s="3">
        <v>0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  <c r="K1132" s="4">
        <v>0</v>
      </c>
      <c r="L1132" s="3">
        <v>0</v>
      </c>
      <c r="M1132" s="3">
        <v>0</v>
      </c>
      <c r="N1132" s="3">
        <v>0</v>
      </c>
      <c r="O1132" s="3">
        <v>0</v>
      </c>
      <c r="P1132" s="3">
        <v>0</v>
      </c>
      <c r="Q1132" s="3">
        <v>0</v>
      </c>
      <c r="R1132" s="3">
        <v>0</v>
      </c>
      <c r="S1132" s="3">
        <v>0</v>
      </c>
      <c r="T1132" s="3">
        <v>0</v>
      </c>
      <c r="U1132" s="3">
        <v>300000</v>
      </c>
      <c r="V1132" s="18"/>
    </row>
    <row r="1133" spans="1:22" ht="21.95" customHeight="1" x14ac:dyDescent="0.25">
      <c r="A1133" s="39" t="s">
        <v>1975</v>
      </c>
      <c r="B1133" s="8" t="s">
        <v>1579</v>
      </c>
      <c r="C1133" s="2">
        <f t="shared" ref="C1133" si="658">D1133+L1133+N1133+P1133+R1133+S1133+T1133+U1133</f>
        <v>4611600</v>
      </c>
      <c r="D1133" s="3">
        <f t="shared" ref="D1133" si="659">SUM(E1133:J1133)</f>
        <v>0</v>
      </c>
      <c r="E1133" s="3">
        <v>0</v>
      </c>
      <c r="F1133" s="3">
        <f>1050*0</f>
        <v>0</v>
      </c>
      <c r="G1133" s="3">
        <f>300*0</f>
        <v>0</v>
      </c>
      <c r="H1133" s="3">
        <f>400*0</f>
        <v>0</v>
      </c>
      <c r="I1133" s="3">
        <f>250*0</f>
        <v>0</v>
      </c>
      <c r="J1133" s="3">
        <v>0</v>
      </c>
      <c r="K1133" s="4">
        <v>0</v>
      </c>
      <c r="L1133" s="3">
        <v>0</v>
      </c>
      <c r="M1133" s="3">
        <v>600</v>
      </c>
      <c r="N1133" s="3">
        <f>M1133*3686</f>
        <v>2211600</v>
      </c>
      <c r="O1133" s="3">
        <v>0</v>
      </c>
      <c r="P1133" s="3">
        <v>0</v>
      </c>
      <c r="Q1133" s="3">
        <v>800</v>
      </c>
      <c r="R1133" s="3">
        <f t="shared" ref="R1133" si="660">Q1133*3000</f>
        <v>2400000</v>
      </c>
      <c r="S1133" s="3">
        <v>0</v>
      </c>
      <c r="T1133" s="3">
        <v>0</v>
      </c>
      <c r="U1133" s="3">
        <v>0</v>
      </c>
      <c r="V1133" s="6">
        <f t="shared" ref="V1133" si="661">N1133/M1133</f>
        <v>3686</v>
      </c>
    </row>
    <row r="1134" spans="1:22" ht="21.95" customHeight="1" x14ac:dyDescent="0.25">
      <c r="A1134" s="39" t="s">
        <v>1976</v>
      </c>
      <c r="B1134" s="8" t="s">
        <v>1647</v>
      </c>
      <c r="C1134" s="2">
        <f t="shared" ref="C1134" si="662">D1134+L1134+N1134+P1134+R1134+S1134+T1134+U1134</f>
        <v>300000</v>
      </c>
      <c r="D1134" s="3">
        <f t="shared" ref="D1134" si="663">SUM(E1134:J1134)</f>
        <v>0</v>
      </c>
      <c r="E1134" s="3">
        <v>0</v>
      </c>
      <c r="F1134" s="3">
        <v>0</v>
      </c>
      <c r="G1134" s="3">
        <v>0</v>
      </c>
      <c r="H1134" s="3">
        <v>0</v>
      </c>
      <c r="I1134" s="3">
        <v>0</v>
      </c>
      <c r="J1134" s="3">
        <v>0</v>
      </c>
      <c r="K1134" s="4">
        <v>0</v>
      </c>
      <c r="L1134" s="3">
        <v>0</v>
      </c>
      <c r="M1134" s="3">
        <v>0</v>
      </c>
      <c r="N1134" s="3">
        <v>0</v>
      </c>
      <c r="O1134" s="3">
        <v>0</v>
      </c>
      <c r="P1134" s="3">
        <v>0</v>
      </c>
      <c r="Q1134" s="3">
        <v>0</v>
      </c>
      <c r="R1134" s="3">
        <v>0</v>
      </c>
      <c r="S1134" s="3">
        <v>0</v>
      </c>
      <c r="T1134" s="3">
        <v>0</v>
      </c>
      <c r="U1134" s="3">
        <v>300000</v>
      </c>
    </row>
    <row r="1135" spans="1:22" ht="45" customHeight="1" x14ac:dyDescent="0.25">
      <c r="A1135" s="51" t="s">
        <v>376</v>
      </c>
      <c r="B1135" s="51"/>
      <c r="C1135" s="2">
        <f>SUM(C1136:C1137)</f>
        <v>6765250</v>
      </c>
      <c r="D1135" s="2">
        <f t="shared" ref="D1135:U1135" si="664">SUM(D1136:D1137)</f>
        <v>190050</v>
      </c>
      <c r="E1135" s="2">
        <f t="shared" si="664"/>
        <v>190050</v>
      </c>
      <c r="F1135" s="2">
        <f t="shared" si="664"/>
        <v>0</v>
      </c>
      <c r="G1135" s="2">
        <f t="shared" si="664"/>
        <v>0</v>
      </c>
      <c r="H1135" s="2">
        <f t="shared" si="664"/>
        <v>0</v>
      </c>
      <c r="I1135" s="2">
        <f t="shared" si="664"/>
        <v>0</v>
      </c>
      <c r="J1135" s="2">
        <f t="shared" si="664"/>
        <v>0</v>
      </c>
      <c r="K1135" s="14">
        <f t="shared" si="664"/>
        <v>0</v>
      </c>
      <c r="L1135" s="2">
        <f t="shared" si="664"/>
        <v>0</v>
      </c>
      <c r="M1135" s="2">
        <f t="shared" si="664"/>
        <v>800</v>
      </c>
      <c r="N1135" s="2">
        <f t="shared" si="664"/>
        <v>4400000</v>
      </c>
      <c r="O1135" s="2">
        <f t="shared" si="664"/>
        <v>0</v>
      </c>
      <c r="P1135" s="2">
        <f t="shared" si="664"/>
        <v>0</v>
      </c>
      <c r="Q1135" s="2">
        <f t="shared" si="664"/>
        <v>658.4</v>
      </c>
      <c r="R1135" s="2">
        <f t="shared" si="664"/>
        <v>1975200</v>
      </c>
      <c r="S1135" s="2">
        <f t="shared" si="664"/>
        <v>0</v>
      </c>
      <c r="T1135" s="2">
        <f t="shared" si="664"/>
        <v>0</v>
      </c>
      <c r="U1135" s="2">
        <f t="shared" si="664"/>
        <v>200000</v>
      </c>
      <c r="V1135" s="18">
        <f>C1135</f>
        <v>6765250</v>
      </c>
    </row>
    <row r="1136" spans="1:22" ht="21.95" customHeight="1" x14ac:dyDescent="0.25">
      <c r="A1136" s="40" t="s">
        <v>1977</v>
      </c>
      <c r="B1136" s="8" t="s">
        <v>373</v>
      </c>
      <c r="C1136" s="2">
        <f t="shared" si="638"/>
        <v>3357320</v>
      </c>
      <c r="D1136" s="3">
        <f t="shared" ref="D1136:D1137" si="665">SUM(E1136:J1136)</f>
        <v>92820</v>
      </c>
      <c r="E1136" s="3">
        <f>350*265.2</f>
        <v>92820</v>
      </c>
      <c r="F1136" s="3">
        <f>1050*0</f>
        <v>0</v>
      </c>
      <c r="G1136" s="3">
        <f>300*0</f>
        <v>0</v>
      </c>
      <c r="H1136" s="3">
        <f>400*0</f>
        <v>0</v>
      </c>
      <c r="I1136" s="3">
        <f>250*0</f>
        <v>0</v>
      </c>
      <c r="J1136" s="3">
        <v>0</v>
      </c>
      <c r="K1136" s="4">
        <v>0</v>
      </c>
      <c r="L1136" s="3">
        <v>0</v>
      </c>
      <c r="M1136" s="3">
        <v>400</v>
      </c>
      <c r="N1136" s="3">
        <f>M1136*5500</f>
        <v>2200000</v>
      </c>
      <c r="O1136" s="3">
        <v>0</v>
      </c>
      <c r="P1136" s="3">
        <v>0</v>
      </c>
      <c r="Q1136" s="3">
        <v>321.5</v>
      </c>
      <c r="R1136" s="3">
        <f t="shared" ref="R1136:R1137" si="666">Q1136*3000</f>
        <v>964500</v>
      </c>
      <c r="S1136" s="3">
        <v>0</v>
      </c>
      <c r="T1136" s="3">
        <v>0</v>
      </c>
      <c r="U1136" s="3">
        <v>100000</v>
      </c>
      <c r="V1136" s="6">
        <f t="shared" ref="V1136:V1137" si="667">N1136/M1136</f>
        <v>5500</v>
      </c>
    </row>
    <row r="1137" spans="1:22" ht="21.95" customHeight="1" x14ac:dyDescent="0.25">
      <c r="A1137" s="40" t="s">
        <v>1978</v>
      </c>
      <c r="B1137" s="8" t="s">
        <v>375</v>
      </c>
      <c r="C1137" s="2">
        <f t="shared" si="638"/>
        <v>3407930</v>
      </c>
      <c r="D1137" s="3">
        <f t="shared" si="665"/>
        <v>97230</v>
      </c>
      <c r="E1137" s="3">
        <f>350*277.8</f>
        <v>97230</v>
      </c>
      <c r="F1137" s="3">
        <f>1050*0</f>
        <v>0</v>
      </c>
      <c r="G1137" s="3">
        <f>300*0</f>
        <v>0</v>
      </c>
      <c r="H1137" s="3">
        <f>400*0</f>
        <v>0</v>
      </c>
      <c r="I1137" s="3">
        <f>250*0</f>
        <v>0</v>
      </c>
      <c r="J1137" s="3">
        <v>0</v>
      </c>
      <c r="K1137" s="4">
        <v>0</v>
      </c>
      <c r="L1137" s="3">
        <v>0</v>
      </c>
      <c r="M1137" s="3">
        <v>400</v>
      </c>
      <c r="N1137" s="3">
        <f>M1137*5500</f>
        <v>2200000</v>
      </c>
      <c r="O1137" s="3">
        <v>0</v>
      </c>
      <c r="P1137" s="3">
        <v>0</v>
      </c>
      <c r="Q1137" s="3">
        <v>336.9</v>
      </c>
      <c r="R1137" s="3">
        <f t="shared" si="666"/>
        <v>1010699.9999999999</v>
      </c>
      <c r="S1137" s="3">
        <v>0</v>
      </c>
      <c r="T1137" s="3">
        <v>0</v>
      </c>
      <c r="U1137" s="3">
        <v>100000</v>
      </c>
      <c r="V1137" s="6">
        <f t="shared" si="667"/>
        <v>5500</v>
      </c>
    </row>
    <row r="1138" spans="1:22" x14ac:dyDescent="0.25">
      <c r="A1138" s="49"/>
      <c r="B1138" s="7"/>
      <c r="C1138" s="25"/>
      <c r="D1138" s="7"/>
      <c r="E1138" s="7"/>
      <c r="F1138" s="7"/>
      <c r="G1138" s="7"/>
      <c r="H1138" s="7"/>
      <c r="I1138" s="7"/>
      <c r="J1138" s="7"/>
      <c r="K1138" s="31"/>
      <c r="L1138" s="7"/>
      <c r="M1138" s="7"/>
      <c r="N1138" s="7"/>
      <c r="O1138" s="25"/>
      <c r="P1138" s="25"/>
      <c r="Q1138" s="25"/>
      <c r="R1138" s="25"/>
      <c r="S1138" s="25"/>
      <c r="T1138" s="25"/>
      <c r="U1138" s="25"/>
    </row>
    <row r="1139" spans="1:22" x14ac:dyDescent="0.25">
      <c r="A1139" s="49"/>
      <c r="B1139" s="7"/>
      <c r="C1139" s="7"/>
      <c r="D1139" s="7"/>
      <c r="E1139" s="7"/>
      <c r="F1139" s="7"/>
      <c r="G1139" s="7"/>
      <c r="H1139" s="7"/>
      <c r="I1139" s="7"/>
      <c r="J1139" s="7"/>
      <c r="K1139" s="31"/>
      <c r="L1139" s="7"/>
      <c r="M1139" s="7"/>
      <c r="N1139" s="7"/>
      <c r="O1139" s="25"/>
      <c r="P1139" s="25"/>
      <c r="Q1139" s="25"/>
      <c r="R1139" s="25"/>
      <c r="S1139" s="25"/>
      <c r="T1139" s="25"/>
      <c r="U1139" s="25"/>
    </row>
  </sheetData>
  <sortState ref="A616:IX625">
    <sortCondition ref="B616:B625"/>
  </sortState>
  <mergeCells count="155">
    <mergeCell ref="S4:S5"/>
    <mergeCell ref="A1135:B1135"/>
    <mergeCell ref="A1118:B1118"/>
    <mergeCell ref="A1104:B1104"/>
    <mergeCell ref="A1107:B1107"/>
    <mergeCell ref="A1095:B1095"/>
    <mergeCell ref="A911:B911"/>
    <mergeCell ref="A914:B914"/>
    <mergeCell ref="A1113:B1113"/>
    <mergeCell ref="A793:B793"/>
    <mergeCell ref="A895:B895"/>
    <mergeCell ref="A885:B885"/>
    <mergeCell ref="A869:B869"/>
    <mergeCell ref="A820:B820"/>
    <mergeCell ref="A890:B890"/>
    <mergeCell ref="A856:B856"/>
    <mergeCell ref="A832:B832"/>
    <mergeCell ref="A816:B816"/>
    <mergeCell ref="A1109:B1109"/>
    <mergeCell ref="A26:B26"/>
    <mergeCell ref="A266:B266"/>
    <mergeCell ref="A262:B262"/>
    <mergeCell ref="A1116:B1116"/>
    <mergeCell ref="A291:B291"/>
    <mergeCell ref="A1093:B1093"/>
    <mergeCell ref="A840:B840"/>
    <mergeCell ref="A755:B755"/>
    <mergeCell ref="A786:B786"/>
    <mergeCell ref="A372:B372"/>
    <mergeCell ref="A1111:B1111"/>
    <mergeCell ref="A867:B867"/>
    <mergeCell ref="A454:B454"/>
    <mergeCell ref="A1089:B1089"/>
    <mergeCell ref="A897:B897"/>
    <mergeCell ref="A908:B908"/>
    <mergeCell ref="A1091:B1091"/>
    <mergeCell ref="A1101:B1101"/>
    <mergeCell ref="A733:B733"/>
    <mergeCell ref="A747:B747"/>
    <mergeCell ref="A763:B763"/>
    <mergeCell ref="A456:B456"/>
    <mergeCell ref="A459:B459"/>
    <mergeCell ref="A61:B61"/>
    <mergeCell ref="A854:B854"/>
    <mergeCell ref="A860:B860"/>
    <mergeCell ref="A862:B862"/>
    <mergeCell ref="A790:B790"/>
    <mergeCell ref="A835:B835"/>
    <mergeCell ref="A830:B830"/>
    <mergeCell ref="A813:B813"/>
    <mergeCell ref="A823:B823"/>
    <mergeCell ref="A848:B848"/>
    <mergeCell ref="A842:B842"/>
    <mergeCell ref="A351:B351"/>
    <mergeCell ref="A826:B826"/>
    <mergeCell ref="A64:B64"/>
    <mergeCell ref="A89:B89"/>
    <mergeCell ref="A321:B321"/>
    <mergeCell ref="A264:B264"/>
    <mergeCell ref="A357:B357"/>
    <mergeCell ref="A120:B120"/>
    <mergeCell ref="A268:B268"/>
    <mergeCell ref="A244:B244"/>
    <mergeCell ref="A251:B251"/>
    <mergeCell ref="A286:B286"/>
    <mergeCell ref="A68:B68"/>
    <mergeCell ref="A242:B242"/>
    <mergeCell ref="A116:B116"/>
    <mergeCell ref="A325:B325"/>
    <mergeCell ref="A339:B339"/>
    <mergeCell ref="A347:B347"/>
    <mergeCell ref="A313:B313"/>
    <mergeCell ref="A255:B255"/>
    <mergeCell ref="A331:B331"/>
    <mergeCell ref="A104:B104"/>
    <mergeCell ref="A257:B257"/>
    <mergeCell ref="A319:B319"/>
    <mergeCell ref="A327:B327"/>
    <mergeCell ref="A285:B285"/>
    <mergeCell ref="A284:U284"/>
    <mergeCell ref="A118:B118"/>
    <mergeCell ref="A270:B270"/>
    <mergeCell ref="A247:B247"/>
    <mergeCell ref="A30:B30"/>
    <mergeCell ref="A35:B35"/>
    <mergeCell ref="A96:B96"/>
    <mergeCell ref="A114:B114"/>
    <mergeCell ref="A237:B237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59:B59"/>
    <mergeCell ref="A66:B66"/>
    <mergeCell ref="A86:B86"/>
    <mergeCell ref="A8:B8"/>
    <mergeCell ref="A9:U9"/>
    <mergeCell ref="A10:B10"/>
    <mergeCell ref="A11:B11"/>
    <mergeCell ref="A24:B24"/>
    <mergeCell ref="A858:B858"/>
    <mergeCell ref="A850:B850"/>
    <mergeCell ref="A789:B789"/>
    <mergeCell ref="A349:B349"/>
    <mergeCell ref="A364:B364"/>
    <mergeCell ref="A421:B421"/>
    <mergeCell ref="A431:B431"/>
    <mergeCell ref="A753:B753"/>
    <mergeCell ref="A783:B783"/>
    <mergeCell ref="A766:B766"/>
    <mergeCell ref="A788:U788"/>
    <mergeCell ref="A759:B759"/>
    <mergeCell ref="A761:B761"/>
    <mergeCell ref="A362:B362"/>
    <mergeCell ref="A375:B375"/>
    <mergeCell ref="A377:B377"/>
    <mergeCell ref="A57:B57"/>
    <mergeCell ref="A53:B53"/>
    <mergeCell ref="A55:B55"/>
    <mergeCell ref="A1131:B1131"/>
    <mergeCell ref="T3:U3"/>
    <mergeCell ref="A731:B731"/>
    <mergeCell ref="A749:B749"/>
    <mergeCell ref="A452:B452"/>
    <mergeCell ref="A433:B433"/>
    <mergeCell ref="A409:B409"/>
    <mergeCell ref="A360:B360"/>
    <mergeCell ref="A411:B411"/>
    <mergeCell ref="A368:B368"/>
    <mergeCell ref="A355:B355"/>
    <mergeCell ref="A259:B259"/>
    <mergeCell ref="A736:B736"/>
    <mergeCell ref="A727:B727"/>
    <mergeCell ref="A384:B384"/>
    <mergeCell ref="A461:B461"/>
    <mergeCell ref="A386:B386"/>
    <mergeCell ref="A429:B429"/>
    <mergeCell ref="A333:B333"/>
    <mergeCell ref="A315:B315"/>
    <mergeCell ref="A1097:B1097"/>
    <mergeCell ref="C3:C5"/>
    <mergeCell ref="A43:B43"/>
    <mergeCell ref="D3:S3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35" firstPageNumber="3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Логутова Лариса Ферденантовна</cp:lastModifiedBy>
  <cp:lastPrinted>2021-01-14T14:41:07Z</cp:lastPrinted>
  <dcterms:created xsi:type="dcterms:W3CDTF">2012-12-13T11:50:40Z</dcterms:created>
  <dcterms:modified xsi:type="dcterms:W3CDTF">2021-01-27T08:35:33Z</dcterms:modified>
</cp:coreProperties>
</file>