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28800" windowHeight="1317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прилож'!$A$1:$U$1167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N461" i="13" l="1"/>
  <c r="V461" i="13" s="1"/>
  <c r="J461" i="13"/>
  <c r="J460" i="13" s="1"/>
  <c r="H461" i="13"/>
  <c r="F461" i="13"/>
  <c r="F460" i="13" s="1"/>
  <c r="D461" i="13"/>
  <c r="U460" i="13"/>
  <c r="T460" i="13"/>
  <c r="S460" i="13"/>
  <c r="R460" i="13"/>
  <c r="Q460" i="13"/>
  <c r="P460" i="13"/>
  <c r="O460" i="13"/>
  <c r="M460" i="13"/>
  <c r="L460" i="13"/>
  <c r="K460" i="13"/>
  <c r="I460" i="13"/>
  <c r="H460" i="13"/>
  <c r="G460" i="13"/>
  <c r="E460" i="13"/>
  <c r="N460" i="13" l="1"/>
  <c r="C461" i="13"/>
  <c r="C460" i="13" s="1"/>
  <c r="V460" i="13" s="1"/>
  <c r="D460" i="13"/>
  <c r="T864" i="13"/>
  <c r="S864" i="13"/>
  <c r="R864" i="13"/>
  <c r="Q864" i="13"/>
  <c r="P864" i="13"/>
  <c r="O864" i="13"/>
  <c r="M864" i="13"/>
  <c r="L864" i="13"/>
  <c r="K864" i="13"/>
  <c r="J864" i="13"/>
  <c r="I864" i="13"/>
  <c r="H864" i="13"/>
  <c r="G864" i="13"/>
  <c r="F864" i="13"/>
  <c r="E864" i="13"/>
  <c r="U864" i="13"/>
  <c r="N865" i="13"/>
  <c r="V865" i="13" s="1"/>
  <c r="D865" i="13"/>
  <c r="D864" i="13" s="1"/>
  <c r="R1143" i="13"/>
  <c r="N1143" i="13"/>
  <c r="I1143" i="13"/>
  <c r="G1143" i="13"/>
  <c r="F1143" i="13"/>
  <c r="E1143" i="13"/>
  <c r="H1143" i="13"/>
  <c r="F762" i="13"/>
  <c r="N864" i="13" l="1"/>
  <c r="C865" i="13"/>
  <c r="D1143" i="13"/>
  <c r="C1143" i="13" s="1"/>
  <c r="R952" i="13"/>
  <c r="N952" i="13"/>
  <c r="V952" i="13" s="1"/>
  <c r="D952" i="13"/>
  <c r="R951" i="13"/>
  <c r="N951" i="13"/>
  <c r="V951" i="13" s="1"/>
  <c r="D951" i="13"/>
  <c r="R997" i="13"/>
  <c r="N997" i="13"/>
  <c r="V997" i="13" s="1"/>
  <c r="D997" i="13"/>
  <c r="R958" i="13"/>
  <c r="N958" i="13"/>
  <c r="V958" i="13" s="1"/>
  <c r="D958" i="13"/>
  <c r="C958" i="13" s="1"/>
  <c r="R930" i="13"/>
  <c r="N930" i="13"/>
  <c r="V930" i="13" s="1"/>
  <c r="D930" i="13"/>
  <c r="V910" i="13"/>
  <c r="R910" i="13"/>
  <c r="J910" i="13"/>
  <c r="I910" i="13"/>
  <c r="H910" i="13"/>
  <c r="G910" i="13"/>
  <c r="F910" i="13"/>
  <c r="E910" i="13"/>
  <c r="R893" i="13"/>
  <c r="N893" i="13"/>
  <c r="V893" i="13" s="1"/>
  <c r="J893" i="13"/>
  <c r="I893" i="13"/>
  <c r="H893" i="13"/>
  <c r="G893" i="13"/>
  <c r="F893" i="13"/>
  <c r="E893" i="13"/>
  <c r="R892" i="13"/>
  <c r="N892" i="13"/>
  <c r="V892" i="13" s="1"/>
  <c r="J892" i="13"/>
  <c r="I892" i="13"/>
  <c r="H892" i="13"/>
  <c r="G892" i="13"/>
  <c r="F892" i="13"/>
  <c r="E892" i="13"/>
  <c r="N816" i="13"/>
  <c r="V816" i="13" s="1"/>
  <c r="D816" i="13"/>
  <c r="U815" i="13"/>
  <c r="T815" i="13"/>
  <c r="S815" i="13"/>
  <c r="R815" i="13"/>
  <c r="Q815" i="13"/>
  <c r="P815" i="13"/>
  <c r="O815" i="13"/>
  <c r="M815" i="13"/>
  <c r="L815" i="13"/>
  <c r="K815" i="13"/>
  <c r="J815" i="13"/>
  <c r="I815" i="13"/>
  <c r="H815" i="13"/>
  <c r="G815" i="13"/>
  <c r="F815" i="13"/>
  <c r="E815" i="13"/>
  <c r="N803" i="13"/>
  <c r="V803" i="13" s="1"/>
  <c r="D803" i="13"/>
  <c r="R805" i="13"/>
  <c r="N805" i="13"/>
  <c r="V805" i="13" s="1"/>
  <c r="D805" i="13"/>
  <c r="V973" i="13"/>
  <c r="J973" i="13"/>
  <c r="I973" i="13"/>
  <c r="H973" i="13"/>
  <c r="G973" i="13"/>
  <c r="E973" i="13"/>
  <c r="R979" i="13"/>
  <c r="N979" i="13"/>
  <c r="V979" i="13" s="1"/>
  <c r="D979" i="13"/>
  <c r="R1092" i="13"/>
  <c r="N1092" i="13"/>
  <c r="V1092" i="13" s="1"/>
  <c r="D1092" i="13"/>
  <c r="R1090" i="13"/>
  <c r="N1090" i="13"/>
  <c r="V1090" i="13" s="1"/>
  <c r="D1090" i="13"/>
  <c r="D973" i="13" l="1"/>
  <c r="C973" i="13" s="1"/>
  <c r="C951" i="13"/>
  <c r="C864" i="13"/>
  <c r="V864" i="13" s="1"/>
  <c r="C1092" i="13"/>
  <c r="N815" i="13"/>
  <c r="C816" i="13"/>
  <c r="C815" i="13" s="1"/>
  <c r="V815" i="13" s="1"/>
  <c r="D893" i="13"/>
  <c r="C893" i="13" s="1"/>
  <c r="D910" i="13"/>
  <c r="C910" i="13" s="1"/>
  <c r="C979" i="13"/>
  <c r="C952" i="13"/>
  <c r="C1090" i="13"/>
  <c r="C805" i="13"/>
  <c r="C803" i="13"/>
  <c r="D892" i="13"/>
  <c r="C892" i="13" s="1"/>
  <c r="D815" i="13"/>
  <c r="C930" i="13"/>
  <c r="C997" i="13"/>
  <c r="R1076" i="13"/>
  <c r="N1076" i="13"/>
  <c r="V1076" i="13" s="1"/>
  <c r="D1076" i="13"/>
  <c r="R987" i="13"/>
  <c r="N987" i="13"/>
  <c r="V987" i="13" s="1"/>
  <c r="D987" i="13"/>
  <c r="R1087" i="13"/>
  <c r="N1087" i="13"/>
  <c r="V1087" i="13" s="1"/>
  <c r="D1087" i="13"/>
  <c r="R1091" i="13"/>
  <c r="N1091" i="13"/>
  <c r="V1091" i="13" s="1"/>
  <c r="D1091" i="13"/>
  <c r="N934" i="13"/>
  <c r="V934" i="13" s="1"/>
  <c r="J934" i="13"/>
  <c r="I934" i="13"/>
  <c r="H934" i="13"/>
  <c r="G934" i="13"/>
  <c r="F934" i="13"/>
  <c r="E934" i="13"/>
  <c r="N1025" i="13"/>
  <c r="V1025" i="13" s="1"/>
  <c r="D1025" i="13"/>
  <c r="R983" i="13"/>
  <c r="N983" i="13"/>
  <c r="V983" i="13" s="1"/>
  <c r="D983" i="13"/>
  <c r="R1083" i="13"/>
  <c r="N1083" i="13"/>
  <c r="V1083" i="13" s="1"/>
  <c r="D1083" i="13"/>
  <c r="N1043" i="13"/>
  <c r="V1043" i="13" s="1"/>
  <c r="D1043" i="13"/>
  <c r="V1058" i="13"/>
  <c r="R1058" i="13"/>
  <c r="J1058" i="13"/>
  <c r="I1058" i="13"/>
  <c r="H1058" i="13"/>
  <c r="G1058" i="13"/>
  <c r="F1058" i="13"/>
  <c r="E1058" i="13"/>
  <c r="C1043" i="13" l="1"/>
  <c r="C1076" i="13"/>
  <c r="C987" i="13"/>
  <c r="C1025" i="13"/>
  <c r="D934" i="13"/>
  <c r="C934" i="13" s="1"/>
  <c r="D1058" i="13"/>
  <c r="C1058" i="13" s="1"/>
  <c r="C1083" i="13"/>
  <c r="C983" i="13"/>
  <c r="C1091" i="13"/>
  <c r="C1087" i="13"/>
  <c r="R1103" i="13"/>
  <c r="N1103" i="13"/>
  <c r="V1103" i="13" s="1"/>
  <c r="D1103" i="13"/>
  <c r="U286" i="13"/>
  <c r="T286" i="13"/>
  <c r="S286" i="13"/>
  <c r="Q286" i="13"/>
  <c r="P286" i="13"/>
  <c r="O286" i="13"/>
  <c r="M286" i="13"/>
  <c r="L286" i="13"/>
  <c r="K286" i="13"/>
  <c r="U291" i="13"/>
  <c r="T291" i="13"/>
  <c r="S291" i="13"/>
  <c r="Q291" i="13"/>
  <c r="P291" i="13"/>
  <c r="O291" i="13"/>
  <c r="M291" i="13"/>
  <c r="K291" i="13"/>
  <c r="U313" i="13"/>
  <c r="T313" i="13"/>
  <c r="S313" i="13"/>
  <c r="R313" i="13"/>
  <c r="Q313" i="13"/>
  <c r="P313" i="13"/>
  <c r="O313" i="13"/>
  <c r="M313" i="13"/>
  <c r="L313" i="13"/>
  <c r="K313" i="13"/>
  <c r="J313" i="13"/>
  <c r="I313" i="13"/>
  <c r="H313" i="13"/>
  <c r="G313" i="13"/>
  <c r="F313" i="13"/>
  <c r="E313" i="13"/>
  <c r="U315" i="13"/>
  <c r="T315" i="13"/>
  <c r="S315" i="13"/>
  <c r="R315" i="13"/>
  <c r="Q315" i="13"/>
  <c r="P315" i="13"/>
  <c r="O315" i="13"/>
  <c r="M315" i="13"/>
  <c r="L315" i="13"/>
  <c r="K315" i="13"/>
  <c r="J315" i="13"/>
  <c r="I315" i="13"/>
  <c r="H315" i="13"/>
  <c r="G315" i="13"/>
  <c r="F315" i="13"/>
  <c r="E315" i="13"/>
  <c r="U319" i="13"/>
  <c r="T319" i="13"/>
  <c r="S319" i="13"/>
  <c r="Q319" i="13"/>
  <c r="O319" i="13"/>
  <c r="N319" i="13"/>
  <c r="M319" i="13"/>
  <c r="L319" i="13"/>
  <c r="K319" i="13"/>
  <c r="J319" i="13"/>
  <c r="I319" i="13"/>
  <c r="H319" i="13"/>
  <c r="G319" i="13"/>
  <c r="F319" i="13"/>
  <c r="E319" i="13"/>
  <c r="U321" i="13"/>
  <c r="T321" i="13"/>
  <c r="S321" i="13"/>
  <c r="Q321" i="13"/>
  <c r="P321" i="13"/>
  <c r="O321" i="13"/>
  <c r="M321" i="13"/>
  <c r="L321" i="13"/>
  <c r="K321" i="13"/>
  <c r="U325" i="13"/>
  <c r="T325" i="13"/>
  <c r="S325" i="13"/>
  <c r="Q325" i="13"/>
  <c r="P325" i="13"/>
  <c r="O325" i="13"/>
  <c r="N325" i="13"/>
  <c r="M325" i="13"/>
  <c r="L325" i="13"/>
  <c r="K325" i="13"/>
  <c r="I325" i="13"/>
  <c r="H325" i="13"/>
  <c r="G325" i="13"/>
  <c r="F325" i="13"/>
  <c r="U327" i="13"/>
  <c r="T327" i="13"/>
  <c r="S327" i="13"/>
  <c r="Q327" i="13"/>
  <c r="P327" i="13"/>
  <c r="O327" i="13"/>
  <c r="M327" i="13"/>
  <c r="L327" i="13"/>
  <c r="K327" i="13"/>
  <c r="J327" i="13"/>
  <c r="I327" i="13"/>
  <c r="H327" i="13"/>
  <c r="G327" i="13"/>
  <c r="F327" i="13"/>
  <c r="E327" i="13"/>
  <c r="U331" i="13"/>
  <c r="T331" i="13"/>
  <c r="S331" i="13"/>
  <c r="R331" i="13"/>
  <c r="Q331" i="13"/>
  <c r="P331" i="13"/>
  <c r="O331" i="13"/>
  <c r="M331" i="13"/>
  <c r="L331" i="13"/>
  <c r="K331" i="13"/>
  <c r="I331" i="13"/>
  <c r="G331" i="13"/>
  <c r="F331" i="13"/>
  <c r="U333" i="13"/>
  <c r="T333" i="13"/>
  <c r="S333" i="13"/>
  <c r="R333" i="13"/>
  <c r="Q333" i="13"/>
  <c r="P333" i="13"/>
  <c r="O333" i="13"/>
  <c r="M333" i="13"/>
  <c r="L333" i="13"/>
  <c r="K333" i="13"/>
  <c r="I333" i="13"/>
  <c r="U339" i="13"/>
  <c r="T339" i="13"/>
  <c r="S339" i="13"/>
  <c r="Q339" i="13"/>
  <c r="P339" i="13"/>
  <c r="O339" i="13"/>
  <c r="M339" i="13"/>
  <c r="L339" i="13"/>
  <c r="K339" i="13"/>
  <c r="J339" i="13"/>
  <c r="U347" i="13"/>
  <c r="T347" i="13"/>
  <c r="S347" i="13"/>
  <c r="R347" i="13"/>
  <c r="Q347" i="13"/>
  <c r="P347" i="13"/>
  <c r="O347" i="13"/>
  <c r="M347" i="13"/>
  <c r="L347" i="13"/>
  <c r="K347" i="13"/>
  <c r="J347" i="13"/>
  <c r="I347" i="13"/>
  <c r="H347" i="13"/>
  <c r="G347" i="13"/>
  <c r="F347" i="13"/>
  <c r="E347" i="13"/>
  <c r="U349" i="13"/>
  <c r="T349" i="13"/>
  <c r="S349" i="13"/>
  <c r="R349" i="13"/>
  <c r="Q349" i="13"/>
  <c r="P349" i="13"/>
  <c r="O349" i="13"/>
  <c r="N349" i="13"/>
  <c r="M349" i="13"/>
  <c r="L349" i="13"/>
  <c r="K349" i="13"/>
  <c r="J349" i="13"/>
  <c r="I349" i="13"/>
  <c r="H349" i="13"/>
  <c r="G349" i="13"/>
  <c r="F349" i="13"/>
  <c r="E349" i="13"/>
  <c r="U351" i="13"/>
  <c r="T351" i="13"/>
  <c r="S351" i="13"/>
  <c r="R351" i="13"/>
  <c r="Q351" i="13"/>
  <c r="P351" i="13"/>
  <c r="O351" i="13"/>
  <c r="M351" i="13"/>
  <c r="L351" i="13"/>
  <c r="K351" i="13"/>
  <c r="J351" i="13"/>
  <c r="I351" i="13"/>
  <c r="H351" i="13"/>
  <c r="G351" i="13"/>
  <c r="F351" i="13"/>
  <c r="E351" i="13"/>
  <c r="U355" i="13"/>
  <c r="T355" i="13"/>
  <c r="S355" i="13"/>
  <c r="Q355" i="13"/>
  <c r="P355" i="13"/>
  <c r="O355" i="13"/>
  <c r="M355" i="13"/>
  <c r="L355" i="13"/>
  <c r="K355" i="13"/>
  <c r="J355" i="13"/>
  <c r="U357" i="13"/>
  <c r="T357" i="13"/>
  <c r="S357" i="13"/>
  <c r="R357" i="13"/>
  <c r="Q357" i="13"/>
  <c r="P357" i="13"/>
  <c r="O357" i="13"/>
  <c r="M357" i="13"/>
  <c r="L357" i="13"/>
  <c r="K357" i="13"/>
  <c r="J357" i="13"/>
  <c r="I357" i="13"/>
  <c r="H357" i="13"/>
  <c r="G357" i="13"/>
  <c r="F357" i="13"/>
  <c r="E357" i="13"/>
  <c r="U360" i="13"/>
  <c r="T360" i="13"/>
  <c r="S360" i="13"/>
  <c r="R360" i="13"/>
  <c r="Q360" i="13"/>
  <c r="P360" i="13"/>
  <c r="O360" i="13"/>
  <c r="M360" i="13"/>
  <c r="L360" i="13"/>
  <c r="K360" i="13"/>
  <c r="J360" i="13"/>
  <c r="I360" i="13"/>
  <c r="H360" i="13"/>
  <c r="G360" i="13"/>
  <c r="F360" i="13"/>
  <c r="E360" i="13"/>
  <c r="U362" i="13"/>
  <c r="T362" i="13"/>
  <c r="S362" i="13"/>
  <c r="R362" i="13"/>
  <c r="Q362" i="13"/>
  <c r="P362" i="13"/>
  <c r="O362" i="13"/>
  <c r="N362" i="13"/>
  <c r="M362" i="13"/>
  <c r="L362" i="13"/>
  <c r="K362" i="13"/>
  <c r="J362" i="13"/>
  <c r="I362" i="13"/>
  <c r="H362" i="13"/>
  <c r="G362" i="13"/>
  <c r="F362" i="13"/>
  <c r="E362" i="13"/>
  <c r="U364" i="13"/>
  <c r="T364" i="13"/>
  <c r="S364" i="13"/>
  <c r="R364" i="13"/>
  <c r="Q364" i="13"/>
  <c r="P364" i="13"/>
  <c r="O364" i="13"/>
  <c r="M364" i="13"/>
  <c r="L364" i="13"/>
  <c r="K364" i="13"/>
  <c r="J364" i="13"/>
  <c r="I364" i="13"/>
  <c r="H364" i="13"/>
  <c r="G364" i="13"/>
  <c r="F364" i="13"/>
  <c r="E364" i="13"/>
  <c r="U368" i="13"/>
  <c r="T368" i="13"/>
  <c r="S368" i="13"/>
  <c r="R368" i="13"/>
  <c r="Q368" i="13"/>
  <c r="P368" i="13"/>
  <c r="O368" i="13"/>
  <c r="M368" i="13"/>
  <c r="L368" i="13"/>
  <c r="K368" i="13"/>
  <c r="J368" i="13"/>
  <c r="I368" i="13"/>
  <c r="H368" i="13"/>
  <c r="G368" i="13"/>
  <c r="F368" i="13"/>
  <c r="E368" i="13"/>
  <c r="U372" i="13"/>
  <c r="T372" i="13"/>
  <c r="S372" i="13"/>
  <c r="R372" i="13"/>
  <c r="Q372" i="13"/>
  <c r="P372" i="13"/>
  <c r="O372" i="13"/>
  <c r="M372" i="13"/>
  <c r="L372" i="13"/>
  <c r="K372" i="13"/>
  <c r="J372" i="13"/>
  <c r="I372" i="13"/>
  <c r="H372" i="13"/>
  <c r="G372" i="13"/>
  <c r="F372" i="13"/>
  <c r="E372" i="13"/>
  <c r="U374" i="13"/>
  <c r="T374" i="13"/>
  <c r="S374" i="13"/>
  <c r="R374" i="13"/>
  <c r="Q374" i="13"/>
  <c r="P374" i="13"/>
  <c r="O374" i="13"/>
  <c r="N374" i="13"/>
  <c r="M374" i="13"/>
  <c r="L374" i="13"/>
  <c r="K374" i="13"/>
  <c r="J374" i="13"/>
  <c r="I374" i="13"/>
  <c r="H374" i="13"/>
  <c r="G374" i="13"/>
  <c r="F374" i="13"/>
  <c r="E374" i="13"/>
  <c r="U376" i="13"/>
  <c r="T376" i="13"/>
  <c r="S376" i="13"/>
  <c r="Q376" i="13"/>
  <c r="P376" i="13"/>
  <c r="O376" i="13"/>
  <c r="M376" i="13"/>
  <c r="L376" i="13"/>
  <c r="K376" i="13"/>
  <c r="J376" i="13"/>
  <c r="I376" i="13"/>
  <c r="H376" i="13"/>
  <c r="G376" i="13"/>
  <c r="F376" i="13"/>
  <c r="E376" i="13"/>
  <c r="U383" i="13"/>
  <c r="T383" i="13"/>
  <c r="S383" i="13"/>
  <c r="R383" i="13"/>
  <c r="Q383" i="13"/>
  <c r="P383" i="13"/>
  <c r="O383" i="13"/>
  <c r="M383" i="13"/>
  <c r="L383" i="13"/>
  <c r="K383" i="13"/>
  <c r="J383" i="13"/>
  <c r="I383" i="13"/>
  <c r="H383" i="13"/>
  <c r="G383" i="13"/>
  <c r="F383" i="13"/>
  <c r="E383" i="13"/>
  <c r="U385" i="13"/>
  <c r="T385" i="13"/>
  <c r="Q385" i="13"/>
  <c r="O385" i="13"/>
  <c r="M385" i="13"/>
  <c r="L385" i="13"/>
  <c r="K385" i="13"/>
  <c r="U408" i="13"/>
  <c r="T408" i="13"/>
  <c r="S408" i="13"/>
  <c r="Q408" i="13"/>
  <c r="P408" i="13"/>
  <c r="O408" i="13"/>
  <c r="M408" i="13"/>
  <c r="L408" i="13"/>
  <c r="K408" i="13"/>
  <c r="U410" i="13"/>
  <c r="T410" i="13"/>
  <c r="S410" i="13"/>
  <c r="Q410" i="13"/>
  <c r="P410" i="13"/>
  <c r="O410" i="13"/>
  <c r="M410" i="13"/>
  <c r="L410" i="13"/>
  <c r="K410" i="13"/>
  <c r="U420" i="13"/>
  <c r="T420" i="13"/>
  <c r="S420" i="13"/>
  <c r="Q420" i="13"/>
  <c r="P420" i="13"/>
  <c r="O420" i="13"/>
  <c r="M420" i="13"/>
  <c r="L420" i="13"/>
  <c r="K420" i="13"/>
  <c r="U428" i="13"/>
  <c r="T428" i="13"/>
  <c r="S428" i="13"/>
  <c r="Q428" i="13"/>
  <c r="P428" i="13"/>
  <c r="O428" i="13"/>
  <c r="M428" i="13"/>
  <c r="L428" i="13"/>
  <c r="K428" i="13"/>
  <c r="J428" i="13"/>
  <c r="I428" i="13"/>
  <c r="H428" i="13"/>
  <c r="G428" i="13"/>
  <c r="F428" i="13"/>
  <c r="E428" i="13"/>
  <c r="U430" i="13"/>
  <c r="T430" i="13"/>
  <c r="S430" i="13"/>
  <c r="Q430" i="13"/>
  <c r="P430" i="13"/>
  <c r="O430" i="13"/>
  <c r="M430" i="13"/>
  <c r="L430" i="13"/>
  <c r="K430" i="13"/>
  <c r="H430" i="13"/>
  <c r="F430" i="13"/>
  <c r="U432" i="13"/>
  <c r="T432" i="13"/>
  <c r="S432" i="13"/>
  <c r="Q432" i="13"/>
  <c r="O432" i="13"/>
  <c r="M432" i="13"/>
  <c r="L432" i="13"/>
  <c r="K432" i="13"/>
  <c r="U451" i="13"/>
  <c r="T451" i="13"/>
  <c r="S451" i="13"/>
  <c r="Q451" i="13"/>
  <c r="P451" i="13"/>
  <c r="O451" i="13"/>
  <c r="N451" i="13"/>
  <c r="M451" i="13"/>
  <c r="L451" i="13"/>
  <c r="K451" i="13"/>
  <c r="J451" i="13"/>
  <c r="I451" i="13"/>
  <c r="H451" i="13"/>
  <c r="G451" i="13"/>
  <c r="F451" i="13"/>
  <c r="E451" i="13"/>
  <c r="U453" i="13"/>
  <c r="T453" i="13"/>
  <c r="S453" i="13"/>
  <c r="R453" i="13"/>
  <c r="Q453" i="13"/>
  <c r="P453" i="13"/>
  <c r="O453" i="13"/>
  <c r="N453" i="13"/>
  <c r="M453" i="13"/>
  <c r="L453" i="13"/>
  <c r="K453" i="13"/>
  <c r="I453" i="13"/>
  <c r="H453" i="13"/>
  <c r="G453" i="13"/>
  <c r="F453" i="13"/>
  <c r="E453" i="13"/>
  <c r="U455" i="13"/>
  <c r="T455" i="13"/>
  <c r="S455" i="13"/>
  <c r="Q455" i="13"/>
  <c r="P455" i="13"/>
  <c r="O455" i="13"/>
  <c r="M455" i="13"/>
  <c r="L455" i="13"/>
  <c r="K455" i="13"/>
  <c r="J455" i="13"/>
  <c r="I455" i="13"/>
  <c r="H455" i="13"/>
  <c r="G455" i="13"/>
  <c r="F455" i="13"/>
  <c r="E455" i="13"/>
  <c r="U458" i="13"/>
  <c r="T458" i="13"/>
  <c r="S458" i="13"/>
  <c r="Q458" i="13"/>
  <c r="P458" i="13"/>
  <c r="O458" i="13"/>
  <c r="M458" i="13"/>
  <c r="L458" i="13"/>
  <c r="K458" i="13"/>
  <c r="U462" i="13"/>
  <c r="T462" i="13"/>
  <c r="S462" i="13"/>
  <c r="Q462" i="13"/>
  <c r="O462" i="13"/>
  <c r="M462" i="13"/>
  <c r="K462" i="13"/>
  <c r="U727" i="13"/>
  <c r="T727" i="13"/>
  <c r="S727" i="13"/>
  <c r="Q727" i="13"/>
  <c r="P727" i="13"/>
  <c r="O727" i="13"/>
  <c r="M727" i="13"/>
  <c r="L727" i="13"/>
  <c r="K727" i="13"/>
  <c r="J727" i="13"/>
  <c r="U731" i="13"/>
  <c r="T731" i="13"/>
  <c r="S731" i="13"/>
  <c r="Q731" i="13"/>
  <c r="P731" i="13"/>
  <c r="O731" i="13"/>
  <c r="M731" i="13"/>
  <c r="L731" i="13"/>
  <c r="K731" i="13"/>
  <c r="J731" i="13"/>
  <c r="H731" i="13"/>
  <c r="U733" i="13"/>
  <c r="T733" i="13"/>
  <c r="S733" i="13"/>
  <c r="Q733" i="13"/>
  <c r="P733" i="13"/>
  <c r="O733" i="13"/>
  <c r="M733" i="13"/>
  <c r="L733" i="13"/>
  <c r="K733" i="13"/>
  <c r="J733" i="13"/>
  <c r="U736" i="13"/>
  <c r="T736" i="13"/>
  <c r="S736" i="13"/>
  <c r="Q736" i="13"/>
  <c r="P736" i="13"/>
  <c r="O736" i="13"/>
  <c r="M736" i="13"/>
  <c r="L736" i="13"/>
  <c r="K736" i="13"/>
  <c r="J736" i="13"/>
  <c r="U747" i="13"/>
  <c r="T747" i="13"/>
  <c r="S747" i="13"/>
  <c r="Q747" i="13"/>
  <c r="P747" i="13"/>
  <c r="O747" i="13"/>
  <c r="M747" i="13"/>
  <c r="L747" i="13"/>
  <c r="K747" i="13"/>
  <c r="J747" i="13"/>
  <c r="I747" i="13"/>
  <c r="H747" i="13"/>
  <c r="G747" i="13"/>
  <c r="F747" i="13"/>
  <c r="U749" i="13"/>
  <c r="T749" i="13"/>
  <c r="S749" i="13"/>
  <c r="Q749" i="13"/>
  <c r="P749" i="13"/>
  <c r="O749" i="13"/>
  <c r="M749" i="13"/>
  <c r="L749" i="13"/>
  <c r="K749" i="13"/>
  <c r="J749" i="13"/>
  <c r="I749" i="13"/>
  <c r="H749" i="13"/>
  <c r="G749" i="13"/>
  <c r="F749" i="13"/>
  <c r="U753" i="13"/>
  <c r="T753" i="13"/>
  <c r="S753" i="13"/>
  <c r="Q753" i="13"/>
  <c r="P753" i="13"/>
  <c r="O753" i="13"/>
  <c r="M753" i="13"/>
  <c r="L753" i="13"/>
  <c r="K753" i="13"/>
  <c r="J753" i="13"/>
  <c r="U755" i="13"/>
  <c r="T755" i="13"/>
  <c r="S755" i="13"/>
  <c r="Q755" i="13"/>
  <c r="P755" i="13"/>
  <c r="O755" i="13"/>
  <c r="M755" i="13"/>
  <c r="L755" i="13"/>
  <c r="K755" i="13"/>
  <c r="J755" i="13"/>
  <c r="F755" i="13"/>
  <c r="U759" i="13"/>
  <c r="T759" i="13"/>
  <c r="S759" i="13"/>
  <c r="Q759" i="13"/>
  <c r="P759" i="13"/>
  <c r="O759" i="13"/>
  <c r="M759" i="13"/>
  <c r="L759" i="13"/>
  <c r="K759" i="13"/>
  <c r="J759" i="13"/>
  <c r="I759" i="13"/>
  <c r="H759" i="13"/>
  <c r="G759" i="13"/>
  <c r="F759" i="13"/>
  <c r="E759" i="13"/>
  <c r="U761" i="13"/>
  <c r="T761" i="13"/>
  <c r="S761" i="13"/>
  <c r="R761" i="13"/>
  <c r="Q761" i="13"/>
  <c r="P761" i="13"/>
  <c r="O761" i="13"/>
  <c r="N761" i="13"/>
  <c r="M761" i="13"/>
  <c r="L761" i="13"/>
  <c r="K761" i="13"/>
  <c r="J761" i="13"/>
  <c r="I761" i="13"/>
  <c r="H761" i="13"/>
  <c r="G761" i="13"/>
  <c r="F761" i="13"/>
  <c r="U763" i="13"/>
  <c r="T763" i="13"/>
  <c r="S763" i="13"/>
  <c r="Q763" i="13"/>
  <c r="P763" i="13"/>
  <c r="O763" i="13"/>
  <c r="M763" i="13"/>
  <c r="L763" i="13"/>
  <c r="K763" i="13"/>
  <c r="U766" i="13"/>
  <c r="T766" i="13"/>
  <c r="S766" i="13"/>
  <c r="Q766" i="13"/>
  <c r="P766" i="13"/>
  <c r="O766" i="13"/>
  <c r="M766" i="13"/>
  <c r="L766" i="13"/>
  <c r="K766" i="13"/>
  <c r="J766" i="13"/>
  <c r="U783" i="13"/>
  <c r="T783" i="13"/>
  <c r="S783" i="13"/>
  <c r="Q783" i="13"/>
  <c r="P783" i="13"/>
  <c r="O783" i="13"/>
  <c r="M783" i="13"/>
  <c r="L783" i="13"/>
  <c r="K783" i="13"/>
  <c r="J783" i="13"/>
  <c r="U786" i="13"/>
  <c r="T786" i="13"/>
  <c r="S786" i="13"/>
  <c r="R786" i="13"/>
  <c r="Q786" i="13"/>
  <c r="P786" i="13"/>
  <c r="O786" i="13"/>
  <c r="M786" i="13"/>
  <c r="L786" i="13"/>
  <c r="K786" i="13"/>
  <c r="J786" i="13"/>
  <c r="E786" i="13"/>
  <c r="M285" i="13" l="1"/>
  <c r="O285" i="13"/>
  <c r="T285" i="13"/>
  <c r="K285" i="13"/>
  <c r="Q285" i="13"/>
  <c r="U285" i="13"/>
  <c r="C1103" i="13"/>
  <c r="V682" i="13" l="1"/>
  <c r="J682" i="13"/>
  <c r="D682" i="13" s="1"/>
  <c r="C682" i="13" s="1"/>
  <c r="V680" i="13"/>
  <c r="J680" i="13"/>
  <c r="D680" i="13" s="1"/>
  <c r="C680" i="13" s="1"/>
  <c r="V662" i="13"/>
  <c r="D662" i="13"/>
  <c r="C662" i="13" s="1"/>
  <c r="V565" i="13"/>
  <c r="J565" i="13"/>
  <c r="D565" i="13" s="1"/>
  <c r="C565" i="13" s="1"/>
  <c r="V523" i="13"/>
  <c r="J523" i="13"/>
  <c r="D523" i="13" s="1"/>
  <c r="C523" i="13" s="1"/>
  <c r="V522" i="13"/>
  <c r="J522" i="13"/>
  <c r="D522" i="13" s="1"/>
  <c r="C522" i="13" s="1"/>
  <c r="V521" i="13"/>
  <c r="J521" i="13"/>
  <c r="D521" i="13" s="1"/>
  <c r="C521" i="13" s="1"/>
  <c r="V524" i="13"/>
  <c r="J524" i="13"/>
  <c r="D524" i="13" s="1"/>
  <c r="C524" i="13" s="1"/>
  <c r="V454" i="13"/>
  <c r="J454" i="13"/>
  <c r="V438" i="13"/>
  <c r="J438" i="13"/>
  <c r="H438" i="13"/>
  <c r="V434" i="13"/>
  <c r="J434" i="13"/>
  <c r="H434" i="13"/>
  <c r="D454" i="13" l="1"/>
  <c r="D453" i="13" s="1"/>
  <c r="J453" i="13"/>
  <c r="D438" i="13"/>
  <c r="C438" i="13" s="1"/>
  <c r="D434" i="13"/>
  <c r="C434" i="13" s="1"/>
  <c r="C454" i="13" l="1"/>
  <c r="V696" i="13"/>
  <c r="D696" i="13"/>
  <c r="C696" i="13" s="1"/>
  <c r="C453" i="13" l="1"/>
  <c r="V453" i="13" s="1"/>
  <c r="E566" i="13"/>
  <c r="F566" i="13"/>
  <c r="G566" i="13"/>
  <c r="H566" i="13"/>
  <c r="I566" i="13"/>
  <c r="E431" i="13"/>
  <c r="E430" i="13" s="1"/>
  <c r="G431" i="13"/>
  <c r="G430" i="13" s="1"/>
  <c r="I431" i="13"/>
  <c r="I430" i="13" s="1"/>
  <c r="E770" i="13"/>
  <c r="F770" i="13"/>
  <c r="G770" i="13"/>
  <c r="I770" i="13"/>
  <c r="E735" i="13"/>
  <c r="F735" i="13"/>
  <c r="G735" i="13"/>
  <c r="H735" i="13"/>
  <c r="I735" i="13"/>
  <c r="E734" i="13"/>
  <c r="F734" i="13"/>
  <c r="G734" i="13"/>
  <c r="H734" i="13"/>
  <c r="I734" i="13"/>
  <c r="E729" i="13"/>
  <c r="F729" i="13"/>
  <c r="G729" i="13"/>
  <c r="H729" i="13"/>
  <c r="I729" i="13"/>
  <c r="E728" i="13"/>
  <c r="F728" i="13"/>
  <c r="G728" i="13"/>
  <c r="H728" i="13"/>
  <c r="I728" i="13"/>
  <c r="E691" i="13"/>
  <c r="F691" i="13"/>
  <c r="G691" i="13"/>
  <c r="I691" i="13"/>
  <c r="E690" i="13"/>
  <c r="F690" i="13"/>
  <c r="G690" i="13"/>
  <c r="I690" i="13"/>
  <c r="E689" i="13"/>
  <c r="F689" i="13"/>
  <c r="G689" i="13"/>
  <c r="I689" i="13"/>
  <c r="H689" i="13"/>
  <c r="E688" i="13"/>
  <c r="F688" i="13"/>
  <c r="G688" i="13"/>
  <c r="H688" i="13"/>
  <c r="I688" i="13"/>
  <c r="E653" i="13"/>
  <c r="F653" i="13"/>
  <c r="G653" i="13"/>
  <c r="H653" i="13"/>
  <c r="I653" i="13"/>
  <c r="V184" i="13"/>
  <c r="J184" i="13"/>
  <c r="D184" i="13" s="1"/>
  <c r="C184" i="13" s="1"/>
  <c r="F733" i="13" l="1"/>
  <c r="G733" i="13"/>
  <c r="H733" i="13"/>
  <c r="I733" i="13"/>
  <c r="E733" i="13"/>
  <c r="V197" i="13"/>
  <c r="J197" i="13"/>
  <c r="D197" i="13" s="1"/>
  <c r="C197" i="13" s="1"/>
  <c r="R1050" i="13" l="1"/>
  <c r="N1050" i="13"/>
  <c r="V1050" i="13" s="1"/>
  <c r="D1050" i="13"/>
  <c r="V579" i="13"/>
  <c r="J579" i="13"/>
  <c r="I579" i="13"/>
  <c r="H579" i="13"/>
  <c r="G579" i="13"/>
  <c r="F579" i="13"/>
  <c r="E579" i="13"/>
  <c r="V578" i="13"/>
  <c r="J578" i="13"/>
  <c r="I578" i="13"/>
  <c r="H578" i="13"/>
  <c r="G578" i="13"/>
  <c r="F578" i="13"/>
  <c r="E578" i="13"/>
  <c r="V533" i="13"/>
  <c r="J533" i="13"/>
  <c r="I533" i="13"/>
  <c r="H533" i="13"/>
  <c r="G533" i="13"/>
  <c r="F533" i="13"/>
  <c r="E533" i="13"/>
  <c r="V529" i="13"/>
  <c r="J529" i="13"/>
  <c r="I529" i="13"/>
  <c r="H529" i="13"/>
  <c r="G529" i="13"/>
  <c r="F529" i="13"/>
  <c r="E529" i="13"/>
  <c r="V528" i="13"/>
  <c r="J528" i="13"/>
  <c r="I528" i="13"/>
  <c r="H528" i="13"/>
  <c r="G528" i="13"/>
  <c r="F528" i="13"/>
  <c r="E528" i="13"/>
  <c r="S393" i="13"/>
  <c r="R393" i="13"/>
  <c r="N393" i="13"/>
  <c r="V393" i="13" s="1"/>
  <c r="J393" i="13"/>
  <c r="H393" i="13"/>
  <c r="E393" i="13"/>
  <c r="N768" i="13"/>
  <c r="V768" i="13" s="1"/>
  <c r="D768" i="13"/>
  <c r="C1050" i="13" l="1"/>
  <c r="C768" i="13"/>
  <c r="D578" i="13"/>
  <c r="C578" i="13" s="1"/>
  <c r="D579" i="13"/>
  <c r="C579" i="13" s="1"/>
  <c r="D533" i="13"/>
  <c r="C533" i="13" s="1"/>
  <c r="D393" i="13"/>
  <c r="C393" i="13" s="1"/>
  <c r="D528" i="13"/>
  <c r="C528" i="13" s="1"/>
  <c r="D529" i="13"/>
  <c r="C529" i="13" s="1"/>
  <c r="V635" i="13"/>
  <c r="J635" i="13"/>
  <c r="I635" i="13"/>
  <c r="H635" i="13"/>
  <c r="G635" i="13"/>
  <c r="F635" i="13"/>
  <c r="E635" i="13"/>
  <c r="R198" i="13"/>
  <c r="V198" i="13"/>
  <c r="D198" i="13"/>
  <c r="V187" i="13"/>
  <c r="J187" i="13"/>
  <c r="D187" i="13" s="1"/>
  <c r="C187" i="13" s="1"/>
  <c r="V130" i="13"/>
  <c r="D130" i="13"/>
  <c r="C130" i="13" s="1"/>
  <c r="V129" i="13"/>
  <c r="D129" i="13"/>
  <c r="C129" i="13" s="1"/>
  <c r="V128" i="13"/>
  <c r="D128" i="13"/>
  <c r="C128" i="13" s="1"/>
  <c r="V363" i="13"/>
  <c r="D363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U11" i="13"/>
  <c r="T11" i="13"/>
  <c r="S11" i="13"/>
  <c r="R11" i="13"/>
  <c r="Q11" i="13"/>
  <c r="P11" i="13"/>
  <c r="O11" i="13"/>
  <c r="N11" i="13"/>
  <c r="M11" i="13"/>
  <c r="L11" i="13"/>
  <c r="K11" i="13"/>
  <c r="I11" i="13"/>
  <c r="H11" i="13"/>
  <c r="G11" i="13"/>
  <c r="F11" i="13"/>
  <c r="E11" i="13"/>
  <c r="C363" i="13" l="1"/>
  <c r="C362" i="13" s="1"/>
  <c r="V362" i="13" s="1"/>
  <c r="D362" i="13"/>
  <c r="D635" i="13"/>
  <c r="C635" i="13" s="1"/>
  <c r="C198" i="13"/>
  <c r="V762" i="13"/>
  <c r="E762" i="13"/>
  <c r="N699" i="13"/>
  <c r="N577" i="13"/>
  <c r="N369" i="13"/>
  <c r="D369" i="13"/>
  <c r="I503" i="13"/>
  <c r="F503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R781" i="13"/>
  <c r="R775" i="13"/>
  <c r="N775" i="13"/>
  <c r="V775" i="13" s="1"/>
  <c r="R676" i="13"/>
  <c r="N676" i="13"/>
  <c r="R675" i="13"/>
  <c r="N675" i="13"/>
  <c r="I675" i="13"/>
  <c r="H675" i="13"/>
  <c r="F675" i="13"/>
  <c r="R674" i="13"/>
  <c r="N674" i="13"/>
  <c r="N663" i="13"/>
  <c r="N657" i="13"/>
  <c r="N629" i="13"/>
  <c r="R609" i="13"/>
  <c r="N609" i="13"/>
  <c r="N575" i="13"/>
  <c r="R570" i="13"/>
  <c r="N570" i="13"/>
  <c r="N469" i="13"/>
  <c r="N468" i="13"/>
  <c r="N467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V369" i="13" l="1"/>
  <c r="D762" i="13"/>
  <c r="D761" i="13" s="1"/>
  <c r="E761" i="13"/>
  <c r="C369" i="13"/>
  <c r="R435" i="13"/>
  <c r="N435" i="13"/>
  <c r="D435" i="13"/>
  <c r="V782" i="13"/>
  <c r="D782" i="13"/>
  <c r="C782" i="13" s="1"/>
  <c r="V626" i="13"/>
  <c r="L626" i="13"/>
  <c r="D626" i="13"/>
  <c r="V600" i="13"/>
  <c r="L600" i="13"/>
  <c r="D600" i="13"/>
  <c r="N328" i="13"/>
  <c r="N683" i="13"/>
  <c r="N636" i="13"/>
  <c r="R620" i="13"/>
  <c r="N619" i="13"/>
  <c r="N606" i="13"/>
  <c r="P520" i="13"/>
  <c r="P462" i="13" s="1"/>
  <c r="N399" i="13"/>
  <c r="I289" i="13"/>
  <c r="I288" i="13"/>
  <c r="F289" i="13"/>
  <c r="F288" i="13"/>
  <c r="I773" i="13"/>
  <c r="G773" i="13"/>
  <c r="F773" i="13"/>
  <c r="E773" i="13"/>
  <c r="I772" i="13"/>
  <c r="G772" i="13"/>
  <c r="F772" i="13"/>
  <c r="E772" i="13"/>
  <c r="I771" i="13"/>
  <c r="G771" i="13"/>
  <c r="F771" i="13"/>
  <c r="E771" i="13"/>
  <c r="I769" i="13"/>
  <c r="G769" i="13"/>
  <c r="F769" i="13"/>
  <c r="E769" i="13"/>
  <c r="D281" i="13"/>
  <c r="C281" i="13" s="1"/>
  <c r="U1161" i="13"/>
  <c r="T1161" i="13"/>
  <c r="S1161" i="13"/>
  <c r="Q1161" i="13"/>
  <c r="P1161" i="13"/>
  <c r="O1161" i="13"/>
  <c r="M1161" i="13"/>
  <c r="L1161" i="13"/>
  <c r="K1161" i="13"/>
  <c r="J1161" i="13"/>
  <c r="E1161" i="13"/>
  <c r="D1162" i="13"/>
  <c r="C1162" i="13" s="1"/>
  <c r="D1164" i="13"/>
  <c r="C762" i="13" l="1"/>
  <c r="C761" i="13" s="1"/>
  <c r="V761" i="13" s="1"/>
  <c r="V435" i="13"/>
  <c r="C626" i="13"/>
  <c r="C600" i="13"/>
  <c r="C435" i="13"/>
  <c r="C1164" i="13"/>
  <c r="V500" i="13"/>
  <c r="J500" i="13"/>
  <c r="H500" i="13"/>
  <c r="F500" i="13"/>
  <c r="V594" i="13"/>
  <c r="J594" i="13"/>
  <c r="I594" i="13"/>
  <c r="H594" i="13"/>
  <c r="G594" i="13"/>
  <c r="F594" i="13"/>
  <c r="U854" i="13"/>
  <c r="T854" i="13"/>
  <c r="S854" i="13"/>
  <c r="R854" i="13"/>
  <c r="Q854" i="13"/>
  <c r="P854" i="13"/>
  <c r="O854" i="13"/>
  <c r="M854" i="13"/>
  <c r="L854" i="13"/>
  <c r="K854" i="13"/>
  <c r="J854" i="13"/>
  <c r="I854" i="13"/>
  <c r="H854" i="13"/>
  <c r="G854" i="13"/>
  <c r="F854" i="13"/>
  <c r="E854" i="13"/>
  <c r="D857" i="13"/>
  <c r="C857" i="13" s="1"/>
  <c r="V303" i="13"/>
  <c r="L303" i="13"/>
  <c r="D303" i="13"/>
  <c r="U891" i="13"/>
  <c r="T891" i="13"/>
  <c r="S891" i="13"/>
  <c r="Q891" i="13"/>
  <c r="P891" i="13"/>
  <c r="O891" i="13"/>
  <c r="M891" i="13"/>
  <c r="L891" i="13"/>
  <c r="K891" i="13"/>
  <c r="J891" i="13"/>
  <c r="E895" i="13"/>
  <c r="D895" i="13" s="1"/>
  <c r="V895" i="13"/>
  <c r="I463" i="13"/>
  <c r="H463" i="13"/>
  <c r="G463" i="13"/>
  <c r="F463" i="13"/>
  <c r="E463" i="13"/>
  <c r="I611" i="13"/>
  <c r="H611" i="13"/>
  <c r="G611" i="13"/>
  <c r="F611" i="13"/>
  <c r="E611" i="13"/>
  <c r="I502" i="13"/>
  <c r="G502" i="13"/>
  <c r="F502" i="13"/>
  <c r="E502" i="13"/>
  <c r="D500" i="13" l="1"/>
  <c r="C500" i="13" s="1"/>
  <c r="D594" i="13"/>
  <c r="C594" i="13" s="1"/>
  <c r="C303" i="13"/>
  <c r="C895" i="13"/>
  <c r="I446" i="13" l="1"/>
  <c r="G446" i="13"/>
  <c r="F446" i="13"/>
  <c r="E446" i="13"/>
  <c r="I445" i="13"/>
  <c r="G445" i="13"/>
  <c r="F445" i="13"/>
  <c r="E445" i="13"/>
  <c r="I441" i="13"/>
  <c r="G441" i="13"/>
  <c r="F441" i="13"/>
  <c r="E441" i="13"/>
  <c r="I439" i="13"/>
  <c r="G439" i="13"/>
  <c r="F439" i="13"/>
  <c r="E439" i="13"/>
  <c r="N459" i="13"/>
  <c r="N458" i="13" s="1"/>
  <c r="E459" i="13"/>
  <c r="E458" i="13" s="1"/>
  <c r="I322" i="13"/>
  <c r="I321" i="13" s="1"/>
  <c r="G322" i="13"/>
  <c r="G321" i="13" s="1"/>
  <c r="E322" i="13"/>
  <c r="E321" i="13" s="1"/>
  <c r="E756" i="13"/>
  <c r="E755" i="13" s="1"/>
  <c r="G424" i="13"/>
  <c r="E424" i="13"/>
  <c r="I422" i="13"/>
  <c r="H422" i="13"/>
  <c r="G422" i="13"/>
  <c r="F422" i="13"/>
  <c r="E422" i="13"/>
  <c r="I421" i="13"/>
  <c r="H421" i="13"/>
  <c r="G421" i="13"/>
  <c r="F421" i="13"/>
  <c r="E421" i="13"/>
  <c r="E332" i="13"/>
  <c r="E331" i="13" s="1"/>
  <c r="E326" i="13"/>
  <c r="E325" i="13" s="1"/>
  <c r="I419" i="13"/>
  <c r="H419" i="13"/>
  <c r="G419" i="13"/>
  <c r="F419" i="13"/>
  <c r="E419" i="13"/>
  <c r="I418" i="13"/>
  <c r="H418" i="13"/>
  <c r="G418" i="13"/>
  <c r="F418" i="13"/>
  <c r="E418" i="13"/>
  <c r="I416" i="13"/>
  <c r="G416" i="13"/>
  <c r="F416" i="13"/>
  <c r="E416" i="13"/>
  <c r="I415" i="13"/>
  <c r="G415" i="13"/>
  <c r="F415" i="13"/>
  <c r="E415" i="13"/>
  <c r="G411" i="13"/>
  <c r="F411" i="13"/>
  <c r="E411" i="13"/>
  <c r="E409" i="13"/>
  <c r="E408" i="13" s="1"/>
  <c r="I448" i="13"/>
  <c r="G448" i="13"/>
  <c r="F448" i="13"/>
  <c r="E448" i="13"/>
  <c r="I437" i="13"/>
  <c r="G437" i="13"/>
  <c r="F437" i="13"/>
  <c r="E437" i="13"/>
  <c r="I436" i="13"/>
  <c r="G436" i="13"/>
  <c r="F436" i="13"/>
  <c r="E436" i="13"/>
  <c r="I442" i="13"/>
  <c r="G442" i="13"/>
  <c r="F442" i="13"/>
  <c r="E442" i="13"/>
  <c r="I440" i="13"/>
  <c r="G440" i="13"/>
  <c r="F440" i="13"/>
  <c r="E440" i="13"/>
  <c r="I443" i="13"/>
  <c r="G443" i="13"/>
  <c r="F443" i="13"/>
  <c r="E443" i="13"/>
  <c r="I290" i="13"/>
  <c r="G290" i="13"/>
  <c r="E290" i="13"/>
  <c r="I287" i="13"/>
  <c r="I286" i="13" s="1"/>
  <c r="G287" i="13"/>
  <c r="E287" i="13"/>
  <c r="E432" i="13" l="1"/>
  <c r="I432" i="13"/>
  <c r="I420" i="13"/>
  <c r="G432" i="13"/>
  <c r="F432" i="13"/>
  <c r="G420" i="13"/>
  <c r="I849" i="13"/>
  <c r="H849" i="13"/>
  <c r="G849" i="13"/>
  <c r="F849" i="13"/>
  <c r="E849" i="13"/>
  <c r="N848" i="13"/>
  <c r="D848" i="13"/>
  <c r="P445" i="13"/>
  <c r="P439" i="13"/>
  <c r="U1148" i="13"/>
  <c r="T1148" i="13"/>
  <c r="S1148" i="13"/>
  <c r="Q1148" i="13"/>
  <c r="P1148" i="13"/>
  <c r="O1148" i="13"/>
  <c r="M1148" i="13"/>
  <c r="L1148" i="13"/>
  <c r="K1148" i="13"/>
  <c r="J1148" i="13"/>
  <c r="I1167" i="13"/>
  <c r="I1166" i="13"/>
  <c r="I1163" i="13"/>
  <c r="I1161" i="13" s="1"/>
  <c r="I1160" i="13"/>
  <c r="I1159" i="13"/>
  <c r="I1158" i="13"/>
  <c r="I1157" i="13"/>
  <c r="I1156" i="13"/>
  <c r="I1151" i="13"/>
  <c r="I1150" i="13"/>
  <c r="I1149" i="13"/>
  <c r="I1155" i="13"/>
  <c r="I1154" i="13"/>
  <c r="I1153" i="13"/>
  <c r="I1152" i="13"/>
  <c r="I1147" i="13"/>
  <c r="I1141" i="13"/>
  <c r="I1139" i="13"/>
  <c r="I1132" i="13"/>
  <c r="I1128" i="13"/>
  <c r="I1125" i="13"/>
  <c r="I1123" i="13"/>
  <c r="I1121" i="13"/>
  <c r="I1119" i="13"/>
  <c r="I1109" i="13"/>
  <c r="I1108" i="13"/>
  <c r="I1107" i="13"/>
  <c r="I1081" i="13"/>
  <c r="I1060" i="13"/>
  <c r="I1048" i="13"/>
  <c r="I1045" i="13"/>
  <c r="I1020" i="13"/>
  <c r="I1014" i="13"/>
  <c r="I1013" i="13"/>
  <c r="I986" i="13"/>
  <c r="I982" i="13"/>
  <c r="I960" i="13"/>
  <c r="I949" i="13"/>
  <c r="I932" i="13"/>
  <c r="I922" i="13"/>
  <c r="I921" i="13"/>
  <c r="I919" i="13"/>
  <c r="I918" i="13"/>
  <c r="I916" i="13"/>
  <c r="I915" i="13"/>
  <c r="I914" i="13"/>
  <c r="I913" i="13"/>
  <c r="I912" i="13"/>
  <c r="I909" i="13"/>
  <c r="I908" i="13"/>
  <c r="I906" i="13"/>
  <c r="I904" i="13"/>
  <c r="I900" i="13"/>
  <c r="I901" i="13"/>
  <c r="I899" i="13"/>
  <c r="I897" i="13"/>
  <c r="I896" i="13"/>
  <c r="I894" i="13"/>
  <c r="I890" i="13"/>
  <c r="I889" i="13"/>
  <c r="I888" i="13"/>
  <c r="I886" i="13"/>
  <c r="I883" i="13"/>
  <c r="I882" i="13"/>
  <c r="I881" i="13"/>
  <c r="I880" i="13"/>
  <c r="I879" i="13"/>
  <c r="I878" i="13"/>
  <c r="I877" i="13"/>
  <c r="I871" i="13"/>
  <c r="I867" i="13"/>
  <c r="I861" i="13"/>
  <c r="I853" i="13"/>
  <c r="I833" i="13"/>
  <c r="I832" i="13"/>
  <c r="I831" i="13"/>
  <c r="I826" i="13"/>
  <c r="I825" i="13"/>
  <c r="I819" i="13"/>
  <c r="I818" i="13"/>
  <c r="I811" i="13"/>
  <c r="I810" i="13"/>
  <c r="I804" i="13"/>
  <c r="I797" i="13"/>
  <c r="I787" i="13"/>
  <c r="I786" i="13" s="1"/>
  <c r="I784" i="13"/>
  <c r="I783" i="13" s="1"/>
  <c r="I780" i="13"/>
  <c r="I779" i="13"/>
  <c r="I778" i="13"/>
  <c r="I777" i="13"/>
  <c r="I776" i="13"/>
  <c r="I775" i="13"/>
  <c r="I767" i="13"/>
  <c r="I756" i="13"/>
  <c r="I755" i="13" s="1"/>
  <c r="I754" i="13"/>
  <c r="I753" i="13" s="1"/>
  <c r="I743" i="13"/>
  <c r="I745" i="13"/>
  <c r="I744" i="13"/>
  <c r="I741" i="13"/>
  <c r="I732" i="13"/>
  <c r="I731" i="13" s="1"/>
  <c r="I730" i="13"/>
  <c r="I727" i="13" s="1"/>
  <c r="I723" i="13"/>
  <c r="I697" i="13"/>
  <c r="I687" i="13"/>
  <c r="I681" i="13"/>
  <c r="I679" i="13"/>
  <c r="I678" i="13"/>
  <c r="I670" i="13"/>
  <c r="I646" i="13"/>
  <c r="I1055" i="13"/>
  <c r="I1054" i="13"/>
  <c r="I628" i="13"/>
  <c r="I622" i="13"/>
  <c r="I605" i="13"/>
  <c r="I604" i="13"/>
  <c r="I573" i="13"/>
  <c r="I552" i="13"/>
  <c r="I530" i="13"/>
  <c r="I526" i="13"/>
  <c r="I511" i="13"/>
  <c r="I948" i="13"/>
  <c r="I501" i="13"/>
  <c r="I489" i="13"/>
  <c r="I488" i="13"/>
  <c r="I483" i="13"/>
  <c r="I476" i="13"/>
  <c r="I472" i="13"/>
  <c r="I459" i="13"/>
  <c r="I458" i="13" s="1"/>
  <c r="I414" i="13"/>
  <c r="I413" i="13"/>
  <c r="I412" i="13"/>
  <c r="I411" i="13"/>
  <c r="I409" i="13"/>
  <c r="I408" i="13" s="1"/>
  <c r="I405" i="13"/>
  <c r="I403" i="13"/>
  <c r="I399" i="13"/>
  <c r="I402" i="13"/>
  <c r="I397" i="13"/>
  <c r="I398" i="13"/>
  <c r="I396" i="13"/>
  <c r="I395" i="13"/>
  <c r="I394" i="13"/>
  <c r="I391" i="13"/>
  <c r="I390" i="13"/>
  <c r="I356" i="13"/>
  <c r="I355" i="13" s="1"/>
  <c r="I343" i="13"/>
  <c r="I342" i="13"/>
  <c r="I312" i="13"/>
  <c r="I296" i="13"/>
  <c r="I294" i="13"/>
  <c r="H1166" i="13"/>
  <c r="H1163" i="13"/>
  <c r="H1161" i="13" s="1"/>
  <c r="H1160" i="13"/>
  <c r="H1159" i="13"/>
  <c r="H1158" i="13"/>
  <c r="H1157" i="13"/>
  <c r="H1156" i="13"/>
  <c r="H1151" i="13"/>
  <c r="H1150" i="13"/>
  <c r="H1149" i="13"/>
  <c r="H1155" i="13"/>
  <c r="H1154" i="13"/>
  <c r="H1153" i="13"/>
  <c r="H1152" i="13"/>
  <c r="H1147" i="13"/>
  <c r="H1141" i="13"/>
  <c r="H1139" i="13"/>
  <c r="H1132" i="13"/>
  <c r="H1128" i="13"/>
  <c r="H1125" i="13"/>
  <c r="H1123" i="13"/>
  <c r="H1121" i="13"/>
  <c r="H1119" i="13"/>
  <c r="H1109" i="13"/>
  <c r="H1108" i="13"/>
  <c r="H1107" i="13"/>
  <c r="H1081" i="13"/>
  <c r="H1060" i="13"/>
  <c r="H1048" i="13"/>
  <c r="H1045" i="13"/>
  <c r="H1020" i="13"/>
  <c r="H1014" i="13"/>
  <c r="H1013" i="13"/>
  <c r="H986" i="13"/>
  <c r="H982" i="13"/>
  <c r="H960" i="13"/>
  <c r="H949" i="13"/>
  <c r="H932" i="13"/>
  <c r="H922" i="13"/>
  <c r="H921" i="13"/>
  <c r="H919" i="13"/>
  <c r="H918" i="13"/>
  <c r="H916" i="13"/>
  <c r="H915" i="13"/>
  <c r="H914" i="13"/>
  <c r="H913" i="13"/>
  <c r="H912" i="13"/>
  <c r="H909" i="13"/>
  <c r="H908" i="13"/>
  <c r="H904" i="13"/>
  <c r="H902" i="13"/>
  <c r="H900" i="13"/>
  <c r="H901" i="13"/>
  <c r="H899" i="13"/>
  <c r="H897" i="13"/>
  <c r="H896" i="13"/>
  <c r="H894" i="13"/>
  <c r="H890" i="13"/>
  <c r="H889" i="13"/>
  <c r="H888" i="13"/>
  <c r="H886" i="13"/>
  <c r="H883" i="13"/>
  <c r="H882" i="13"/>
  <c r="H881" i="13"/>
  <c r="H878" i="13"/>
  <c r="H877" i="13"/>
  <c r="H871" i="13"/>
  <c r="H867" i="13"/>
  <c r="H861" i="13"/>
  <c r="H833" i="13"/>
  <c r="H832" i="13"/>
  <c r="H826" i="13"/>
  <c r="H825" i="13"/>
  <c r="H818" i="13"/>
  <c r="H810" i="13"/>
  <c r="H804" i="13"/>
  <c r="H797" i="13"/>
  <c r="H787" i="13"/>
  <c r="H786" i="13" s="1"/>
  <c r="H784" i="13"/>
  <c r="H783" i="13" s="1"/>
  <c r="H780" i="13"/>
  <c r="H779" i="13"/>
  <c r="H778" i="13"/>
  <c r="H777" i="13"/>
  <c r="H776" i="13"/>
  <c r="H775" i="13"/>
  <c r="H773" i="13"/>
  <c r="H772" i="13"/>
  <c r="H771" i="13"/>
  <c r="H770" i="13"/>
  <c r="H769" i="13"/>
  <c r="H767" i="13"/>
  <c r="H756" i="13"/>
  <c r="H755" i="13" s="1"/>
  <c r="H754" i="13"/>
  <c r="H753" i="13" s="1"/>
  <c r="H743" i="13"/>
  <c r="H745" i="13"/>
  <c r="H744" i="13"/>
  <c r="H741" i="13"/>
  <c r="H730" i="13"/>
  <c r="H727" i="13" s="1"/>
  <c r="H723" i="13"/>
  <c r="H697" i="13"/>
  <c r="H687" i="13"/>
  <c r="H681" i="13"/>
  <c r="H679" i="13"/>
  <c r="H678" i="13"/>
  <c r="H670" i="13"/>
  <c r="H646" i="13"/>
  <c r="H1055" i="13"/>
  <c r="H1054" i="13"/>
  <c r="H628" i="13"/>
  <c r="H622" i="13"/>
  <c r="H605" i="13"/>
  <c r="H604" i="13"/>
  <c r="H573" i="13"/>
  <c r="H552" i="13"/>
  <c r="H530" i="13"/>
  <c r="H526" i="13"/>
  <c r="H511" i="13"/>
  <c r="H948" i="13"/>
  <c r="H489" i="13"/>
  <c r="H488" i="13"/>
  <c r="F488" i="13"/>
  <c r="G488" i="13"/>
  <c r="E488" i="13"/>
  <c r="H483" i="13"/>
  <c r="H476" i="13"/>
  <c r="H1167" i="13"/>
  <c r="F511" i="13"/>
  <c r="F476" i="13"/>
  <c r="F472" i="13"/>
  <c r="G476" i="13"/>
  <c r="E476" i="13"/>
  <c r="I339" i="13" l="1"/>
  <c r="I385" i="13"/>
  <c r="I410" i="13"/>
  <c r="I291" i="13"/>
  <c r="P432" i="13"/>
  <c r="H766" i="13"/>
  <c r="I766" i="13"/>
  <c r="H736" i="13"/>
  <c r="I736" i="13"/>
  <c r="H891" i="13"/>
  <c r="I891" i="13"/>
  <c r="I1148" i="13"/>
  <c r="H1148" i="13"/>
  <c r="C848" i="13"/>
  <c r="D849" i="13"/>
  <c r="C849" i="13" s="1"/>
  <c r="H472" i="13"/>
  <c r="H459" i="13"/>
  <c r="H458" i="13" s="1"/>
  <c r="H448" i="13"/>
  <c r="H446" i="13"/>
  <c r="H445" i="13"/>
  <c r="H444" i="13"/>
  <c r="H442" i="13"/>
  <c r="H441" i="13"/>
  <c r="H440" i="13"/>
  <c r="H439" i="13"/>
  <c r="H443" i="13"/>
  <c r="H437" i="13"/>
  <c r="H436" i="13"/>
  <c r="H425" i="13"/>
  <c r="H420" i="13" s="1"/>
  <c r="H414" i="13"/>
  <c r="H413" i="13"/>
  <c r="H412" i="13"/>
  <c r="H411" i="13"/>
  <c r="H409" i="13"/>
  <c r="H408" i="13" s="1"/>
  <c r="H405" i="13"/>
  <c r="H403" i="13"/>
  <c r="H401" i="13"/>
  <c r="H400" i="13"/>
  <c r="H399" i="13"/>
  <c r="H397" i="13"/>
  <c r="H398" i="13"/>
  <c r="H396" i="13"/>
  <c r="H395" i="13"/>
  <c r="H394" i="13"/>
  <c r="H392" i="13"/>
  <c r="H391" i="13"/>
  <c r="H390" i="13"/>
  <c r="H356" i="13"/>
  <c r="H355" i="13" s="1"/>
  <c r="H343" i="13"/>
  <c r="H342" i="13"/>
  <c r="H332" i="13"/>
  <c r="H331" i="13" s="1"/>
  <c r="H322" i="13"/>
  <c r="H321" i="13" s="1"/>
  <c r="H312" i="13"/>
  <c r="H296" i="13"/>
  <c r="H294" i="13"/>
  <c r="H290" i="13"/>
  <c r="H287" i="13"/>
  <c r="F1167" i="13"/>
  <c r="F1166" i="13"/>
  <c r="F1163" i="13"/>
  <c r="F1161" i="13" s="1"/>
  <c r="F1160" i="13"/>
  <c r="F1159" i="13"/>
  <c r="F1158" i="13"/>
  <c r="F1157" i="13"/>
  <c r="F1156" i="13"/>
  <c r="F1151" i="13"/>
  <c r="F1150" i="13"/>
  <c r="F1149" i="13"/>
  <c r="F1155" i="13"/>
  <c r="F1154" i="13"/>
  <c r="F1153" i="13"/>
  <c r="F1152" i="13"/>
  <c r="F1147" i="13"/>
  <c r="F1141" i="13"/>
  <c r="F1139" i="13"/>
  <c r="F1132" i="13"/>
  <c r="F1128" i="13"/>
  <c r="F1125" i="13"/>
  <c r="F1123" i="13"/>
  <c r="F1121" i="13"/>
  <c r="F1119" i="13"/>
  <c r="F1109" i="13"/>
  <c r="F1108" i="13"/>
  <c r="F1107" i="13"/>
  <c r="F1081" i="13"/>
  <c r="F1060" i="13"/>
  <c r="F1048" i="13"/>
  <c r="F1045" i="13"/>
  <c r="F1020" i="13"/>
  <c r="F1014" i="13"/>
  <c r="F1013" i="13"/>
  <c r="F986" i="13"/>
  <c r="F982" i="13"/>
  <c r="F960" i="13"/>
  <c r="F949" i="13"/>
  <c r="F932" i="13"/>
  <c r="F922" i="13"/>
  <c r="F921" i="13"/>
  <c r="F919" i="13"/>
  <c r="F918" i="13"/>
  <c r="F916" i="13"/>
  <c r="F915" i="13"/>
  <c r="F914" i="13"/>
  <c r="F913" i="13"/>
  <c r="F912" i="13"/>
  <c r="F909" i="13"/>
  <c r="F908" i="13"/>
  <c r="F906" i="13"/>
  <c r="F904" i="13"/>
  <c r="F897" i="13"/>
  <c r="F896" i="13"/>
  <c r="F894" i="13"/>
  <c r="F890" i="13"/>
  <c r="F889" i="13"/>
  <c r="F888" i="13"/>
  <c r="F886" i="13"/>
  <c r="F883" i="13"/>
  <c r="F882" i="13"/>
  <c r="F881" i="13"/>
  <c r="F880" i="13"/>
  <c r="F879" i="13"/>
  <c r="F878" i="13"/>
  <c r="F877" i="13"/>
  <c r="F871" i="13"/>
  <c r="F867" i="13"/>
  <c r="F861" i="13"/>
  <c r="F833" i="13"/>
  <c r="F832" i="13"/>
  <c r="F826" i="13"/>
  <c r="F825" i="13"/>
  <c r="F819" i="13"/>
  <c r="F818" i="13"/>
  <c r="F811" i="13"/>
  <c r="F810" i="13"/>
  <c r="F804" i="13"/>
  <c r="F797" i="13"/>
  <c r="F787" i="13"/>
  <c r="F786" i="13" s="1"/>
  <c r="F784" i="13"/>
  <c r="F783" i="13" s="1"/>
  <c r="F780" i="13"/>
  <c r="F779" i="13"/>
  <c r="F778" i="13"/>
  <c r="F777" i="13"/>
  <c r="F776" i="13"/>
  <c r="F775" i="13"/>
  <c r="F767" i="13"/>
  <c r="F754" i="13"/>
  <c r="F753" i="13" s="1"/>
  <c r="F743" i="13"/>
  <c r="F745" i="13"/>
  <c r="F744" i="13"/>
  <c r="F741" i="13"/>
  <c r="F732" i="13"/>
  <c r="F731" i="13" s="1"/>
  <c r="F730" i="13"/>
  <c r="F727" i="13" s="1"/>
  <c r="F723" i="13"/>
  <c r="F697" i="13"/>
  <c r="F687" i="13"/>
  <c r="F681" i="13"/>
  <c r="F679" i="13"/>
  <c r="F678" i="13"/>
  <c r="F670" i="13"/>
  <c r="F646" i="13"/>
  <c r="F1055" i="13"/>
  <c r="F1054" i="13"/>
  <c r="F628" i="13"/>
  <c r="F622" i="13"/>
  <c r="F605" i="13"/>
  <c r="F604" i="13"/>
  <c r="F573" i="13"/>
  <c r="F552" i="13"/>
  <c r="F530" i="13"/>
  <c r="F526" i="13"/>
  <c r="F948" i="13"/>
  <c r="F501" i="13"/>
  <c r="F489" i="13"/>
  <c r="F483" i="13"/>
  <c r="F414" i="13"/>
  <c r="F409" i="13"/>
  <c r="F408" i="13" s="1"/>
  <c r="F405" i="13"/>
  <c r="F403" i="13"/>
  <c r="F401" i="13"/>
  <c r="F400" i="13"/>
  <c r="F399" i="13"/>
  <c r="F402" i="13"/>
  <c r="F397" i="13"/>
  <c r="F398" i="13"/>
  <c r="F396" i="13"/>
  <c r="F395" i="13"/>
  <c r="F394" i="13"/>
  <c r="F391" i="13"/>
  <c r="F343" i="13"/>
  <c r="F312" i="13"/>
  <c r="F296" i="13"/>
  <c r="F294" i="13"/>
  <c r="F736" i="13" l="1"/>
  <c r="H339" i="13"/>
  <c r="H385" i="13"/>
  <c r="H432" i="13"/>
  <c r="H291" i="13"/>
  <c r="F410" i="13"/>
  <c r="F291" i="13"/>
  <c r="F766" i="13"/>
  <c r="H410" i="13"/>
  <c r="F891" i="13"/>
  <c r="F1148" i="13"/>
  <c r="G1163" i="13"/>
  <c r="G1161" i="13" s="1"/>
  <c r="G1166" i="13"/>
  <c r="G1167" i="13"/>
  <c r="G1160" i="13"/>
  <c r="G1159" i="13"/>
  <c r="G1158" i="13"/>
  <c r="G1157" i="13"/>
  <c r="G1156" i="13"/>
  <c r="G1151" i="13"/>
  <c r="G1150" i="13"/>
  <c r="G1149" i="13"/>
  <c r="G1155" i="13"/>
  <c r="G1154" i="13"/>
  <c r="G1153" i="13"/>
  <c r="G1152" i="13"/>
  <c r="G1147" i="13"/>
  <c r="G1141" i="13"/>
  <c r="G1139" i="13"/>
  <c r="G1132" i="13"/>
  <c r="G1128" i="13"/>
  <c r="G1125" i="13"/>
  <c r="G1123" i="13"/>
  <c r="G1109" i="13"/>
  <c r="G1108" i="13"/>
  <c r="G1107" i="13"/>
  <c r="G1081" i="13"/>
  <c r="G1060" i="13"/>
  <c r="G1048" i="13"/>
  <c r="G1045" i="13"/>
  <c r="G1020" i="13"/>
  <c r="G1014" i="13"/>
  <c r="G1013" i="13"/>
  <c r="G986" i="13"/>
  <c r="G982" i="13"/>
  <c r="G960" i="13"/>
  <c r="G949" i="13"/>
  <c r="G932" i="13"/>
  <c r="G922" i="13"/>
  <c r="G921" i="13"/>
  <c r="G906" i="13"/>
  <c r="G897" i="13"/>
  <c r="G896" i="13"/>
  <c r="G894" i="13"/>
  <c r="G890" i="13"/>
  <c r="G889" i="13"/>
  <c r="G888" i="13"/>
  <c r="G886" i="13"/>
  <c r="G883" i="13"/>
  <c r="G882" i="13"/>
  <c r="G881" i="13"/>
  <c r="G878" i="13"/>
  <c r="G877" i="13"/>
  <c r="G871" i="13"/>
  <c r="G867" i="13"/>
  <c r="G861" i="13"/>
  <c r="G853" i="13"/>
  <c r="G833" i="13"/>
  <c r="G832" i="13"/>
  <c r="G811" i="13"/>
  <c r="G810" i="13"/>
  <c r="G804" i="13"/>
  <c r="G797" i="13"/>
  <c r="G780" i="13"/>
  <c r="G779" i="13"/>
  <c r="G778" i="13"/>
  <c r="G777" i="13"/>
  <c r="G776" i="13"/>
  <c r="G775" i="13"/>
  <c r="G767" i="13"/>
  <c r="G743" i="13"/>
  <c r="G766" i="13" l="1"/>
  <c r="G891" i="13"/>
  <c r="G1148" i="13"/>
  <c r="G745" i="13"/>
  <c r="G744" i="13"/>
  <c r="G741" i="13"/>
  <c r="G732" i="13"/>
  <c r="G731" i="13" s="1"/>
  <c r="G730" i="13"/>
  <c r="G727" i="13" s="1"/>
  <c r="G697" i="13"/>
  <c r="G681" i="13"/>
  <c r="G670" i="13"/>
  <c r="G646" i="13"/>
  <c r="G1055" i="13"/>
  <c r="G1054" i="13"/>
  <c r="G628" i="13"/>
  <c r="G343" i="13"/>
  <c r="G312" i="13"/>
  <c r="E312" i="13"/>
  <c r="G296" i="13"/>
  <c r="E296" i="13"/>
  <c r="G294" i="13"/>
  <c r="N287" i="13"/>
  <c r="E356" i="13"/>
  <c r="E355" i="13" s="1"/>
  <c r="G573" i="13"/>
  <c r="E573" i="13"/>
  <c r="G501" i="13"/>
  <c r="E501" i="13"/>
  <c r="G948" i="13"/>
  <c r="E948" i="13"/>
  <c r="G526" i="13"/>
  <c r="E526" i="13"/>
  <c r="G552" i="13"/>
  <c r="E552" i="13"/>
  <c r="G291" i="13" l="1"/>
  <c r="G736" i="13"/>
  <c r="U923" i="13"/>
  <c r="T923" i="13"/>
  <c r="S923" i="13"/>
  <c r="Q923" i="13"/>
  <c r="P923" i="13"/>
  <c r="O923" i="13"/>
  <c r="M923" i="13"/>
  <c r="K923" i="13"/>
  <c r="I923" i="13"/>
  <c r="H923" i="13"/>
  <c r="G923" i="13"/>
  <c r="F923" i="13"/>
  <c r="V1105" i="13"/>
  <c r="D1105" i="13"/>
  <c r="U817" i="13"/>
  <c r="T817" i="13"/>
  <c r="S817" i="13"/>
  <c r="Q817" i="13"/>
  <c r="P817" i="13"/>
  <c r="O817" i="13"/>
  <c r="M817" i="13"/>
  <c r="L817" i="13"/>
  <c r="K817" i="13"/>
  <c r="J817" i="13"/>
  <c r="U820" i="13"/>
  <c r="T820" i="13"/>
  <c r="S820" i="13"/>
  <c r="Q820" i="13"/>
  <c r="P820" i="13"/>
  <c r="O820" i="13"/>
  <c r="M820" i="13"/>
  <c r="L820" i="13"/>
  <c r="K820" i="13"/>
  <c r="J820" i="13"/>
  <c r="I820" i="13"/>
  <c r="H820" i="13"/>
  <c r="G820" i="13"/>
  <c r="F820" i="13"/>
  <c r="E820" i="13"/>
  <c r="U824" i="13"/>
  <c r="T824" i="13"/>
  <c r="S824" i="13"/>
  <c r="Q824" i="13"/>
  <c r="P824" i="13"/>
  <c r="O824" i="13"/>
  <c r="N824" i="13"/>
  <c r="M824" i="13"/>
  <c r="L824" i="13"/>
  <c r="K824" i="13"/>
  <c r="U827" i="13"/>
  <c r="T827" i="13"/>
  <c r="S827" i="13"/>
  <c r="Q827" i="13"/>
  <c r="P827" i="13"/>
  <c r="O827" i="13"/>
  <c r="M827" i="13"/>
  <c r="L827" i="13"/>
  <c r="K827" i="13"/>
  <c r="J827" i="13"/>
  <c r="I827" i="13"/>
  <c r="H827" i="13"/>
  <c r="G827" i="13"/>
  <c r="F827" i="13"/>
  <c r="E827" i="13"/>
  <c r="U830" i="13"/>
  <c r="T830" i="13"/>
  <c r="S830" i="13"/>
  <c r="Q830" i="13"/>
  <c r="P830" i="13"/>
  <c r="O830" i="13"/>
  <c r="M830" i="13"/>
  <c r="L830" i="13"/>
  <c r="K830" i="13"/>
  <c r="U834" i="13"/>
  <c r="T834" i="13"/>
  <c r="S834" i="13"/>
  <c r="Q834" i="13"/>
  <c r="P834" i="13"/>
  <c r="O834" i="13"/>
  <c r="M834" i="13"/>
  <c r="L834" i="13"/>
  <c r="K834" i="13"/>
  <c r="J834" i="13"/>
  <c r="I834" i="13"/>
  <c r="H834" i="13"/>
  <c r="G834" i="13"/>
  <c r="F834" i="13"/>
  <c r="E834" i="13"/>
  <c r="U836" i="13"/>
  <c r="T836" i="13"/>
  <c r="S836" i="13"/>
  <c r="Q836" i="13"/>
  <c r="P836" i="13"/>
  <c r="O836" i="13"/>
  <c r="N836" i="13"/>
  <c r="M836" i="13"/>
  <c r="L836" i="13"/>
  <c r="K836" i="13"/>
  <c r="J836" i="13"/>
  <c r="I836" i="13"/>
  <c r="H836" i="13"/>
  <c r="G836" i="13"/>
  <c r="F836" i="13"/>
  <c r="E836" i="13"/>
  <c r="U839" i="13"/>
  <c r="T839" i="13"/>
  <c r="S839" i="13"/>
  <c r="Q839" i="13"/>
  <c r="P839" i="13"/>
  <c r="O839" i="13"/>
  <c r="M839" i="13"/>
  <c r="L839" i="13"/>
  <c r="K839" i="13"/>
  <c r="J839" i="13"/>
  <c r="I839" i="13"/>
  <c r="H839" i="13"/>
  <c r="G839" i="13"/>
  <c r="F839" i="13"/>
  <c r="E839" i="13"/>
  <c r="U844" i="13"/>
  <c r="T844" i="13"/>
  <c r="S844" i="13"/>
  <c r="Q844" i="13"/>
  <c r="P844" i="13"/>
  <c r="O844" i="13"/>
  <c r="M844" i="13"/>
  <c r="L844" i="13"/>
  <c r="K844" i="13"/>
  <c r="J844" i="13"/>
  <c r="I844" i="13"/>
  <c r="H844" i="13"/>
  <c r="G844" i="13"/>
  <c r="F844" i="13"/>
  <c r="E844" i="13"/>
  <c r="U846" i="13"/>
  <c r="T846" i="13"/>
  <c r="S846" i="13"/>
  <c r="Q846" i="13"/>
  <c r="P846" i="13"/>
  <c r="O846" i="13"/>
  <c r="M846" i="13"/>
  <c r="L846" i="13"/>
  <c r="K846" i="13"/>
  <c r="J846" i="13"/>
  <c r="I846" i="13"/>
  <c r="H846" i="13"/>
  <c r="G846" i="13"/>
  <c r="F846" i="13"/>
  <c r="E846" i="13"/>
  <c r="U852" i="13"/>
  <c r="T852" i="13"/>
  <c r="S852" i="13"/>
  <c r="R852" i="13"/>
  <c r="Q852" i="13"/>
  <c r="P852" i="13"/>
  <c r="O852" i="13"/>
  <c r="N852" i="13"/>
  <c r="M852" i="13"/>
  <c r="L852" i="13"/>
  <c r="K852" i="13"/>
  <c r="J852" i="13"/>
  <c r="H852" i="13"/>
  <c r="F852" i="13"/>
  <c r="U858" i="13"/>
  <c r="T858" i="13"/>
  <c r="S858" i="13"/>
  <c r="R858" i="13"/>
  <c r="Q858" i="13"/>
  <c r="P858" i="13"/>
  <c r="O858" i="13"/>
  <c r="M858" i="13"/>
  <c r="L858" i="13"/>
  <c r="K858" i="13"/>
  <c r="J858" i="13"/>
  <c r="I858" i="13"/>
  <c r="H858" i="13"/>
  <c r="G858" i="13"/>
  <c r="F858" i="13"/>
  <c r="E858" i="13"/>
  <c r="U860" i="13"/>
  <c r="T860" i="13"/>
  <c r="S860" i="13"/>
  <c r="Q860" i="13"/>
  <c r="P860" i="13"/>
  <c r="O860" i="13"/>
  <c r="M860" i="13"/>
  <c r="L860" i="13"/>
  <c r="K860" i="13"/>
  <c r="J860" i="13"/>
  <c r="U862" i="13"/>
  <c r="T862" i="13"/>
  <c r="S862" i="13"/>
  <c r="R862" i="13"/>
  <c r="Q862" i="13"/>
  <c r="P862" i="13"/>
  <c r="O862" i="13"/>
  <c r="M862" i="13"/>
  <c r="L862" i="13"/>
  <c r="K862" i="13"/>
  <c r="J862" i="13"/>
  <c r="I862" i="13"/>
  <c r="H862" i="13"/>
  <c r="G862" i="13"/>
  <c r="F862" i="13"/>
  <c r="E862" i="13"/>
  <c r="U866" i="13"/>
  <c r="T866" i="13"/>
  <c r="S866" i="13"/>
  <c r="Q866" i="13"/>
  <c r="P866" i="13"/>
  <c r="O866" i="13"/>
  <c r="M866" i="13"/>
  <c r="L866" i="13"/>
  <c r="K866" i="13"/>
  <c r="J866" i="13"/>
  <c r="U868" i="13"/>
  <c r="T868" i="13"/>
  <c r="S868" i="13"/>
  <c r="Q868" i="13"/>
  <c r="P868" i="13"/>
  <c r="O868" i="13"/>
  <c r="M868" i="13"/>
  <c r="L868" i="13"/>
  <c r="K868" i="13"/>
  <c r="J868" i="13"/>
  <c r="U873" i="13"/>
  <c r="T873" i="13"/>
  <c r="S873" i="13"/>
  <c r="R873" i="13"/>
  <c r="Q873" i="13"/>
  <c r="P873" i="13"/>
  <c r="O873" i="13"/>
  <c r="M873" i="13"/>
  <c r="L873" i="13"/>
  <c r="K873" i="13"/>
  <c r="J873" i="13"/>
  <c r="I873" i="13"/>
  <c r="H873" i="13"/>
  <c r="G873" i="13"/>
  <c r="F873" i="13"/>
  <c r="E873" i="13"/>
  <c r="U875" i="13"/>
  <c r="T875" i="13"/>
  <c r="Q875" i="13"/>
  <c r="O875" i="13"/>
  <c r="M875" i="13"/>
  <c r="L875" i="13"/>
  <c r="K875" i="13"/>
  <c r="U898" i="13"/>
  <c r="T898" i="13"/>
  <c r="S898" i="13"/>
  <c r="Q898" i="13"/>
  <c r="P898" i="13"/>
  <c r="O898" i="13"/>
  <c r="M898" i="13"/>
  <c r="L898" i="13"/>
  <c r="K898" i="13"/>
  <c r="F898" i="13"/>
  <c r="U903" i="13"/>
  <c r="T903" i="13"/>
  <c r="S903" i="13"/>
  <c r="Q903" i="13"/>
  <c r="P903" i="13"/>
  <c r="O903" i="13"/>
  <c r="M903" i="13"/>
  <c r="L903" i="13"/>
  <c r="K903" i="13"/>
  <c r="U905" i="13"/>
  <c r="T905" i="13"/>
  <c r="S905" i="13"/>
  <c r="Q905" i="13"/>
  <c r="P905" i="13"/>
  <c r="O905" i="13"/>
  <c r="M905" i="13"/>
  <c r="L905" i="13"/>
  <c r="K905" i="13"/>
  <c r="U917" i="13"/>
  <c r="T917" i="13"/>
  <c r="S917" i="13"/>
  <c r="Q917" i="13"/>
  <c r="P917" i="13"/>
  <c r="O917" i="13"/>
  <c r="M917" i="13"/>
  <c r="L917" i="13"/>
  <c r="K917" i="13"/>
  <c r="U920" i="13"/>
  <c r="T920" i="13"/>
  <c r="S920" i="13"/>
  <c r="Q920" i="13"/>
  <c r="P920" i="13"/>
  <c r="O920" i="13"/>
  <c r="M920" i="13"/>
  <c r="L920" i="13"/>
  <c r="K920" i="13"/>
  <c r="J920" i="13"/>
  <c r="U1118" i="13"/>
  <c r="T1118" i="13"/>
  <c r="S1118" i="13"/>
  <c r="Q1118" i="13"/>
  <c r="P1118" i="13"/>
  <c r="O1118" i="13"/>
  <c r="N1118" i="13"/>
  <c r="M1118" i="13"/>
  <c r="L1118" i="13"/>
  <c r="K1118" i="13"/>
  <c r="U1120" i="13"/>
  <c r="T1120" i="13"/>
  <c r="S1120" i="13"/>
  <c r="Q1120" i="13"/>
  <c r="P1120" i="13"/>
  <c r="O1120" i="13"/>
  <c r="M1120" i="13"/>
  <c r="L1120" i="13"/>
  <c r="K1120" i="13"/>
  <c r="U1122" i="13"/>
  <c r="T1122" i="13"/>
  <c r="S1122" i="13"/>
  <c r="R1122" i="13"/>
  <c r="Q1122" i="13"/>
  <c r="P1122" i="13"/>
  <c r="O1122" i="13"/>
  <c r="N1122" i="13"/>
  <c r="M1122" i="13"/>
  <c r="L1122" i="13"/>
  <c r="K1122" i="13"/>
  <c r="J1122" i="13"/>
  <c r="U1124" i="13"/>
  <c r="T1124" i="13"/>
  <c r="S1124" i="13"/>
  <c r="Q1124" i="13"/>
  <c r="P1124" i="13"/>
  <c r="O1124" i="13"/>
  <c r="M1124" i="13"/>
  <c r="L1124" i="13"/>
  <c r="K1124" i="13"/>
  <c r="J1124" i="13"/>
  <c r="U1126" i="13"/>
  <c r="T1126" i="13"/>
  <c r="S1126" i="13"/>
  <c r="Q1126" i="13"/>
  <c r="P1126" i="13"/>
  <c r="O1126" i="13"/>
  <c r="M1126" i="13"/>
  <c r="L1126" i="13"/>
  <c r="K1126" i="13"/>
  <c r="J1126" i="13"/>
  <c r="U1130" i="13"/>
  <c r="T1130" i="13"/>
  <c r="S1130" i="13"/>
  <c r="Q1130" i="13"/>
  <c r="P1130" i="13"/>
  <c r="O1130" i="13"/>
  <c r="M1130" i="13"/>
  <c r="L1130" i="13"/>
  <c r="K1130" i="13"/>
  <c r="J1130" i="13"/>
  <c r="U1133" i="13"/>
  <c r="T1133" i="13"/>
  <c r="S1133" i="13"/>
  <c r="Q1133" i="13"/>
  <c r="P1133" i="13"/>
  <c r="O1133" i="13"/>
  <c r="M1133" i="13"/>
  <c r="L1133" i="13"/>
  <c r="K1133" i="13"/>
  <c r="J1133" i="13"/>
  <c r="I1133" i="13"/>
  <c r="H1133" i="13"/>
  <c r="G1133" i="13"/>
  <c r="F1133" i="13"/>
  <c r="U1136" i="13"/>
  <c r="T1136" i="13"/>
  <c r="S1136" i="13"/>
  <c r="Q1136" i="13"/>
  <c r="P1136" i="13"/>
  <c r="O1136" i="13"/>
  <c r="M1136" i="13"/>
  <c r="L1136" i="13"/>
  <c r="K1136" i="13"/>
  <c r="J1136" i="13"/>
  <c r="I1136" i="13"/>
  <c r="H1136" i="13"/>
  <c r="G1136" i="13"/>
  <c r="F1136" i="13"/>
  <c r="E1136" i="13"/>
  <c r="U1138" i="13"/>
  <c r="T1138" i="13"/>
  <c r="S1138" i="13"/>
  <c r="R1138" i="13"/>
  <c r="Q1138" i="13"/>
  <c r="P1138" i="13"/>
  <c r="O1138" i="13"/>
  <c r="N1138" i="13"/>
  <c r="M1138" i="13"/>
  <c r="L1138" i="13"/>
  <c r="K1138" i="13"/>
  <c r="J1138" i="13"/>
  <c r="U1140" i="13"/>
  <c r="T1140" i="13"/>
  <c r="S1140" i="13"/>
  <c r="Q1140" i="13"/>
  <c r="P1140" i="13"/>
  <c r="O1140" i="13"/>
  <c r="M1140" i="13"/>
  <c r="L1140" i="13"/>
  <c r="K1140" i="13"/>
  <c r="J1140" i="13"/>
  <c r="U1142" i="13"/>
  <c r="T1142" i="13"/>
  <c r="S1142" i="13"/>
  <c r="Q1142" i="13"/>
  <c r="P1142" i="13"/>
  <c r="O1142" i="13"/>
  <c r="M1142" i="13"/>
  <c r="L1142" i="13"/>
  <c r="K1142" i="13"/>
  <c r="J1142" i="13"/>
  <c r="I1142" i="13"/>
  <c r="H1142" i="13"/>
  <c r="G1142" i="13"/>
  <c r="F1142" i="13"/>
  <c r="E1142" i="13"/>
  <c r="U1146" i="13"/>
  <c r="T1146" i="13"/>
  <c r="S1146" i="13"/>
  <c r="Q1146" i="13"/>
  <c r="P1146" i="13"/>
  <c r="O1146" i="13"/>
  <c r="N1146" i="13"/>
  <c r="M1146" i="13"/>
  <c r="L1146" i="13"/>
  <c r="K1146" i="13"/>
  <c r="J1146" i="13"/>
  <c r="U790" i="13"/>
  <c r="T790" i="13"/>
  <c r="S790" i="13"/>
  <c r="Q790" i="13"/>
  <c r="P790" i="13"/>
  <c r="O790" i="13"/>
  <c r="M790" i="13"/>
  <c r="L790" i="13"/>
  <c r="K790" i="13"/>
  <c r="J790" i="13"/>
  <c r="I790" i="13"/>
  <c r="H790" i="13"/>
  <c r="G790" i="13"/>
  <c r="F790" i="13"/>
  <c r="E790" i="13"/>
  <c r="U237" i="13"/>
  <c r="T237" i="13"/>
  <c r="S237" i="13"/>
  <c r="R237" i="13"/>
  <c r="Q237" i="13"/>
  <c r="P237" i="13"/>
  <c r="O237" i="13"/>
  <c r="N237" i="13"/>
  <c r="M237" i="13"/>
  <c r="L237" i="13"/>
  <c r="K237" i="13"/>
  <c r="H237" i="13"/>
  <c r="U120" i="13"/>
  <c r="T120" i="13"/>
  <c r="S120" i="13"/>
  <c r="Q120" i="13"/>
  <c r="O120" i="13"/>
  <c r="M120" i="13"/>
  <c r="K120" i="13"/>
  <c r="U118" i="13"/>
  <c r="T118" i="13"/>
  <c r="S118" i="13"/>
  <c r="R118" i="13"/>
  <c r="Q118" i="13"/>
  <c r="P118" i="13"/>
  <c r="O118" i="13"/>
  <c r="N118" i="13"/>
  <c r="M118" i="13"/>
  <c r="L118" i="13"/>
  <c r="K118" i="13"/>
  <c r="I118" i="13"/>
  <c r="G118" i="13"/>
  <c r="E118" i="13"/>
  <c r="U116" i="13"/>
  <c r="T116" i="13"/>
  <c r="S116" i="13"/>
  <c r="Q116" i="13"/>
  <c r="P116" i="13"/>
  <c r="O116" i="13"/>
  <c r="M116" i="13"/>
  <c r="L116" i="13"/>
  <c r="K116" i="13"/>
  <c r="U114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U104" i="13"/>
  <c r="T104" i="13"/>
  <c r="S104" i="13"/>
  <c r="Q104" i="13"/>
  <c r="P104" i="13"/>
  <c r="O104" i="13"/>
  <c r="M104" i="13"/>
  <c r="L104" i="13"/>
  <c r="K104" i="13"/>
  <c r="U96" i="13"/>
  <c r="T96" i="13"/>
  <c r="S96" i="13"/>
  <c r="R96" i="13"/>
  <c r="Q96" i="13"/>
  <c r="P96" i="13"/>
  <c r="O96" i="13"/>
  <c r="M96" i="13"/>
  <c r="L96" i="13"/>
  <c r="K96" i="13"/>
  <c r="U89" i="13"/>
  <c r="T89" i="13"/>
  <c r="S89" i="13"/>
  <c r="R89" i="13"/>
  <c r="Q89" i="13"/>
  <c r="P89" i="13"/>
  <c r="O89" i="13"/>
  <c r="N89" i="13"/>
  <c r="M89" i="13"/>
  <c r="L89" i="13"/>
  <c r="K89" i="13"/>
  <c r="E89" i="13"/>
  <c r="U86" i="13"/>
  <c r="T86" i="13"/>
  <c r="S86" i="13"/>
  <c r="R86" i="13"/>
  <c r="Q86" i="13"/>
  <c r="P86" i="13"/>
  <c r="O86" i="13"/>
  <c r="N86" i="13"/>
  <c r="M86" i="13"/>
  <c r="L86" i="13"/>
  <c r="K86" i="13"/>
  <c r="I86" i="13"/>
  <c r="G86" i="13"/>
  <c r="F86" i="13"/>
  <c r="E86" i="13"/>
  <c r="U68" i="13"/>
  <c r="T68" i="13"/>
  <c r="Q68" i="13"/>
  <c r="O68" i="13"/>
  <c r="M68" i="13"/>
  <c r="L68" i="13"/>
  <c r="K68" i="13"/>
  <c r="U66" i="13"/>
  <c r="T66" i="13"/>
  <c r="S66" i="13"/>
  <c r="R66" i="13"/>
  <c r="Q66" i="13"/>
  <c r="P66" i="13"/>
  <c r="O66" i="13"/>
  <c r="M66" i="13"/>
  <c r="L66" i="13"/>
  <c r="K66" i="13"/>
  <c r="J66" i="13"/>
  <c r="I66" i="13"/>
  <c r="H66" i="13"/>
  <c r="G66" i="13"/>
  <c r="F66" i="13"/>
  <c r="E66" i="13"/>
  <c r="U64" i="13"/>
  <c r="T64" i="13"/>
  <c r="S64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E64" i="13"/>
  <c r="U61" i="13"/>
  <c r="T61" i="13"/>
  <c r="S61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U59" i="13"/>
  <c r="T59" i="13"/>
  <c r="S59" i="13"/>
  <c r="R59" i="13"/>
  <c r="Q59" i="13"/>
  <c r="P59" i="13"/>
  <c r="O59" i="13"/>
  <c r="N59" i="13"/>
  <c r="M59" i="13"/>
  <c r="L59" i="13"/>
  <c r="K59" i="13"/>
  <c r="I59" i="13"/>
  <c r="G59" i="13"/>
  <c r="F59" i="13"/>
  <c r="U57" i="13"/>
  <c r="T57" i="13"/>
  <c r="S57" i="13"/>
  <c r="R57" i="13"/>
  <c r="Q57" i="13"/>
  <c r="P57" i="13"/>
  <c r="O57" i="13"/>
  <c r="M57" i="13"/>
  <c r="L57" i="13"/>
  <c r="K57" i="13"/>
  <c r="J57" i="13"/>
  <c r="I57" i="13"/>
  <c r="H57" i="13"/>
  <c r="G57" i="13"/>
  <c r="F57" i="13"/>
  <c r="E57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U49" i="13"/>
  <c r="T49" i="13"/>
  <c r="S49" i="13"/>
  <c r="Q49" i="13"/>
  <c r="P49" i="13"/>
  <c r="O49" i="13"/>
  <c r="M49" i="13"/>
  <c r="L49" i="13"/>
  <c r="K49" i="13"/>
  <c r="J49" i="13"/>
  <c r="I49" i="13"/>
  <c r="H49" i="13"/>
  <c r="G49" i="13"/>
  <c r="F49" i="13"/>
  <c r="E49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U38" i="13"/>
  <c r="T38" i="13"/>
  <c r="S38" i="13"/>
  <c r="R38" i="13"/>
  <c r="Q38" i="13"/>
  <c r="P38" i="13"/>
  <c r="O38" i="13"/>
  <c r="M38" i="13"/>
  <c r="L38" i="13"/>
  <c r="K38" i="13"/>
  <c r="J38" i="13"/>
  <c r="I38" i="13"/>
  <c r="H38" i="13"/>
  <c r="G38" i="13"/>
  <c r="F38" i="13"/>
  <c r="E38" i="13"/>
  <c r="U35" i="13"/>
  <c r="T35" i="13"/>
  <c r="S35" i="13"/>
  <c r="R35" i="13"/>
  <c r="Q35" i="13"/>
  <c r="P35" i="13"/>
  <c r="O35" i="13"/>
  <c r="N35" i="13"/>
  <c r="M35" i="13"/>
  <c r="L35" i="13"/>
  <c r="K35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U28" i="13"/>
  <c r="T28" i="13"/>
  <c r="S28" i="13"/>
  <c r="R28" i="13"/>
  <c r="Q28" i="13"/>
  <c r="P28" i="13"/>
  <c r="O28" i="13"/>
  <c r="N28" i="13"/>
  <c r="M28" i="13"/>
  <c r="L28" i="13"/>
  <c r="K28" i="13"/>
  <c r="E28" i="13"/>
  <c r="U26" i="13"/>
  <c r="T26" i="13"/>
  <c r="S26" i="13"/>
  <c r="R26" i="13"/>
  <c r="Q26" i="13"/>
  <c r="P26" i="13"/>
  <c r="O26" i="13"/>
  <c r="M26" i="13"/>
  <c r="L26" i="13"/>
  <c r="K26" i="13"/>
  <c r="J26" i="13"/>
  <c r="I26" i="13"/>
  <c r="H26" i="13"/>
  <c r="G26" i="13"/>
  <c r="F26" i="13"/>
  <c r="E26" i="13"/>
  <c r="U242" i="13"/>
  <c r="T242" i="13"/>
  <c r="S242" i="13"/>
  <c r="R242" i="13"/>
  <c r="Q242" i="13"/>
  <c r="P242" i="13"/>
  <c r="O242" i="13"/>
  <c r="N242" i="13"/>
  <c r="M242" i="13"/>
  <c r="L242" i="13"/>
  <c r="K242" i="13"/>
  <c r="J242" i="13"/>
  <c r="I242" i="13"/>
  <c r="H242" i="13"/>
  <c r="G242" i="13"/>
  <c r="F242" i="13"/>
  <c r="E242" i="13"/>
  <c r="U244" i="13"/>
  <c r="T244" i="13"/>
  <c r="S244" i="13"/>
  <c r="Q244" i="13"/>
  <c r="P244" i="13"/>
  <c r="O244" i="13"/>
  <c r="M244" i="13"/>
  <c r="L244" i="13"/>
  <c r="K244" i="13"/>
  <c r="U247" i="13"/>
  <c r="T247" i="13"/>
  <c r="S247" i="13"/>
  <c r="R247" i="13"/>
  <c r="Q247" i="13"/>
  <c r="P247" i="13"/>
  <c r="O247" i="13"/>
  <c r="N247" i="13"/>
  <c r="M247" i="13"/>
  <c r="L247" i="13"/>
  <c r="K247" i="13"/>
  <c r="J247" i="13"/>
  <c r="I247" i="13"/>
  <c r="H247" i="13"/>
  <c r="G247" i="13"/>
  <c r="F247" i="13"/>
  <c r="E247" i="13"/>
  <c r="U251" i="13"/>
  <c r="T251" i="13"/>
  <c r="S251" i="13"/>
  <c r="Q251" i="13"/>
  <c r="P251" i="13"/>
  <c r="O251" i="13"/>
  <c r="M251" i="13"/>
  <c r="L251" i="13"/>
  <c r="K251" i="13"/>
  <c r="U255" i="13"/>
  <c r="T255" i="13"/>
  <c r="S255" i="13"/>
  <c r="R255" i="13"/>
  <c r="Q255" i="13"/>
  <c r="P255" i="13"/>
  <c r="O255" i="13"/>
  <c r="N255" i="13"/>
  <c r="M255" i="13"/>
  <c r="L255" i="13"/>
  <c r="K255" i="13"/>
  <c r="J255" i="13"/>
  <c r="I255" i="13"/>
  <c r="H255" i="13"/>
  <c r="G255" i="13"/>
  <c r="F255" i="13"/>
  <c r="E255" i="13"/>
  <c r="U257" i="13"/>
  <c r="T257" i="13"/>
  <c r="S257" i="13"/>
  <c r="Q257" i="13"/>
  <c r="P257" i="13"/>
  <c r="O257" i="13"/>
  <c r="M257" i="13"/>
  <c r="L257" i="13"/>
  <c r="K257" i="13"/>
  <c r="J257" i="13"/>
  <c r="I257" i="13"/>
  <c r="H257" i="13"/>
  <c r="G257" i="13"/>
  <c r="F257" i="13"/>
  <c r="U259" i="13"/>
  <c r="T259" i="13"/>
  <c r="S259" i="13"/>
  <c r="R259" i="13"/>
  <c r="Q259" i="13"/>
  <c r="P259" i="13"/>
  <c r="O259" i="13"/>
  <c r="N259" i="13"/>
  <c r="M259" i="13"/>
  <c r="L259" i="13"/>
  <c r="K259" i="13"/>
  <c r="J259" i="13"/>
  <c r="I259" i="13"/>
  <c r="H259" i="13"/>
  <c r="G259" i="13"/>
  <c r="F259" i="13"/>
  <c r="E259" i="13"/>
  <c r="U262" i="13"/>
  <c r="T262" i="13"/>
  <c r="S262" i="13"/>
  <c r="R262" i="13"/>
  <c r="Q262" i="13"/>
  <c r="P262" i="13"/>
  <c r="O262" i="13"/>
  <c r="N262" i="13"/>
  <c r="M262" i="13"/>
  <c r="L262" i="13"/>
  <c r="K262" i="13"/>
  <c r="J262" i="13"/>
  <c r="I262" i="13"/>
  <c r="H262" i="13"/>
  <c r="G262" i="13"/>
  <c r="F262" i="13"/>
  <c r="E262" i="13"/>
  <c r="U264" i="13"/>
  <c r="T264" i="13"/>
  <c r="S264" i="13"/>
  <c r="R264" i="13"/>
  <c r="Q264" i="13"/>
  <c r="P264" i="13"/>
  <c r="O264" i="13"/>
  <c r="M264" i="13"/>
  <c r="L264" i="13"/>
  <c r="K264" i="13"/>
  <c r="J264" i="13"/>
  <c r="I264" i="13"/>
  <c r="H264" i="13"/>
  <c r="G264" i="13"/>
  <c r="F264" i="13"/>
  <c r="E264" i="13"/>
  <c r="U266" i="13"/>
  <c r="T266" i="13"/>
  <c r="S266" i="13"/>
  <c r="R266" i="13"/>
  <c r="Q266" i="13"/>
  <c r="P266" i="13"/>
  <c r="O266" i="13"/>
  <c r="N266" i="13"/>
  <c r="M266" i="13"/>
  <c r="L266" i="13"/>
  <c r="K266" i="13"/>
  <c r="J266" i="13"/>
  <c r="I266" i="13"/>
  <c r="H266" i="13"/>
  <c r="G266" i="13"/>
  <c r="U268" i="13"/>
  <c r="T268" i="13"/>
  <c r="S268" i="13"/>
  <c r="R268" i="13"/>
  <c r="Q268" i="13"/>
  <c r="P268" i="13"/>
  <c r="O268" i="13"/>
  <c r="M268" i="13"/>
  <c r="L268" i="13"/>
  <c r="K268" i="13"/>
  <c r="J268" i="13"/>
  <c r="I268" i="13"/>
  <c r="H268" i="13"/>
  <c r="G268" i="13"/>
  <c r="F268" i="13"/>
  <c r="E268" i="13"/>
  <c r="U270" i="13"/>
  <c r="T270" i="13"/>
  <c r="S270" i="13"/>
  <c r="Q270" i="13"/>
  <c r="P270" i="13"/>
  <c r="O270" i="13"/>
  <c r="M270" i="13"/>
  <c r="L270" i="13"/>
  <c r="K270" i="13"/>
  <c r="J270" i="13"/>
  <c r="I270" i="13"/>
  <c r="H270" i="13"/>
  <c r="G270" i="13"/>
  <c r="F270" i="13"/>
  <c r="E270" i="13"/>
  <c r="M10" i="13" l="1"/>
  <c r="Q10" i="13"/>
  <c r="U10" i="13"/>
  <c r="K10" i="13"/>
  <c r="T10" i="13"/>
  <c r="O10" i="13"/>
  <c r="C1105" i="13"/>
  <c r="V530" i="13"/>
  <c r="J530" i="13"/>
  <c r="G530" i="13"/>
  <c r="E530" i="13"/>
  <c r="N391" i="13"/>
  <c r="D530" i="13" l="1"/>
  <c r="C530" i="13" s="1"/>
  <c r="N1163" i="13"/>
  <c r="N1161" i="13" s="1"/>
  <c r="R1163" i="13"/>
  <c r="R1161" i="13" s="1"/>
  <c r="N787" i="13"/>
  <c r="N786" i="13" s="1"/>
  <c r="G787" i="13"/>
  <c r="G786" i="13" s="1"/>
  <c r="V1163" i="13" l="1"/>
  <c r="V787" i="13"/>
  <c r="D787" i="13"/>
  <c r="D786" i="13" s="1"/>
  <c r="D1163" i="13"/>
  <c r="D1161" i="13" s="1"/>
  <c r="N785" i="13"/>
  <c r="V785" i="13" s="1"/>
  <c r="D785" i="13"/>
  <c r="D13" i="13"/>
  <c r="C13" i="13" s="1"/>
  <c r="V13" i="13"/>
  <c r="N57" i="13"/>
  <c r="C787" i="13" l="1"/>
  <c r="C786" i="13" s="1"/>
  <c r="C1163" i="13"/>
  <c r="C1161" i="13" s="1"/>
  <c r="C785" i="13"/>
  <c r="N353" i="13"/>
  <c r="V353" i="13" s="1"/>
  <c r="R320" i="13"/>
  <c r="R319" i="13" s="1"/>
  <c r="P320" i="13"/>
  <c r="P319" i="13" s="1"/>
  <c r="N299" i="13"/>
  <c r="V299" i="13" s="1"/>
  <c r="N298" i="13"/>
  <c r="V298" i="13" s="1"/>
  <c r="N289" i="13"/>
  <c r="V289" i="13" s="1"/>
  <c r="N288" i="13"/>
  <c r="R289" i="13"/>
  <c r="R288" i="13"/>
  <c r="V781" i="13"/>
  <c r="V281" i="13"/>
  <c r="V278" i="13"/>
  <c r="V277" i="13"/>
  <c r="V276" i="13"/>
  <c r="V279" i="13"/>
  <c r="V275" i="13"/>
  <c r="V274" i="13"/>
  <c r="V273" i="13"/>
  <c r="V272" i="13"/>
  <c r="V271" i="13"/>
  <c r="V764" i="13"/>
  <c r="V263" i="13"/>
  <c r="V261" i="13"/>
  <c r="V260" i="13"/>
  <c r="V256" i="13"/>
  <c r="V250" i="13"/>
  <c r="V249" i="13"/>
  <c r="V248" i="13"/>
  <c r="V243" i="13"/>
  <c r="V241" i="13"/>
  <c r="V240" i="13"/>
  <c r="V239" i="13"/>
  <c r="V238" i="13"/>
  <c r="V236" i="13"/>
  <c r="V235" i="13"/>
  <c r="V234" i="13"/>
  <c r="V232" i="13"/>
  <c r="V700" i="13"/>
  <c r="V231" i="13"/>
  <c r="V699" i="13"/>
  <c r="V229" i="13"/>
  <c r="V227" i="13"/>
  <c r="V226" i="13"/>
  <c r="V224" i="13"/>
  <c r="V223" i="13"/>
  <c r="V222" i="13"/>
  <c r="V683" i="13"/>
  <c r="V219" i="13"/>
  <c r="V218" i="13"/>
  <c r="V679" i="13"/>
  <c r="V678" i="13"/>
  <c r="V677" i="13"/>
  <c r="V676" i="13"/>
  <c r="V675" i="13"/>
  <c r="V674" i="13"/>
  <c r="V217" i="13"/>
  <c r="V216" i="13"/>
  <c r="V215" i="13"/>
  <c r="V663" i="13"/>
  <c r="V212" i="13"/>
  <c r="V657" i="13"/>
  <c r="V211" i="13"/>
  <c r="V210" i="13"/>
  <c r="V209" i="13"/>
  <c r="V636" i="13"/>
  <c r="V208" i="13"/>
  <c r="V207" i="13"/>
  <c r="V205" i="13"/>
  <c r="V204" i="13"/>
  <c r="V629" i="13"/>
  <c r="V627" i="13"/>
  <c r="V203" i="13"/>
  <c r="V202" i="13"/>
  <c r="V201" i="13"/>
  <c r="V622" i="13"/>
  <c r="V621" i="13"/>
  <c r="V200" i="13"/>
  <c r="V620" i="13"/>
  <c r="V619" i="13"/>
  <c r="V609" i="13"/>
  <c r="V608" i="13"/>
  <c r="V607" i="13"/>
  <c r="V606" i="13"/>
  <c r="V605" i="13"/>
  <c r="V604" i="13"/>
  <c r="V603" i="13"/>
  <c r="V196" i="13"/>
  <c r="V195" i="13"/>
  <c r="V194" i="13"/>
  <c r="V193" i="13"/>
  <c r="V192" i="13"/>
  <c r="V191" i="13"/>
  <c r="V190" i="13"/>
  <c r="V189" i="13"/>
  <c r="V577" i="13"/>
  <c r="V188" i="13"/>
  <c r="V576" i="13"/>
  <c r="V575" i="13"/>
  <c r="V186" i="13"/>
  <c r="V185" i="13"/>
  <c r="V570" i="13"/>
  <c r="V569" i="13"/>
  <c r="V183" i="13"/>
  <c r="V182" i="13"/>
  <c r="V181" i="13"/>
  <c r="V180" i="13"/>
  <c r="V179" i="13"/>
  <c r="V178" i="13"/>
  <c r="V177" i="13"/>
  <c r="V176" i="13"/>
  <c r="V534" i="13"/>
  <c r="V175" i="13"/>
  <c r="V532" i="13"/>
  <c r="V531" i="13"/>
  <c r="V174" i="13"/>
  <c r="V527" i="13"/>
  <c r="V173" i="13"/>
  <c r="V525" i="13"/>
  <c r="V172" i="13"/>
  <c r="V171" i="13"/>
  <c r="V170" i="13"/>
  <c r="V169" i="13"/>
  <c r="V168" i="13"/>
  <c r="V520" i="13"/>
  <c r="V167" i="13"/>
  <c r="V166" i="13"/>
  <c r="V163" i="13"/>
  <c r="V162" i="13"/>
  <c r="V161" i="13"/>
  <c r="V160" i="13"/>
  <c r="V159" i="13"/>
  <c r="V158" i="13"/>
  <c r="V157" i="13"/>
  <c r="V503" i="13"/>
  <c r="V155" i="13"/>
  <c r="V154" i="13"/>
  <c r="V153" i="13"/>
  <c r="V152" i="13"/>
  <c r="V151" i="13"/>
  <c r="V150" i="13"/>
  <c r="V149" i="13"/>
  <c r="V148" i="13"/>
  <c r="V147" i="13"/>
  <c r="V142" i="13"/>
  <c r="V141" i="13"/>
  <c r="V486" i="13"/>
  <c r="V485" i="13"/>
  <c r="V140" i="13"/>
  <c r="V139" i="13"/>
  <c r="V138" i="13"/>
  <c r="V137" i="13"/>
  <c r="V136" i="13"/>
  <c r="V135" i="13"/>
  <c r="V134" i="13"/>
  <c r="V133" i="13"/>
  <c r="V132" i="13"/>
  <c r="V131" i="13"/>
  <c r="V469" i="13"/>
  <c r="V468" i="13"/>
  <c r="V467" i="13"/>
  <c r="V127" i="13"/>
  <c r="V126" i="13"/>
  <c r="V125" i="13"/>
  <c r="V124" i="13"/>
  <c r="V122" i="13"/>
  <c r="V121" i="13"/>
  <c r="V119" i="13"/>
  <c r="V113" i="13"/>
  <c r="V112" i="13"/>
  <c r="V111" i="13"/>
  <c r="V110" i="13"/>
  <c r="V109" i="13"/>
  <c r="V108" i="13"/>
  <c r="V103" i="13"/>
  <c r="V101" i="13"/>
  <c r="V97" i="13"/>
  <c r="V100" i="13"/>
  <c r="V98" i="13"/>
  <c r="V95" i="13"/>
  <c r="V94" i="13"/>
  <c r="V93" i="13"/>
  <c r="V92" i="13"/>
  <c r="V91" i="13"/>
  <c r="V90" i="13"/>
  <c r="V88" i="13"/>
  <c r="V87" i="13"/>
  <c r="V85" i="13"/>
  <c r="V80" i="13"/>
  <c r="V388" i="13"/>
  <c r="V386" i="13"/>
  <c r="V63" i="13"/>
  <c r="V62" i="13"/>
  <c r="V375" i="13"/>
  <c r="V58" i="13"/>
  <c r="V56" i="13"/>
  <c r="V52" i="13"/>
  <c r="V50" i="13"/>
  <c r="V48" i="13"/>
  <c r="V44" i="13"/>
  <c r="V39" i="13"/>
  <c r="V338" i="13"/>
  <c r="V37" i="13"/>
  <c r="V36" i="13"/>
  <c r="V335" i="13"/>
  <c r="V328" i="13"/>
  <c r="V34" i="13"/>
  <c r="V32" i="13"/>
  <c r="V31" i="13"/>
  <c r="V320" i="13"/>
  <c r="V29" i="13"/>
  <c r="V20" i="13"/>
  <c r="V19" i="13"/>
  <c r="V18" i="13"/>
  <c r="V15" i="13"/>
  <c r="V14" i="13"/>
  <c r="V17" i="13"/>
  <c r="V12" i="13"/>
  <c r="V786" i="13" l="1"/>
  <c r="V1161" i="13"/>
  <c r="V288" i="13"/>
  <c r="N835" i="13"/>
  <c r="N1109" i="13"/>
  <c r="V1109" i="13" s="1"/>
  <c r="N1108" i="13"/>
  <c r="V1108" i="13" s="1"/>
  <c r="N1107" i="13"/>
  <c r="V1107" i="13" s="1"/>
  <c r="N1106" i="13"/>
  <c r="V1106" i="13" s="1"/>
  <c r="N1053" i="13"/>
  <c r="V1053" i="13" s="1"/>
  <c r="N1038" i="13"/>
  <c r="V1038" i="13" s="1"/>
  <c r="N1028" i="13"/>
  <c r="V1028" i="13" s="1"/>
  <c r="N959" i="13"/>
  <c r="V959" i="13" s="1"/>
  <c r="N913" i="13"/>
  <c r="V913" i="13" s="1"/>
  <c r="N912" i="13"/>
  <c r="V912" i="13" s="1"/>
  <c r="N885" i="13"/>
  <c r="V885" i="13" s="1"/>
  <c r="N842" i="13"/>
  <c r="V842" i="13" s="1"/>
  <c r="N808" i="13"/>
  <c r="V808" i="13" s="1"/>
  <c r="N802" i="13"/>
  <c r="V802" i="13" s="1"/>
  <c r="N800" i="13"/>
  <c r="V800" i="13" s="1"/>
  <c r="N794" i="13"/>
  <c r="V794" i="13" s="1"/>
  <c r="N712" i="13"/>
  <c r="V712" i="13" s="1"/>
  <c r="N628" i="13"/>
  <c r="V628" i="13" s="1"/>
  <c r="N618" i="13"/>
  <c r="V618" i="13" s="1"/>
  <c r="N450" i="13"/>
  <c r="V450" i="13" s="1"/>
  <c r="N449" i="13"/>
  <c r="V449" i="13" s="1"/>
  <c r="N448" i="13"/>
  <c r="V448" i="13" s="1"/>
  <c r="N445" i="13"/>
  <c r="V445" i="13" s="1"/>
  <c r="N440" i="13"/>
  <c r="V440" i="13" s="1"/>
  <c r="N443" i="13"/>
  <c r="V443" i="13" s="1"/>
  <c r="N426" i="13"/>
  <c r="V426" i="13" s="1"/>
  <c r="N387" i="13"/>
  <c r="N367" i="13"/>
  <c r="V367" i="13" s="1"/>
  <c r="N366" i="13"/>
  <c r="V366" i="13" s="1"/>
  <c r="N365" i="13"/>
  <c r="N334" i="13"/>
  <c r="N333" i="13" s="1"/>
  <c r="N312" i="13"/>
  <c r="V312" i="13" s="1"/>
  <c r="N309" i="13"/>
  <c r="V309" i="13" s="1"/>
  <c r="N308" i="13"/>
  <c r="V308" i="13" s="1"/>
  <c r="N307" i="13"/>
  <c r="V307" i="13" s="1"/>
  <c r="N304" i="13"/>
  <c r="V304" i="13" s="1"/>
  <c r="N302" i="13"/>
  <c r="V302" i="13" s="1"/>
  <c r="N294" i="13"/>
  <c r="V294" i="13" s="1"/>
  <c r="N290" i="13"/>
  <c r="V290" i="13" s="1"/>
  <c r="N293" i="13"/>
  <c r="V293" i="13" s="1"/>
  <c r="N292" i="13"/>
  <c r="N301" i="13"/>
  <c r="V301" i="13" s="1"/>
  <c r="N300" i="13"/>
  <c r="V300" i="13" s="1"/>
  <c r="N297" i="13"/>
  <c r="V297" i="13" s="1"/>
  <c r="N296" i="13"/>
  <c r="V296" i="13" s="1"/>
  <c r="N295" i="13"/>
  <c r="V295" i="13" s="1"/>
  <c r="N305" i="13"/>
  <c r="V305" i="13" s="1"/>
  <c r="N306" i="13"/>
  <c r="V306" i="13" s="1"/>
  <c r="N314" i="13"/>
  <c r="N313" i="13" s="1"/>
  <c r="N318" i="13"/>
  <c r="V318" i="13" s="1"/>
  <c r="N317" i="13"/>
  <c r="N324" i="13"/>
  <c r="V324" i="13" s="1"/>
  <c r="N323" i="13"/>
  <c r="V323" i="13" s="1"/>
  <c r="N322" i="13"/>
  <c r="N330" i="13"/>
  <c r="V330" i="13" s="1"/>
  <c r="N329" i="13"/>
  <c r="N332" i="13"/>
  <c r="N331" i="13" s="1"/>
  <c r="N341" i="13"/>
  <c r="V341" i="13" s="1"/>
  <c r="N340" i="13"/>
  <c r="N346" i="13"/>
  <c r="V346" i="13" s="1"/>
  <c r="N345" i="13"/>
  <c r="V345" i="13" s="1"/>
  <c r="N344" i="13"/>
  <c r="V344" i="13" s="1"/>
  <c r="N348" i="13"/>
  <c r="N354" i="13"/>
  <c r="V354" i="13" s="1"/>
  <c r="N352" i="13"/>
  <c r="N356" i="13"/>
  <c r="N355" i="13" s="1"/>
  <c r="N359" i="13"/>
  <c r="V359" i="13" s="1"/>
  <c r="N361" i="13"/>
  <c r="N360" i="13" s="1"/>
  <c r="N371" i="13"/>
  <c r="V371" i="13" s="1"/>
  <c r="N370" i="13"/>
  <c r="N373" i="13"/>
  <c r="V373" i="13" s="1"/>
  <c r="N379" i="13"/>
  <c r="V379" i="13" s="1"/>
  <c r="N378" i="13"/>
  <c r="V378" i="13" s="1"/>
  <c r="N377" i="13"/>
  <c r="N381" i="13"/>
  <c r="V381" i="13" s="1"/>
  <c r="N384" i="13"/>
  <c r="N383" i="13" s="1"/>
  <c r="N398" i="13"/>
  <c r="V398" i="13" s="1"/>
  <c r="N396" i="13"/>
  <c r="V396" i="13" s="1"/>
  <c r="N395" i="13"/>
  <c r="V395" i="13" s="1"/>
  <c r="N394" i="13"/>
  <c r="V394" i="13" s="1"/>
  <c r="N392" i="13"/>
  <c r="V392" i="13" s="1"/>
  <c r="V391" i="13"/>
  <c r="N390" i="13"/>
  <c r="V390" i="13" s="1"/>
  <c r="N402" i="13"/>
  <c r="V402" i="13" s="1"/>
  <c r="N407" i="13"/>
  <c r="V407" i="13" s="1"/>
  <c r="N406" i="13"/>
  <c r="V406" i="13" s="1"/>
  <c r="N405" i="13"/>
  <c r="V405" i="13" s="1"/>
  <c r="N404" i="13"/>
  <c r="V404" i="13" s="1"/>
  <c r="N403" i="13"/>
  <c r="V403" i="13" s="1"/>
  <c r="N401" i="13"/>
  <c r="V401" i="13" s="1"/>
  <c r="N400" i="13"/>
  <c r="V400" i="13" s="1"/>
  <c r="N409" i="13"/>
  <c r="N408" i="13" s="1"/>
  <c r="N417" i="13"/>
  <c r="V417" i="13" s="1"/>
  <c r="N416" i="13"/>
  <c r="V416" i="13" s="1"/>
  <c r="N415" i="13"/>
  <c r="V415" i="13" s="1"/>
  <c r="N414" i="13"/>
  <c r="V414" i="13" s="1"/>
  <c r="V413" i="13"/>
  <c r="V412" i="13"/>
  <c r="N411" i="13"/>
  <c r="N423" i="13"/>
  <c r="V423" i="13" s="1"/>
  <c r="N424" i="13"/>
  <c r="V424" i="13" s="1"/>
  <c r="N425" i="13"/>
  <c r="V425" i="13" s="1"/>
  <c r="N427" i="13"/>
  <c r="V427" i="13" s="1"/>
  <c r="N429" i="13"/>
  <c r="N428" i="13" s="1"/>
  <c r="N431" i="13"/>
  <c r="N430" i="13" s="1"/>
  <c r="N437" i="13"/>
  <c r="V437" i="13" s="1"/>
  <c r="N436" i="13"/>
  <c r="N442" i="13"/>
  <c r="V442" i="13" s="1"/>
  <c r="N441" i="13"/>
  <c r="V441" i="13" s="1"/>
  <c r="N447" i="13"/>
  <c r="V447" i="13" s="1"/>
  <c r="N446" i="13"/>
  <c r="V446" i="13" s="1"/>
  <c r="N457" i="13"/>
  <c r="V457" i="13" s="1"/>
  <c r="N456" i="13"/>
  <c r="N475" i="13"/>
  <c r="V475" i="13" s="1"/>
  <c r="N474" i="13"/>
  <c r="V474" i="13" s="1"/>
  <c r="N472" i="13"/>
  <c r="V472" i="13" s="1"/>
  <c r="N473" i="13"/>
  <c r="V473" i="13" s="1"/>
  <c r="N471" i="13"/>
  <c r="V471" i="13" s="1"/>
  <c r="N470" i="13"/>
  <c r="V470" i="13" s="1"/>
  <c r="N466" i="13"/>
  <c r="V466" i="13" s="1"/>
  <c r="N465" i="13"/>
  <c r="V465" i="13" s="1"/>
  <c r="N464" i="13"/>
  <c r="N484" i="13"/>
  <c r="V484" i="13" s="1"/>
  <c r="N483" i="13"/>
  <c r="V483" i="13" s="1"/>
  <c r="N482" i="13"/>
  <c r="V482" i="13" s="1"/>
  <c r="N481" i="13"/>
  <c r="V481" i="13" s="1"/>
  <c r="N480" i="13"/>
  <c r="V480" i="13" s="1"/>
  <c r="N479" i="13"/>
  <c r="V479" i="13" s="1"/>
  <c r="N478" i="13"/>
  <c r="V478" i="13" s="1"/>
  <c r="N477" i="13"/>
  <c r="V477" i="13" s="1"/>
  <c r="N499" i="13"/>
  <c r="V499" i="13" s="1"/>
  <c r="N498" i="13"/>
  <c r="V498" i="13" s="1"/>
  <c r="N497" i="13"/>
  <c r="V497" i="13" s="1"/>
  <c r="N496" i="13"/>
  <c r="V496" i="13" s="1"/>
  <c r="N495" i="13"/>
  <c r="V495" i="13" s="1"/>
  <c r="N494" i="13"/>
  <c r="V494" i="13" s="1"/>
  <c r="N493" i="13"/>
  <c r="V493" i="13" s="1"/>
  <c r="N492" i="13"/>
  <c r="V492" i="13" s="1"/>
  <c r="N491" i="13"/>
  <c r="V491" i="13" s="1"/>
  <c r="N490" i="13"/>
  <c r="V490" i="13" s="1"/>
  <c r="N509" i="13"/>
  <c r="V509" i="13" s="1"/>
  <c r="N508" i="13"/>
  <c r="V508" i="13" s="1"/>
  <c r="N507" i="13"/>
  <c r="V507" i="13" s="1"/>
  <c r="N506" i="13"/>
  <c r="V506" i="13" s="1"/>
  <c r="N505" i="13"/>
  <c r="V505" i="13" s="1"/>
  <c r="N504" i="13"/>
  <c r="V504" i="13" s="1"/>
  <c r="N519" i="13"/>
  <c r="V519" i="13" s="1"/>
  <c r="N518" i="13"/>
  <c r="V518" i="13" s="1"/>
  <c r="N517" i="13"/>
  <c r="V517" i="13" s="1"/>
  <c r="N516" i="13"/>
  <c r="V516" i="13" s="1"/>
  <c r="N515" i="13"/>
  <c r="V515" i="13" s="1"/>
  <c r="N514" i="13"/>
  <c r="V514" i="13" s="1"/>
  <c r="N513" i="13"/>
  <c r="V513" i="13" s="1"/>
  <c r="N512" i="13"/>
  <c r="V512" i="13" s="1"/>
  <c r="N511" i="13"/>
  <c r="V511" i="13" s="1"/>
  <c r="N536" i="13"/>
  <c r="V536" i="13" s="1"/>
  <c r="N535" i="13"/>
  <c r="V535" i="13" s="1"/>
  <c r="N552" i="13"/>
  <c r="V552" i="13" s="1"/>
  <c r="N551" i="13"/>
  <c r="V551" i="13" s="1"/>
  <c r="N550" i="13"/>
  <c r="V550" i="13" s="1"/>
  <c r="N549" i="13"/>
  <c r="V549" i="13" s="1"/>
  <c r="N548" i="13"/>
  <c r="V548" i="13" s="1"/>
  <c r="N547" i="13"/>
  <c r="V547" i="13" s="1"/>
  <c r="N546" i="13"/>
  <c r="V546" i="13" s="1"/>
  <c r="N545" i="13"/>
  <c r="V545" i="13" s="1"/>
  <c r="N544" i="13"/>
  <c r="V544" i="13" s="1"/>
  <c r="N543" i="13"/>
  <c r="V543" i="13" s="1"/>
  <c r="N542" i="13"/>
  <c r="V542" i="13" s="1"/>
  <c r="N541" i="13"/>
  <c r="V541" i="13" s="1"/>
  <c r="N540" i="13"/>
  <c r="V540" i="13" s="1"/>
  <c r="N539" i="13"/>
  <c r="V539" i="13" s="1"/>
  <c r="N538" i="13"/>
  <c r="V538" i="13" s="1"/>
  <c r="N564" i="13"/>
  <c r="V564" i="13" s="1"/>
  <c r="N563" i="13"/>
  <c r="V563" i="13" s="1"/>
  <c r="N558" i="13"/>
  <c r="V558" i="13" s="1"/>
  <c r="N557" i="13"/>
  <c r="V557" i="13" s="1"/>
  <c r="N556" i="13"/>
  <c r="V556" i="13" s="1"/>
  <c r="N562" i="13"/>
  <c r="V562" i="13" s="1"/>
  <c r="N561" i="13"/>
  <c r="V561" i="13" s="1"/>
  <c r="N560" i="13"/>
  <c r="V560" i="13" s="1"/>
  <c r="N559" i="13"/>
  <c r="V559" i="13" s="1"/>
  <c r="N555" i="13"/>
  <c r="V555" i="13" s="1"/>
  <c r="N554" i="13"/>
  <c r="V554" i="13" s="1"/>
  <c r="N553" i="13"/>
  <c r="V553" i="13" s="1"/>
  <c r="N537" i="13"/>
  <c r="V537" i="13" s="1"/>
  <c r="N581" i="13"/>
  <c r="V581" i="13" s="1"/>
  <c r="N580" i="13"/>
  <c r="V580" i="13" s="1"/>
  <c r="N585" i="13"/>
  <c r="V585" i="13" s="1"/>
  <c r="N584" i="13"/>
  <c r="V584" i="13" s="1"/>
  <c r="N574" i="13"/>
  <c r="V574" i="13" s="1"/>
  <c r="N573" i="13"/>
  <c r="V573" i="13" s="1"/>
  <c r="N572" i="13"/>
  <c r="V572" i="13" s="1"/>
  <c r="N571" i="13"/>
  <c r="V571" i="13" s="1"/>
  <c r="N568" i="13"/>
  <c r="V568" i="13" s="1"/>
  <c r="N567" i="13"/>
  <c r="V567" i="13" s="1"/>
  <c r="N599" i="13"/>
  <c r="V599" i="13" s="1"/>
  <c r="N598" i="13"/>
  <c r="V598" i="13" s="1"/>
  <c r="N597" i="13"/>
  <c r="V597" i="13" s="1"/>
  <c r="N596" i="13"/>
  <c r="V596" i="13" s="1"/>
  <c r="N595" i="13"/>
  <c r="V595" i="13" s="1"/>
  <c r="N593" i="13"/>
  <c r="V593" i="13" s="1"/>
  <c r="N592" i="13"/>
  <c r="V592" i="13" s="1"/>
  <c r="N591" i="13"/>
  <c r="V591" i="13" s="1"/>
  <c r="N590" i="13"/>
  <c r="V590" i="13" s="1"/>
  <c r="N589" i="13"/>
  <c r="V589" i="13" s="1"/>
  <c r="N588" i="13"/>
  <c r="V588" i="13" s="1"/>
  <c r="N587" i="13"/>
  <c r="V587" i="13" s="1"/>
  <c r="N586" i="13"/>
  <c r="V586" i="13" s="1"/>
  <c r="N583" i="13"/>
  <c r="V583" i="13" s="1"/>
  <c r="N582" i="13"/>
  <c r="V582" i="13" s="1"/>
  <c r="N617" i="13"/>
  <c r="V617" i="13" s="1"/>
  <c r="N616" i="13"/>
  <c r="V616" i="13" s="1"/>
  <c r="N615" i="13"/>
  <c r="V615" i="13" s="1"/>
  <c r="N614" i="13"/>
  <c r="V614" i="13" s="1"/>
  <c r="N613" i="13"/>
  <c r="V613" i="13" s="1"/>
  <c r="N612" i="13"/>
  <c r="V612" i="13" s="1"/>
  <c r="N611" i="13"/>
  <c r="V611" i="13" s="1"/>
  <c r="N610" i="13"/>
  <c r="V610" i="13" s="1"/>
  <c r="N602" i="13"/>
  <c r="V602" i="13" s="1"/>
  <c r="N601" i="13"/>
  <c r="V601" i="13" s="1"/>
  <c r="N625" i="13"/>
  <c r="V625" i="13" s="1"/>
  <c r="N624" i="13"/>
  <c r="V624" i="13" s="1"/>
  <c r="N623" i="13"/>
  <c r="V623" i="13" s="1"/>
  <c r="V640" i="13"/>
  <c r="N638" i="13"/>
  <c r="V638" i="13" s="1"/>
  <c r="N637" i="13"/>
  <c r="V637" i="13" s="1"/>
  <c r="N632" i="13"/>
  <c r="V632" i="13" s="1"/>
  <c r="N634" i="13"/>
  <c r="V634" i="13" s="1"/>
  <c r="N633" i="13"/>
  <c r="V633" i="13" s="1"/>
  <c r="N631" i="13"/>
  <c r="V631" i="13" s="1"/>
  <c r="N630" i="13"/>
  <c r="V630" i="13" s="1"/>
  <c r="N642" i="13"/>
  <c r="V642" i="13" s="1"/>
  <c r="N641" i="13"/>
  <c r="V641" i="13" s="1"/>
  <c r="N650" i="13"/>
  <c r="V650" i="13" s="1"/>
  <c r="N649" i="13"/>
  <c r="V649" i="13" s="1"/>
  <c r="N648" i="13"/>
  <c r="V648" i="13" s="1"/>
  <c r="N647" i="13"/>
  <c r="V647" i="13" s="1"/>
  <c r="N646" i="13"/>
  <c r="V646" i="13" s="1"/>
  <c r="N645" i="13"/>
  <c r="V645" i="13" s="1"/>
  <c r="V644" i="13"/>
  <c r="N643" i="13"/>
  <c r="V643" i="13" s="1"/>
  <c r="N652" i="13"/>
  <c r="V652" i="13" s="1"/>
  <c r="N673" i="13"/>
  <c r="V673" i="13" s="1"/>
  <c r="N672" i="13"/>
  <c r="V672" i="13" s="1"/>
  <c r="N671" i="13"/>
  <c r="V671" i="13" s="1"/>
  <c r="N670" i="13"/>
  <c r="V670" i="13" s="1"/>
  <c r="N669" i="13"/>
  <c r="V669" i="13" s="1"/>
  <c r="N668" i="13"/>
  <c r="V668" i="13" s="1"/>
  <c r="N664" i="13"/>
  <c r="V664" i="13" s="1"/>
  <c r="N667" i="13"/>
  <c r="V667" i="13" s="1"/>
  <c r="N666" i="13"/>
  <c r="V666" i="13" s="1"/>
  <c r="N665" i="13"/>
  <c r="V665" i="13" s="1"/>
  <c r="N661" i="13"/>
  <c r="V661" i="13" s="1"/>
  <c r="N660" i="13"/>
  <c r="V660" i="13" s="1"/>
  <c r="N659" i="13"/>
  <c r="V659" i="13" s="1"/>
  <c r="N658" i="13"/>
  <c r="V658" i="13" s="1"/>
  <c r="N656" i="13"/>
  <c r="V656" i="13" s="1"/>
  <c r="N655" i="13"/>
  <c r="V655" i="13" s="1"/>
  <c r="N654" i="13"/>
  <c r="V654" i="13" s="1"/>
  <c r="N687" i="13"/>
  <c r="V687" i="13" s="1"/>
  <c r="N686" i="13"/>
  <c r="V686" i="13" s="1"/>
  <c r="N684" i="13"/>
  <c r="V684" i="13" s="1"/>
  <c r="N685" i="13"/>
  <c r="V685" i="13" s="1"/>
  <c r="N692" i="13"/>
  <c r="V692" i="13" s="1"/>
  <c r="N711" i="13"/>
  <c r="V711" i="13" s="1"/>
  <c r="N710" i="13"/>
  <c r="V710" i="13" s="1"/>
  <c r="N709" i="13"/>
  <c r="V709" i="13" s="1"/>
  <c r="N708" i="13"/>
  <c r="V708" i="13" s="1"/>
  <c r="N707" i="13"/>
  <c r="V707" i="13" s="1"/>
  <c r="N701" i="13"/>
  <c r="V701" i="13" s="1"/>
  <c r="N704" i="13"/>
  <c r="V704" i="13" s="1"/>
  <c r="N703" i="13"/>
  <c r="V703" i="13" s="1"/>
  <c r="V702" i="13"/>
  <c r="N698" i="13"/>
  <c r="V698" i="13" s="1"/>
  <c r="N697" i="13"/>
  <c r="V697" i="13" s="1"/>
  <c r="N695" i="13"/>
  <c r="V695" i="13" s="1"/>
  <c r="N694" i="13"/>
  <c r="V694" i="13" s="1"/>
  <c r="N693" i="13"/>
  <c r="V693" i="13" s="1"/>
  <c r="N726" i="13"/>
  <c r="V726" i="13" s="1"/>
  <c r="N725" i="13"/>
  <c r="V725" i="13" s="1"/>
  <c r="N724" i="13"/>
  <c r="V724" i="13" s="1"/>
  <c r="N723" i="13"/>
  <c r="V723" i="13" s="1"/>
  <c r="N722" i="13"/>
  <c r="N721" i="13"/>
  <c r="V721" i="13" s="1"/>
  <c r="N720" i="13"/>
  <c r="V720" i="13" s="1"/>
  <c r="N706" i="13"/>
  <c r="V706" i="13" s="1"/>
  <c r="N705" i="13"/>
  <c r="V705" i="13" s="1"/>
  <c r="N719" i="13"/>
  <c r="V719" i="13" s="1"/>
  <c r="N718" i="13"/>
  <c r="V718" i="13" s="1"/>
  <c r="N717" i="13"/>
  <c r="V717" i="13" s="1"/>
  <c r="N716" i="13"/>
  <c r="V716" i="13" s="1"/>
  <c r="N715" i="13"/>
  <c r="V715" i="13" s="1"/>
  <c r="N714" i="13"/>
  <c r="V714" i="13" s="1"/>
  <c r="N713" i="13"/>
  <c r="V713" i="13" s="1"/>
  <c r="N730" i="13"/>
  <c r="V730" i="13" s="1"/>
  <c r="N729" i="13"/>
  <c r="V729" i="13" s="1"/>
  <c r="N728" i="13"/>
  <c r="N735" i="13"/>
  <c r="V735" i="13" s="1"/>
  <c r="N734" i="13"/>
  <c r="N742" i="13"/>
  <c r="V742" i="13" s="1"/>
  <c r="N741" i="13"/>
  <c r="V741" i="13" s="1"/>
  <c r="N740" i="13"/>
  <c r="V740" i="13" s="1"/>
  <c r="N739" i="13"/>
  <c r="V739" i="13" s="1"/>
  <c r="N738" i="13"/>
  <c r="V738" i="13" s="1"/>
  <c r="N737" i="13"/>
  <c r="N746" i="13"/>
  <c r="V746" i="13" s="1"/>
  <c r="N748" i="13"/>
  <c r="N747" i="13" s="1"/>
  <c r="N752" i="13"/>
  <c r="V752" i="13" s="1"/>
  <c r="N751" i="13"/>
  <c r="V751" i="13" s="1"/>
  <c r="N750" i="13"/>
  <c r="N754" i="13"/>
  <c r="N753" i="13" s="1"/>
  <c r="N757" i="13"/>
  <c r="V757" i="13" s="1"/>
  <c r="N756" i="13"/>
  <c r="N758" i="13"/>
  <c r="V758" i="13" s="1"/>
  <c r="N760" i="13"/>
  <c r="N759" i="13" s="1"/>
  <c r="N765" i="13"/>
  <c r="N763" i="13" s="1"/>
  <c r="N774" i="13"/>
  <c r="V774" i="13" s="1"/>
  <c r="N773" i="13"/>
  <c r="V773" i="13" s="1"/>
  <c r="N772" i="13"/>
  <c r="V772" i="13" s="1"/>
  <c r="N771" i="13"/>
  <c r="V771" i="13" s="1"/>
  <c r="N770" i="13"/>
  <c r="V770" i="13" s="1"/>
  <c r="N769" i="13"/>
  <c r="V769" i="13" s="1"/>
  <c r="N767" i="13"/>
  <c r="N780" i="13"/>
  <c r="V780" i="13" s="1"/>
  <c r="N779" i="13"/>
  <c r="V779" i="13" s="1"/>
  <c r="N778" i="13"/>
  <c r="V778" i="13" s="1"/>
  <c r="N777" i="13"/>
  <c r="V777" i="13" s="1"/>
  <c r="N776" i="13"/>
  <c r="V776" i="13" s="1"/>
  <c r="N784" i="13"/>
  <c r="N783" i="13" s="1"/>
  <c r="N792" i="13"/>
  <c r="V792" i="13" s="1"/>
  <c r="N791" i="13"/>
  <c r="N796" i="13"/>
  <c r="V796" i="13" s="1"/>
  <c r="N798" i="13"/>
  <c r="V798" i="13" s="1"/>
  <c r="N801" i="13"/>
  <c r="V801" i="13" s="1"/>
  <c r="N807" i="13"/>
  <c r="V807" i="13" s="1"/>
  <c r="N806" i="13"/>
  <c r="V806" i="13" s="1"/>
  <c r="N804" i="13"/>
  <c r="V804" i="13" s="1"/>
  <c r="N814" i="13"/>
  <c r="V814" i="13" s="1"/>
  <c r="N813" i="13"/>
  <c r="V813" i="13" s="1"/>
  <c r="N812" i="13"/>
  <c r="V812" i="13" s="1"/>
  <c r="N809" i="13"/>
  <c r="V809" i="13" s="1"/>
  <c r="N811" i="13"/>
  <c r="V811" i="13" s="1"/>
  <c r="N819" i="13"/>
  <c r="V819" i="13" s="1"/>
  <c r="N818" i="13"/>
  <c r="N823" i="13"/>
  <c r="V823" i="13" s="1"/>
  <c r="N822" i="13"/>
  <c r="N829" i="13"/>
  <c r="V829" i="13" s="1"/>
  <c r="N828" i="13"/>
  <c r="N833" i="13"/>
  <c r="V833" i="13" s="1"/>
  <c r="N832" i="13"/>
  <c r="V832" i="13" s="1"/>
  <c r="N831" i="13"/>
  <c r="N841" i="13"/>
  <c r="V841" i="13" s="1"/>
  <c r="N840" i="13"/>
  <c r="N843" i="13"/>
  <c r="V843" i="13" s="1"/>
  <c r="N845" i="13"/>
  <c r="N856" i="13"/>
  <c r="V856" i="13" s="1"/>
  <c r="N855" i="13"/>
  <c r="N859" i="13"/>
  <c r="N861" i="13"/>
  <c r="N863" i="13"/>
  <c r="N867" i="13"/>
  <c r="N870" i="13"/>
  <c r="V870" i="13" s="1"/>
  <c r="N869" i="13"/>
  <c r="N872" i="13"/>
  <c r="V872" i="13" s="1"/>
  <c r="N874" i="13"/>
  <c r="N883" i="13"/>
  <c r="V883" i="13" s="1"/>
  <c r="N882" i="13"/>
  <c r="V882" i="13" s="1"/>
  <c r="N881" i="13"/>
  <c r="V881" i="13" s="1"/>
  <c r="N880" i="13"/>
  <c r="V880" i="13" s="1"/>
  <c r="N879" i="13"/>
  <c r="V879" i="13" s="1"/>
  <c r="N878" i="13"/>
  <c r="V878" i="13" s="1"/>
  <c r="N877" i="13"/>
  <c r="V877" i="13" s="1"/>
  <c r="N876" i="13"/>
  <c r="N890" i="13"/>
  <c r="V890" i="13" s="1"/>
  <c r="N889" i="13"/>
  <c r="V889" i="13" s="1"/>
  <c r="N888" i="13"/>
  <c r="V888" i="13" s="1"/>
  <c r="N887" i="13"/>
  <c r="V887" i="13" s="1"/>
  <c r="N886" i="13"/>
  <c r="V886" i="13" s="1"/>
  <c r="N897" i="13"/>
  <c r="V897" i="13" s="1"/>
  <c r="N896" i="13"/>
  <c r="V896" i="13" s="1"/>
  <c r="N894" i="13"/>
  <c r="N902" i="13"/>
  <c r="V902" i="13" s="1"/>
  <c r="N900" i="13"/>
  <c r="V900" i="13" s="1"/>
  <c r="N901" i="13"/>
  <c r="V901" i="13" s="1"/>
  <c r="N899" i="13"/>
  <c r="N904" i="13"/>
  <c r="N909" i="13"/>
  <c r="V909" i="13" s="1"/>
  <c r="N911" i="13"/>
  <c r="V911" i="13" s="1"/>
  <c r="N915" i="13"/>
  <c r="V915" i="13" s="1"/>
  <c r="N914" i="13"/>
  <c r="V914" i="13" s="1"/>
  <c r="N919" i="13"/>
  <c r="V919" i="13" s="1"/>
  <c r="N918" i="13"/>
  <c r="N922" i="13"/>
  <c r="V922" i="13" s="1"/>
  <c r="N921" i="13"/>
  <c r="N924" i="13"/>
  <c r="N931" i="13"/>
  <c r="V931" i="13" s="1"/>
  <c r="N929" i="13"/>
  <c r="V929" i="13" s="1"/>
  <c r="N928" i="13"/>
  <c r="V928" i="13" s="1"/>
  <c r="N927" i="13"/>
  <c r="V927" i="13" s="1"/>
  <c r="N926" i="13"/>
  <c r="V926" i="13" s="1"/>
  <c r="N937" i="13"/>
  <c r="V937" i="13" s="1"/>
  <c r="N936" i="13"/>
  <c r="V936" i="13" s="1"/>
  <c r="N935" i="13"/>
  <c r="V935" i="13" s="1"/>
  <c r="N933" i="13"/>
  <c r="V933" i="13" s="1"/>
  <c r="N947" i="13"/>
  <c r="V947" i="13" s="1"/>
  <c r="N946" i="13"/>
  <c r="V946" i="13" s="1"/>
  <c r="N945" i="13"/>
  <c r="V945" i="13" s="1"/>
  <c r="N944" i="13"/>
  <c r="V944" i="13" s="1"/>
  <c r="N943" i="13"/>
  <c r="V943" i="13" s="1"/>
  <c r="N942" i="13"/>
  <c r="V942" i="13" s="1"/>
  <c r="N941" i="13"/>
  <c r="V941" i="13" s="1"/>
  <c r="N940" i="13"/>
  <c r="V940" i="13" s="1"/>
  <c r="N939" i="13"/>
  <c r="V939" i="13" s="1"/>
  <c r="N938" i="13"/>
  <c r="V938" i="13" s="1"/>
  <c r="N957" i="13"/>
  <c r="V957" i="13" s="1"/>
  <c r="N956" i="13"/>
  <c r="V956" i="13" s="1"/>
  <c r="N955" i="13"/>
  <c r="V955" i="13" s="1"/>
  <c r="N954" i="13"/>
  <c r="V954" i="13" s="1"/>
  <c r="N953" i="13"/>
  <c r="V953" i="13" s="1"/>
  <c r="N950" i="13"/>
  <c r="V950" i="13" s="1"/>
  <c r="N949" i="13"/>
  <c r="V949" i="13" s="1"/>
  <c r="N962" i="13"/>
  <c r="V962" i="13" s="1"/>
  <c r="N961" i="13"/>
  <c r="V961" i="13" s="1"/>
  <c r="N972" i="13"/>
  <c r="V972" i="13" s="1"/>
  <c r="N960" i="13"/>
  <c r="V960" i="13" s="1"/>
  <c r="N977" i="13"/>
  <c r="V977" i="13" s="1"/>
  <c r="N976" i="13"/>
  <c r="V976" i="13" s="1"/>
  <c r="N975" i="13"/>
  <c r="V975" i="13" s="1"/>
  <c r="N974" i="13"/>
  <c r="V974" i="13" s="1"/>
  <c r="N971" i="13"/>
  <c r="V971" i="13" s="1"/>
  <c r="N970" i="13"/>
  <c r="V970" i="13" s="1"/>
  <c r="N969" i="13"/>
  <c r="V969" i="13" s="1"/>
  <c r="N968" i="13"/>
  <c r="V968" i="13" s="1"/>
  <c r="N967" i="13"/>
  <c r="V967" i="13" s="1"/>
  <c r="N966" i="13"/>
  <c r="V966" i="13" s="1"/>
  <c r="N965" i="13"/>
  <c r="V965" i="13" s="1"/>
  <c r="N964" i="13"/>
  <c r="V964" i="13" s="1"/>
  <c r="N963" i="13"/>
  <c r="V963" i="13" s="1"/>
  <c r="N984" i="13"/>
  <c r="V984" i="13" s="1"/>
  <c r="N982" i="13"/>
  <c r="V982" i="13" s="1"/>
  <c r="N981" i="13"/>
  <c r="V981" i="13" s="1"/>
  <c r="N980" i="13"/>
  <c r="V980" i="13" s="1"/>
  <c r="N994" i="13"/>
  <c r="V994" i="13" s="1"/>
  <c r="N993" i="13"/>
  <c r="V993" i="13" s="1"/>
  <c r="N992" i="13"/>
  <c r="V992" i="13" s="1"/>
  <c r="N991" i="13"/>
  <c r="V991" i="13" s="1"/>
  <c r="N990" i="13"/>
  <c r="V990" i="13" s="1"/>
  <c r="N989" i="13"/>
  <c r="V989" i="13" s="1"/>
  <c r="N988" i="13"/>
  <c r="V988" i="13" s="1"/>
  <c r="N986" i="13"/>
  <c r="V986" i="13" s="1"/>
  <c r="N985" i="13"/>
  <c r="V985" i="13" s="1"/>
  <c r="N1002" i="13"/>
  <c r="V1002" i="13" s="1"/>
  <c r="N1009" i="13"/>
  <c r="V1009" i="13" s="1"/>
  <c r="N1003" i="13"/>
  <c r="V1003" i="13" s="1"/>
  <c r="N1001" i="13"/>
  <c r="V1001" i="13" s="1"/>
  <c r="N1000" i="13"/>
  <c r="V1000" i="13" s="1"/>
  <c r="N999" i="13"/>
  <c r="V999" i="13" s="1"/>
  <c r="N996" i="13"/>
  <c r="V996" i="13" s="1"/>
  <c r="N998" i="13"/>
  <c r="V998" i="13" s="1"/>
  <c r="N995" i="13"/>
  <c r="V995" i="13" s="1"/>
  <c r="N1012" i="13"/>
  <c r="V1012" i="13" s="1"/>
  <c r="N1008" i="13"/>
  <c r="V1008" i="13" s="1"/>
  <c r="N1007" i="13"/>
  <c r="V1007" i="13" s="1"/>
  <c r="N1006" i="13"/>
  <c r="V1006" i="13" s="1"/>
  <c r="N1005" i="13"/>
  <c r="V1005" i="13" s="1"/>
  <c r="N1011" i="13"/>
  <c r="V1011" i="13" s="1"/>
  <c r="N1010" i="13"/>
  <c r="V1010" i="13" s="1"/>
  <c r="N1004" i="13"/>
  <c r="V1004" i="13" s="1"/>
  <c r="N1019" i="13"/>
  <c r="V1019" i="13" s="1"/>
  <c r="N1018" i="13"/>
  <c r="V1018" i="13" s="1"/>
  <c r="N1017" i="13"/>
  <c r="V1017" i="13" s="1"/>
  <c r="N1016" i="13"/>
  <c r="V1016" i="13" s="1"/>
  <c r="N1015" i="13"/>
  <c r="V1015" i="13" s="1"/>
  <c r="N1027" i="13"/>
  <c r="V1027" i="13" s="1"/>
  <c r="N1026" i="13"/>
  <c r="V1026" i="13" s="1"/>
  <c r="N1024" i="13"/>
  <c r="V1024" i="13" s="1"/>
  <c r="N1023" i="13"/>
  <c r="V1023" i="13" s="1"/>
  <c r="N1022" i="13"/>
  <c r="V1022" i="13" s="1"/>
  <c r="N1021" i="13"/>
  <c r="V1021" i="13" s="1"/>
  <c r="N1020" i="13"/>
  <c r="V1020" i="13" s="1"/>
  <c r="N1030" i="13"/>
  <c r="V1030" i="13" s="1"/>
  <c r="N1037" i="13"/>
  <c r="V1037" i="13" s="1"/>
  <c r="N1036" i="13"/>
  <c r="V1036" i="13" s="1"/>
  <c r="N1035" i="13"/>
  <c r="V1035" i="13" s="1"/>
  <c r="N1034" i="13"/>
  <c r="V1034" i="13" s="1"/>
  <c r="N1033" i="13"/>
  <c r="V1033" i="13" s="1"/>
  <c r="N1032" i="13"/>
  <c r="V1032" i="13" s="1"/>
  <c r="N1031" i="13"/>
  <c r="V1031" i="13" s="1"/>
  <c r="N1044" i="13"/>
  <c r="V1044" i="13" s="1"/>
  <c r="N1047" i="13"/>
  <c r="V1047" i="13" s="1"/>
  <c r="N1046" i="13"/>
  <c r="V1046" i="13" s="1"/>
  <c r="N1045" i="13"/>
  <c r="V1045" i="13" s="1"/>
  <c r="N1042" i="13"/>
  <c r="V1042" i="13" s="1"/>
  <c r="N1041" i="13"/>
  <c r="V1041" i="13" s="1"/>
  <c r="N1040" i="13"/>
  <c r="V1040" i="13" s="1"/>
  <c r="N1039" i="13"/>
  <c r="V1039" i="13" s="1"/>
  <c r="N1051" i="13"/>
  <c r="V1051" i="13" s="1"/>
  <c r="N1048" i="13"/>
  <c r="V1048" i="13" s="1"/>
  <c r="N1052" i="13"/>
  <c r="V1052" i="13" s="1"/>
  <c r="N1059" i="13"/>
  <c r="V1059" i="13" s="1"/>
  <c r="N1057" i="13"/>
  <c r="V1057" i="13" s="1"/>
  <c r="N1056" i="13"/>
  <c r="V1056" i="13" s="1"/>
  <c r="N1060" i="13"/>
  <c r="V1060" i="13" s="1"/>
  <c r="N1068" i="13"/>
  <c r="V1068" i="13" s="1"/>
  <c r="N1067" i="13"/>
  <c r="V1067" i="13" s="1"/>
  <c r="N1066" i="13"/>
  <c r="V1066" i="13" s="1"/>
  <c r="N1065" i="13"/>
  <c r="V1065" i="13" s="1"/>
  <c r="N1064" i="13"/>
  <c r="V1064" i="13" s="1"/>
  <c r="N1063" i="13"/>
  <c r="V1063" i="13" s="1"/>
  <c r="N1062" i="13"/>
  <c r="V1062" i="13" s="1"/>
  <c r="N1061" i="13"/>
  <c r="V1061" i="13" s="1"/>
  <c r="N1079" i="13"/>
  <c r="V1079" i="13" s="1"/>
  <c r="N1078" i="13"/>
  <c r="V1078" i="13" s="1"/>
  <c r="N1080" i="13"/>
  <c r="V1080" i="13" s="1"/>
  <c r="N1077" i="13"/>
  <c r="V1077" i="13" s="1"/>
  <c r="N1075" i="13"/>
  <c r="V1075" i="13" s="1"/>
  <c r="N1070" i="13"/>
  <c r="V1070" i="13" s="1"/>
  <c r="N1069" i="13"/>
  <c r="V1069" i="13" s="1"/>
  <c r="N1074" i="13"/>
  <c r="V1074" i="13" s="1"/>
  <c r="N1073" i="13"/>
  <c r="V1073" i="13" s="1"/>
  <c r="N1072" i="13"/>
  <c r="V1072" i="13" s="1"/>
  <c r="N1071" i="13"/>
  <c r="V1071" i="13" s="1"/>
  <c r="N1084" i="13"/>
  <c r="V1084" i="13" s="1"/>
  <c r="N1089" i="13"/>
  <c r="V1089" i="13" s="1"/>
  <c r="N1088" i="13"/>
  <c r="V1088" i="13" s="1"/>
  <c r="N1082" i="13"/>
  <c r="V1082" i="13" s="1"/>
  <c r="N1102" i="13"/>
  <c r="V1102" i="13" s="1"/>
  <c r="N1101" i="13"/>
  <c r="V1101" i="13" s="1"/>
  <c r="N1100" i="13"/>
  <c r="V1100" i="13" s="1"/>
  <c r="N1099" i="13"/>
  <c r="V1099" i="13" s="1"/>
  <c r="N1098" i="13"/>
  <c r="V1098" i="13" s="1"/>
  <c r="N1097" i="13"/>
  <c r="V1097" i="13" s="1"/>
  <c r="N1096" i="13"/>
  <c r="V1096" i="13" s="1"/>
  <c r="N1095" i="13"/>
  <c r="V1095" i="13" s="1"/>
  <c r="N1094" i="13"/>
  <c r="V1094" i="13" s="1"/>
  <c r="N1093" i="13"/>
  <c r="V1093" i="13" s="1"/>
  <c r="N1117" i="13"/>
  <c r="V1117" i="13" s="1"/>
  <c r="N1116" i="13"/>
  <c r="V1116" i="13" s="1"/>
  <c r="N1115" i="13"/>
  <c r="V1115" i="13" s="1"/>
  <c r="N1114" i="13"/>
  <c r="V1114" i="13" s="1"/>
  <c r="N1113" i="13"/>
  <c r="V1113" i="13" s="1"/>
  <c r="N1112" i="13"/>
  <c r="V1112" i="13" s="1"/>
  <c r="N1111" i="13"/>
  <c r="V1111" i="13" s="1"/>
  <c r="N1110" i="13"/>
  <c r="V1110" i="13" s="1"/>
  <c r="N1121" i="13"/>
  <c r="N1125" i="13"/>
  <c r="N1129" i="13"/>
  <c r="V1129" i="13" s="1"/>
  <c r="N1128" i="13"/>
  <c r="V1128" i="13" s="1"/>
  <c r="N1127" i="13"/>
  <c r="N743" i="13"/>
  <c r="V743" i="13" s="1"/>
  <c r="N1132" i="13"/>
  <c r="V1132" i="13" s="1"/>
  <c r="N1131" i="13"/>
  <c r="N1135" i="13"/>
  <c r="V1135" i="13" s="1"/>
  <c r="N1134" i="13"/>
  <c r="N1137" i="13"/>
  <c r="N1141" i="13"/>
  <c r="N1145" i="13"/>
  <c r="V1145" i="13" s="1"/>
  <c r="N1144" i="13"/>
  <c r="N1154" i="13"/>
  <c r="V1154" i="13" s="1"/>
  <c r="N1153" i="13"/>
  <c r="V1153" i="13" s="1"/>
  <c r="N1152" i="13"/>
  <c r="N1160" i="13"/>
  <c r="V1160" i="13" s="1"/>
  <c r="N1159" i="13"/>
  <c r="V1159" i="13" s="1"/>
  <c r="N1158" i="13"/>
  <c r="V1158" i="13" s="1"/>
  <c r="N1157" i="13"/>
  <c r="V1157" i="13" s="1"/>
  <c r="N1156" i="13"/>
  <c r="V1156" i="13" s="1"/>
  <c r="N1151" i="13"/>
  <c r="V1151" i="13" s="1"/>
  <c r="N1150" i="13"/>
  <c r="V1150" i="13" s="1"/>
  <c r="N1149" i="13"/>
  <c r="N1166" i="13"/>
  <c r="V1166" i="13" s="1"/>
  <c r="N1167" i="13"/>
  <c r="V1167" i="13" s="1"/>
  <c r="V1155" i="13"/>
  <c r="V1147" i="13"/>
  <c r="V1139" i="13"/>
  <c r="V1123" i="13"/>
  <c r="V1119" i="13"/>
  <c r="V1104" i="13"/>
  <c r="V1086" i="13"/>
  <c r="V1085" i="13"/>
  <c r="V1081" i="13"/>
  <c r="V1049" i="13"/>
  <c r="V1014" i="13"/>
  <c r="V1013" i="13"/>
  <c r="V978" i="13"/>
  <c r="V932" i="13"/>
  <c r="V925" i="13"/>
  <c r="V916" i="13"/>
  <c r="V908" i="13"/>
  <c r="V906" i="13"/>
  <c r="V884" i="13"/>
  <c r="V871" i="13"/>
  <c r="V853" i="13"/>
  <c r="V838" i="13"/>
  <c r="V837" i="13"/>
  <c r="V826" i="13"/>
  <c r="V825" i="13"/>
  <c r="V821" i="13"/>
  <c r="V810" i="13"/>
  <c r="V799" i="13"/>
  <c r="V797" i="13"/>
  <c r="V795" i="13"/>
  <c r="V745" i="13"/>
  <c r="V744" i="13"/>
  <c r="V691" i="13"/>
  <c r="V690" i="13"/>
  <c r="V689" i="13"/>
  <c r="V688" i="13"/>
  <c r="V681" i="13"/>
  <c r="V653" i="13"/>
  <c r="V651" i="13"/>
  <c r="V1055" i="13"/>
  <c r="V1054" i="13"/>
  <c r="V639" i="13"/>
  <c r="V566" i="13"/>
  <c r="V526" i="13"/>
  <c r="V510" i="13"/>
  <c r="V948" i="13"/>
  <c r="V502" i="13"/>
  <c r="V501" i="13"/>
  <c r="V489" i="13"/>
  <c r="V488" i="13"/>
  <c r="V476" i="13"/>
  <c r="V463" i="13"/>
  <c r="V452" i="13"/>
  <c r="V444" i="13"/>
  <c r="V439" i="13"/>
  <c r="V433" i="13"/>
  <c r="V419" i="13"/>
  <c r="V418" i="13"/>
  <c r="V389" i="13"/>
  <c r="V382" i="13"/>
  <c r="V380" i="13"/>
  <c r="V350" i="13"/>
  <c r="V343" i="13"/>
  <c r="V337" i="13"/>
  <c r="V336" i="13"/>
  <c r="V326" i="13"/>
  <c r="V316" i="13"/>
  <c r="V311" i="13"/>
  <c r="V310" i="13"/>
  <c r="R1167" i="13"/>
  <c r="R1166" i="13"/>
  <c r="R1160" i="13"/>
  <c r="R1159" i="13"/>
  <c r="R1158" i="13"/>
  <c r="R1157" i="13"/>
  <c r="R1156" i="13"/>
  <c r="R1151" i="13"/>
  <c r="R1150" i="13"/>
  <c r="R1149" i="13"/>
  <c r="R1155" i="13"/>
  <c r="R1154" i="13"/>
  <c r="R1153" i="13"/>
  <c r="R1152" i="13"/>
  <c r="R1147" i="13"/>
  <c r="R1146" i="13" s="1"/>
  <c r="R1144" i="13"/>
  <c r="R1142" i="13" s="1"/>
  <c r="R1141" i="13"/>
  <c r="R1140" i="13" s="1"/>
  <c r="R1137" i="13"/>
  <c r="R1136" i="13" s="1"/>
  <c r="R1135" i="13"/>
  <c r="R1134" i="13"/>
  <c r="R743" i="13"/>
  <c r="R1132" i="13"/>
  <c r="R1131" i="13"/>
  <c r="R1129" i="13"/>
  <c r="R1128" i="13"/>
  <c r="R1127" i="13"/>
  <c r="R1125" i="13"/>
  <c r="R1124" i="13" s="1"/>
  <c r="R1121" i="13"/>
  <c r="R1120" i="13" s="1"/>
  <c r="R1119" i="13"/>
  <c r="R1118" i="13" s="1"/>
  <c r="R1117" i="13"/>
  <c r="R1116" i="13"/>
  <c r="R1115" i="13"/>
  <c r="R1114" i="13"/>
  <c r="R1113" i="13"/>
  <c r="R1112" i="13"/>
  <c r="R1111" i="13"/>
  <c r="R1110" i="13"/>
  <c r="R1109" i="13"/>
  <c r="R1108" i="13"/>
  <c r="R1107" i="13"/>
  <c r="R1106" i="13"/>
  <c r="R1104" i="13"/>
  <c r="R1102" i="13"/>
  <c r="R1101" i="13"/>
  <c r="R1100" i="13"/>
  <c r="R1099" i="13"/>
  <c r="R1098" i="13"/>
  <c r="R1097" i="13"/>
  <c r="R1096" i="13"/>
  <c r="R1095" i="13"/>
  <c r="R1094" i="13"/>
  <c r="R1093" i="13"/>
  <c r="R1086" i="13"/>
  <c r="R1085" i="13"/>
  <c r="R1084" i="13"/>
  <c r="R1089" i="13"/>
  <c r="R1088" i="13"/>
  <c r="R1082" i="13"/>
  <c r="R1081" i="13"/>
  <c r="R1079" i="13"/>
  <c r="R1078" i="13"/>
  <c r="R1080" i="13"/>
  <c r="R1077" i="13"/>
  <c r="R1075" i="13"/>
  <c r="R1070" i="13"/>
  <c r="R1069" i="13"/>
  <c r="R1074" i="13"/>
  <c r="R1073" i="13"/>
  <c r="R1072" i="13"/>
  <c r="R1071" i="13"/>
  <c r="R1068" i="13"/>
  <c r="R1067" i="13"/>
  <c r="R1066" i="13"/>
  <c r="R1065" i="13"/>
  <c r="R1064" i="13"/>
  <c r="R1063" i="13"/>
  <c r="R1062" i="13"/>
  <c r="R1061" i="13"/>
  <c r="R1060" i="13"/>
  <c r="R1059" i="13"/>
  <c r="R1057" i="13"/>
  <c r="R1056" i="13"/>
  <c r="R1053" i="13"/>
  <c r="R1052" i="13"/>
  <c r="R1051" i="13"/>
  <c r="R1048" i="13"/>
  <c r="R1049" i="13"/>
  <c r="R1044" i="13"/>
  <c r="R1047" i="13"/>
  <c r="R1046" i="13"/>
  <c r="R1045" i="13"/>
  <c r="R1042" i="13"/>
  <c r="R1041" i="13"/>
  <c r="R1040" i="13"/>
  <c r="R1039" i="13"/>
  <c r="R1038" i="13"/>
  <c r="R1037" i="13"/>
  <c r="R1036" i="13"/>
  <c r="R1035" i="13"/>
  <c r="R1034" i="13"/>
  <c r="R1033" i="13"/>
  <c r="R1032" i="13"/>
  <c r="R1031" i="13"/>
  <c r="R1030" i="13"/>
  <c r="R1028" i="13"/>
  <c r="R1027" i="13"/>
  <c r="R1026" i="13"/>
  <c r="R1024" i="13"/>
  <c r="R1023" i="13"/>
  <c r="R1022" i="13"/>
  <c r="R1021" i="13"/>
  <c r="R1020" i="13"/>
  <c r="R1019" i="13"/>
  <c r="R1018" i="13"/>
  <c r="R1017" i="13"/>
  <c r="R1016" i="13"/>
  <c r="R1015" i="13"/>
  <c r="R1014" i="13"/>
  <c r="R1013" i="13"/>
  <c r="R1012" i="13"/>
  <c r="R1008" i="13"/>
  <c r="R1007" i="13"/>
  <c r="R1006" i="13"/>
  <c r="R1005" i="13"/>
  <c r="R1011" i="13"/>
  <c r="R1010" i="13"/>
  <c r="R1004" i="13"/>
  <c r="R1002" i="13"/>
  <c r="R1009" i="13"/>
  <c r="R1003" i="13"/>
  <c r="R1001" i="13"/>
  <c r="R1000" i="13"/>
  <c r="R999" i="13"/>
  <c r="R996" i="13"/>
  <c r="R998" i="13"/>
  <c r="R995" i="13"/>
  <c r="R994" i="13"/>
  <c r="R993" i="13"/>
  <c r="R992" i="13"/>
  <c r="R991" i="13"/>
  <c r="R990" i="13"/>
  <c r="R989" i="13"/>
  <c r="R988" i="13"/>
  <c r="R986" i="13"/>
  <c r="R985" i="13"/>
  <c r="R984" i="13"/>
  <c r="R982" i="13"/>
  <c r="R981" i="13"/>
  <c r="R980" i="13"/>
  <c r="R978" i="13"/>
  <c r="R977" i="13"/>
  <c r="R976" i="13"/>
  <c r="R975" i="13"/>
  <c r="R974" i="13"/>
  <c r="R971" i="13"/>
  <c r="R970" i="13"/>
  <c r="R969" i="13"/>
  <c r="R968" i="13"/>
  <c r="R967" i="13"/>
  <c r="R966" i="13"/>
  <c r="R965" i="13"/>
  <c r="R964" i="13"/>
  <c r="R963" i="13"/>
  <c r="R962" i="13"/>
  <c r="R961" i="13"/>
  <c r="R972" i="13"/>
  <c r="R960" i="13"/>
  <c r="R959" i="13"/>
  <c r="R957" i="13"/>
  <c r="R956" i="13"/>
  <c r="R955" i="13"/>
  <c r="R954" i="13"/>
  <c r="R953" i="13"/>
  <c r="R950" i="13"/>
  <c r="R949" i="13"/>
  <c r="R947" i="13"/>
  <c r="R946" i="13"/>
  <c r="R945" i="13"/>
  <c r="R944" i="13"/>
  <c r="R943" i="13"/>
  <c r="R942" i="13"/>
  <c r="R941" i="13"/>
  <c r="R940" i="13"/>
  <c r="R939" i="13"/>
  <c r="R938" i="13"/>
  <c r="R937" i="13"/>
  <c r="R936" i="13"/>
  <c r="R935" i="13"/>
  <c r="R933" i="13"/>
  <c r="R932" i="13"/>
  <c r="R931" i="13"/>
  <c r="R929" i="13"/>
  <c r="R928" i="13"/>
  <c r="R927" i="13"/>
  <c r="R926" i="13"/>
  <c r="R925" i="13"/>
  <c r="R924" i="13"/>
  <c r="R922" i="13"/>
  <c r="R921" i="13"/>
  <c r="R919" i="13"/>
  <c r="R918" i="13"/>
  <c r="R916" i="13"/>
  <c r="R915" i="13"/>
  <c r="R914" i="13"/>
  <c r="R913" i="13"/>
  <c r="R912" i="13"/>
  <c r="R911" i="13"/>
  <c r="R909" i="13"/>
  <c r="R908" i="13"/>
  <c r="R907" i="13"/>
  <c r="R906" i="13"/>
  <c r="R904" i="13"/>
  <c r="R903" i="13" s="1"/>
  <c r="R902" i="13"/>
  <c r="R900" i="13"/>
  <c r="R901" i="13"/>
  <c r="R899" i="13"/>
  <c r="R897" i="13"/>
  <c r="R896" i="13"/>
  <c r="R894" i="13"/>
  <c r="R890" i="13"/>
  <c r="R889" i="13"/>
  <c r="R888" i="13"/>
  <c r="R887" i="13"/>
  <c r="R886" i="13"/>
  <c r="R885" i="13"/>
  <c r="R884" i="13"/>
  <c r="R883" i="13"/>
  <c r="R882" i="13"/>
  <c r="R881" i="13"/>
  <c r="R880" i="13"/>
  <c r="R879" i="13"/>
  <c r="R878" i="13"/>
  <c r="R877" i="13"/>
  <c r="R876" i="13"/>
  <c r="R869" i="13"/>
  <c r="R868" i="13" s="1"/>
  <c r="R867" i="13"/>
  <c r="R866" i="13" s="1"/>
  <c r="R861" i="13"/>
  <c r="R860" i="13" s="1"/>
  <c r="R851" i="13"/>
  <c r="R850" i="13"/>
  <c r="R847" i="13"/>
  <c r="R845" i="13"/>
  <c r="R844" i="13" s="1"/>
  <c r="R843" i="13"/>
  <c r="R842" i="13"/>
  <c r="R841" i="13"/>
  <c r="R840" i="13"/>
  <c r="R838" i="13"/>
  <c r="R837" i="13"/>
  <c r="R835" i="13"/>
  <c r="R834" i="13" s="1"/>
  <c r="R833" i="13"/>
  <c r="R832" i="13"/>
  <c r="R831" i="13"/>
  <c r="R829" i="13"/>
  <c r="R828" i="13"/>
  <c r="R826" i="13"/>
  <c r="R825" i="13"/>
  <c r="R823" i="13"/>
  <c r="R822" i="13"/>
  <c r="R821" i="13"/>
  <c r="R819" i="13"/>
  <c r="R818" i="13"/>
  <c r="R814" i="13"/>
  <c r="R813" i="13"/>
  <c r="R812" i="13"/>
  <c r="R809" i="13"/>
  <c r="R811" i="13"/>
  <c r="R810" i="13"/>
  <c r="R808" i="13"/>
  <c r="R807" i="13"/>
  <c r="R806" i="13"/>
  <c r="R804" i="13"/>
  <c r="R802" i="13"/>
  <c r="R801" i="13"/>
  <c r="R800" i="13"/>
  <c r="R799" i="13"/>
  <c r="R798" i="13"/>
  <c r="R797" i="13"/>
  <c r="R796" i="13"/>
  <c r="R795" i="13"/>
  <c r="R794" i="13"/>
  <c r="R792" i="13"/>
  <c r="R791" i="13"/>
  <c r="R784" i="13"/>
  <c r="R783" i="13" s="1"/>
  <c r="R780" i="13"/>
  <c r="R779" i="13"/>
  <c r="R778" i="13"/>
  <c r="R777" i="13"/>
  <c r="R776" i="13"/>
  <c r="R774" i="13"/>
  <c r="R773" i="13"/>
  <c r="R772" i="13"/>
  <c r="R771" i="13"/>
  <c r="R770" i="13"/>
  <c r="R769" i="13"/>
  <c r="R767" i="13"/>
  <c r="R765" i="13"/>
  <c r="R763" i="13" s="1"/>
  <c r="R760" i="13"/>
  <c r="R759" i="13" s="1"/>
  <c r="R758" i="13"/>
  <c r="R757" i="13"/>
  <c r="R756" i="13"/>
  <c r="R754" i="13"/>
  <c r="R753" i="13" s="1"/>
  <c r="R752" i="13"/>
  <c r="R751" i="13"/>
  <c r="R750" i="13"/>
  <c r="R748" i="13"/>
  <c r="R747" i="13" s="1"/>
  <c r="R745" i="13"/>
  <c r="R746" i="13"/>
  <c r="R744" i="13"/>
  <c r="R742" i="13"/>
  <c r="R741" i="13"/>
  <c r="R740" i="13"/>
  <c r="R739" i="13"/>
  <c r="R738" i="13"/>
  <c r="R737" i="13"/>
  <c r="R735" i="13"/>
  <c r="R734" i="13"/>
  <c r="R732" i="13"/>
  <c r="R731" i="13" s="1"/>
  <c r="R730" i="13"/>
  <c r="R729" i="13"/>
  <c r="R728" i="13"/>
  <c r="R726" i="13"/>
  <c r="R725" i="13"/>
  <c r="R724" i="13"/>
  <c r="R723" i="13"/>
  <c r="R722" i="13"/>
  <c r="R721" i="13"/>
  <c r="R720" i="13"/>
  <c r="R706" i="13"/>
  <c r="R705" i="13"/>
  <c r="R719" i="13"/>
  <c r="R718" i="13"/>
  <c r="R717" i="13"/>
  <c r="R716" i="13"/>
  <c r="R715" i="13"/>
  <c r="R714" i="13"/>
  <c r="R713" i="13"/>
  <c r="R712" i="13"/>
  <c r="R711" i="13"/>
  <c r="R710" i="13"/>
  <c r="R709" i="13"/>
  <c r="R708" i="13"/>
  <c r="R707" i="13"/>
  <c r="R701" i="13"/>
  <c r="R704" i="13"/>
  <c r="R703" i="13"/>
  <c r="R702" i="13"/>
  <c r="R698" i="13"/>
  <c r="R697" i="13"/>
  <c r="R695" i="13"/>
  <c r="R694" i="13"/>
  <c r="R693" i="13"/>
  <c r="R692" i="13"/>
  <c r="R691" i="13"/>
  <c r="R690" i="13"/>
  <c r="R689" i="13"/>
  <c r="R688" i="13"/>
  <c r="R687" i="13"/>
  <c r="R686" i="13"/>
  <c r="R684" i="13"/>
  <c r="R685" i="13"/>
  <c r="R681" i="13"/>
  <c r="R673" i="13"/>
  <c r="R672" i="13"/>
  <c r="R671" i="13"/>
  <c r="R670" i="13"/>
  <c r="R669" i="13"/>
  <c r="R668" i="13"/>
  <c r="R664" i="13"/>
  <c r="R667" i="13"/>
  <c r="R666" i="13"/>
  <c r="R665" i="13"/>
  <c r="R661" i="13"/>
  <c r="R660" i="13"/>
  <c r="R659" i="13"/>
  <c r="R658" i="13"/>
  <c r="R656" i="13"/>
  <c r="R655" i="13"/>
  <c r="R654" i="13"/>
  <c r="R653" i="13"/>
  <c r="R652" i="13"/>
  <c r="R651" i="13"/>
  <c r="R650" i="13"/>
  <c r="R649" i="13"/>
  <c r="R648" i="13"/>
  <c r="R647" i="13"/>
  <c r="R646" i="13"/>
  <c r="R645" i="13"/>
  <c r="R644" i="13"/>
  <c r="R643" i="13"/>
  <c r="R1055" i="13"/>
  <c r="R1054" i="13"/>
  <c r="R642" i="13"/>
  <c r="R641" i="13"/>
  <c r="R639" i="13"/>
  <c r="R640" i="13"/>
  <c r="R638" i="13"/>
  <c r="R637" i="13"/>
  <c r="R632" i="13"/>
  <c r="R634" i="13"/>
  <c r="R633" i="13"/>
  <c r="R631" i="13"/>
  <c r="R630" i="13"/>
  <c r="R628" i="13"/>
  <c r="R625" i="13"/>
  <c r="R624" i="13"/>
  <c r="R623" i="13"/>
  <c r="R618" i="13"/>
  <c r="R617" i="13"/>
  <c r="R616" i="13"/>
  <c r="R615" i="13"/>
  <c r="R614" i="13"/>
  <c r="R613" i="13"/>
  <c r="R612" i="13"/>
  <c r="R611" i="13"/>
  <c r="R610" i="13"/>
  <c r="R602" i="13"/>
  <c r="R601" i="13"/>
  <c r="R599" i="13"/>
  <c r="R598" i="13"/>
  <c r="R597" i="13"/>
  <c r="R596" i="13"/>
  <c r="R595" i="13"/>
  <c r="R593" i="13"/>
  <c r="R592" i="13"/>
  <c r="R591" i="13"/>
  <c r="R590" i="13"/>
  <c r="R589" i="13"/>
  <c r="R588" i="13"/>
  <c r="R587" i="13"/>
  <c r="R586" i="13"/>
  <c r="R583" i="13"/>
  <c r="R582" i="13"/>
  <c r="R581" i="13"/>
  <c r="R580" i="13"/>
  <c r="R585" i="13"/>
  <c r="R584" i="13"/>
  <c r="R574" i="13"/>
  <c r="R573" i="13"/>
  <c r="R572" i="13"/>
  <c r="R571" i="13"/>
  <c r="R568" i="13"/>
  <c r="R567" i="13"/>
  <c r="R566" i="13"/>
  <c r="R564" i="13"/>
  <c r="R563" i="13"/>
  <c r="R558" i="13"/>
  <c r="R557" i="13"/>
  <c r="R556" i="13"/>
  <c r="R562" i="13"/>
  <c r="R561" i="13"/>
  <c r="R560" i="13"/>
  <c r="R559" i="13"/>
  <c r="R555" i="13"/>
  <c r="R554" i="13"/>
  <c r="R553" i="13"/>
  <c r="R537" i="13"/>
  <c r="R552" i="13"/>
  <c r="R551" i="13"/>
  <c r="R550" i="13"/>
  <c r="R549" i="13"/>
  <c r="R548" i="13"/>
  <c r="R547" i="13"/>
  <c r="R546" i="13"/>
  <c r="R545" i="13"/>
  <c r="R544" i="13"/>
  <c r="R543" i="13"/>
  <c r="R542" i="13"/>
  <c r="R541" i="13"/>
  <c r="R540" i="13"/>
  <c r="R539" i="13"/>
  <c r="R538" i="13"/>
  <c r="R536" i="13"/>
  <c r="R535" i="13"/>
  <c r="R526" i="13"/>
  <c r="R519" i="13"/>
  <c r="R518" i="13"/>
  <c r="R517" i="13"/>
  <c r="R516" i="13"/>
  <c r="R515" i="13"/>
  <c r="R514" i="13"/>
  <c r="R513" i="13"/>
  <c r="R512" i="13"/>
  <c r="R511" i="13"/>
  <c r="R510" i="13"/>
  <c r="R509" i="13"/>
  <c r="R508" i="13"/>
  <c r="R507" i="13"/>
  <c r="R506" i="13"/>
  <c r="R505" i="13"/>
  <c r="R504" i="13"/>
  <c r="R948" i="13"/>
  <c r="R502" i="13"/>
  <c r="R501" i="13"/>
  <c r="R499" i="13"/>
  <c r="R498" i="13"/>
  <c r="R497" i="13"/>
  <c r="R496" i="13"/>
  <c r="R495" i="13"/>
  <c r="R494" i="13"/>
  <c r="R493" i="13"/>
  <c r="R492" i="13"/>
  <c r="R491" i="13"/>
  <c r="R490" i="13"/>
  <c r="R489" i="13"/>
  <c r="R488" i="13"/>
  <c r="R484" i="13"/>
  <c r="R483" i="13"/>
  <c r="R482" i="13"/>
  <c r="R481" i="13"/>
  <c r="R480" i="13"/>
  <c r="R479" i="13"/>
  <c r="R478" i="13"/>
  <c r="R477" i="13"/>
  <c r="R476" i="13"/>
  <c r="R475" i="13"/>
  <c r="R474" i="13"/>
  <c r="R472" i="13"/>
  <c r="R473" i="13"/>
  <c r="R471" i="13"/>
  <c r="R470" i="13"/>
  <c r="R466" i="13"/>
  <c r="R465" i="13"/>
  <c r="R464" i="13"/>
  <c r="R463" i="13"/>
  <c r="R459" i="13"/>
  <c r="R458" i="13" s="1"/>
  <c r="R457" i="13"/>
  <c r="R456" i="13"/>
  <c r="R452" i="13"/>
  <c r="R451" i="13" s="1"/>
  <c r="R450" i="13"/>
  <c r="R449" i="13"/>
  <c r="R448" i="13"/>
  <c r="R447" i="13"/>
  <c r="R446" i="13"/>
  <c r="R445" i="13"/>
  <c r="R444" i="13"/>
  <c r="R442" i="13"/>
  <c r="R441" i="13"/>
  <c r="R440" i="13"/>
  <c r="R439" i="13"/>
  <c r="R443" i="13"/>
  <c r="R437" i="13"/>
  <c r="R436" i="13"/>
  <c r="R433" i="13"/>
  <c r="R431" i="13"/>
  <c r="R430" i="13" s="1"/>
  <c r="R429" i="13"/>
  <c r="R428" i="13" s="1"/>
  <c r="R427" i="13"/>
  <c r="R426" i="13"/>
  <c r="R425" i="13"/>
  <c r="R424" i="13"/>
  <c r="R423" i="13"/>
  <c r="R422" i="13"/>
  <c r="R421" i="13"/>
  <c r="R419" i="13"/>
  <c r="R418" i="13"/>
  <c r="R417" i="13"/>
  <c r="R416" i="13"/>
  <c r="R415" i="13"/>
  <c r="R414" i="13"/>
  <c r="R413" i="13"/>
  <c r="R412" i="13"/>
  <c r="R411" i="13"/>
  <c r="R409" i="13"/>
  <c r="R408" i="13" s="1"/>
  <c r="R407" i="13"/>
  <c r="R406" i="13"/>
  <c r="R405" i="13"/>
  <c r="R404" i="13"/>
  <c r="R403" i="13"/>
  <c r="R401" i="13"/>
  <c r="R400" i="13"/>
  <c r="R399" i="13"/>
  <c r="R402" i="13"/>
  <c r="R398" i="13"/>
  <c r="R396" i="13"/>
  <c r="R395" i="13"/>
  <c r="R394" i="13"/>
  <c r="R392" i="13"/>
  <c r="R390" i="13"/>
  <c r="R389" i="13"/>
  <c r="R387" i="13"/>
  <c r="R382" i="13"/>
  <c r="R376" i="13" s="1"/>
  <c r="R356" i="13"/>
  <c r="R355" i="13" s="1"/>
  <c r="R343" i="13"/>
  <c r="R330" i="13"/>
  <c r="R327" i="13" s="1"/>
  <c r="R326" i="13"/>
  <c r="R325" i="13" s="1"/>
  <c r="R322" i="13"/>
  <c r="R321" i="13" s="1"/>
  <c r="R311" i="13"/>
  <c r="R308" i="13"/>
  <c r="R307" i="13"/>
  <c r="R296" i="13"/>
  <c r="R294" i="13"/>
  <c r="R290" i="13"/>
  <c r="R287" i="13"/>
  <c r="D978" i="13"/>
  <c r="R385" i="13" l="1"/>
  <c r="R432" i="13"/>
  <c r="R455" i="13"/>
  <c r="R766" i="13"/>
  <c r="N749" i="13"/>
  <c r="N376" i="13"/>
  <c r="N315" i="13"/>
  <c r="N455" i="13"/>
  <c r="N368" i="13"/>
  <c r="R286" i="13"/>
  <c r="R727" i="13"/>
  <c r="R755" i="13"/>
  <c r="N766" i="13"/>
  <c r="N733" i="13"/>
  <c r="N432" i="13"/>
  <c r="N410" i="13"/>
  <c r="N372" i="13"/>
  <c r="N327" i="13"/>
  <c r="N351" i="13"/>
  <c r="N291" i="13"/>
  <c r="V348" i="13"/>
  <c r="N347" i="13"/>
  <c r="N286" i="13"/>
  <c r="R420" i="13"/>
  <c r="R733" i="13"/>
  <c r="R749" i="13"/>
  <c r="R410" i="13"/>
  <c r="R291" i="13"/>
  <c r="R736" i="13"/>
  <c r="N755" i="13"/>
  <c r="N736" i="13"/>
  <c r="N727" i="13"/>
  <c r="N321" i="13"/>
  <c r="N364" i="13"/>
  <c r="V722" i="13"/>
  <c r="N854" i="13"/>
  <c r="N891" i="13"/>
  <c r="R891" i="13"/>
  <c r="V1149" i="13"/>
  <c r="N1148" i="13"/>
  <c r="R1148" i="13"/>
  <c r="R923" i="13"/>
  <c r="R820" i="13"/>
  <c r="R875" i="13"/>
  <c r="R1126" i="13"/>
  <c r="R790" i="13"/>
  <c r="R827" i="13"/>
  <c r="R917" i="13"/>
  <c r="V429" i="13"/>
  <c r="V409" i="13"/>
  <c r="V384" i="13"/>
  <c r="V352" i="13"/>
  <c r="V332" i="13"/>
  <c r="V314" i="13"/>
  <c r="V292" i="13"/>
  <c r="V365" i="13"/>
  <c r="V1152" i="13"/>
  <c r="V1127" i="13"/>
  <c r="N1126" i="13"/>
  <c r="V1121" i="13"/>
  <c r="N1120" i="13"/>
  <c r="V899" i="13"/>
  <c r="N898" i="13"/>
  <c r="V894" i="13"/>
  <c r="V876" i="13"/>
  <c r="N875" i="13"/>
  <c r="V874" i="13"/>
  <c r="N873" i="13"/>
  <c r="V867" i="13"/>
  <c r="N866" i="13"/>
  <c r="V855" i="13"/>
  <c r="V840" i="13"/>
  <c r="N839" i="13"/>
  <c r="V784" i="13"/>
  <c r="V756" i="13"/>
  <c r="V728" i="13"/>
  <c r="V456" i="13"/>
  <c r="V431" i="13"/>
  <c r="V370" i="13"/>
  <c r="V356" i="13"/>
  <c r="V322" i="13"/>
  <c r="V287" i="13"/>
  <c r="V387" i="13"/>
  <c r="V459" i="13"/>
  <c r="V835" i="13"/>
  <c r="N834" i="13"/>
  <c r="R824" i="13"/>
  <c r="R830" i="13"/>
  <c r="R836" i="13"/>
  <c r="R905" i="13"/>
  <c r="R920" i="13"/>
  <c r="R1130" i="13"/>
  <c r="V1141" i="13"/>
  <c r="N1140" i="13"/>
  <c r="V863" i="13"/>
  <c r="N862" i="13"/>
  <c r="V828" i="13"/>
  <c r="N827" i="13"/>
  <c r="V1144" i="13"/>
  <c r="N1142" i="13"/>
  <c r="V1134" i="13"/>
  <c r="N1133" i="13"/>
  <c r="V1125" i="13"/>
  <c r="N1124" i="13"/>
  <c r="V921" i="13"/>
  <c r="N920" i="13"/>
  <c r="V904" i="13"/>
  <c r="N903" i="13"/>
  <c r="V859" i="13"/>
  <c r="N858" i="13"/>
  <c r="V822" i="13"/>
  <c r="N820" i="13"/>
  <c r="V750" i="13"/>
  <c r="V464" i="13"/>
  <c r="V377" i="13"/>
  <c r="V340" i="13"/>
  <c r="V317" i="13"/>
  <c r="R817" i="13"/>
  <c r="R846" i="13"/>
  <c r="R898" i="13"/>
  <c r="R1133" i="13"/>
  <c r="V1131" i="13"/>
  <c r="N1130" i="13"/>
  <c r="V918" i="13"/>
  <c r="N917" i="13"/>
  <c r="V818" i="13"/>
  <c r="N817" i="13"/>
  <c r="V765" i="13"/>
  <c r="V1137" i="13"/>
  <c r="N1136" i="13"/>
  <c r="V924" i="13"/>
  <c r="V869" i="13"/>
  <c r="N868" i="13"/>
  <c r="V861" i="13"/>
  <c r="N860" i="13"/>
  <c r="V845" i="13"/>
  <c r="N844" i="13"/>
  <c r="V831" i="13"/>
  <c r="N830" i="13"/>
  <c r="V791" i="13"/>
  <c r="N790" i="13"/>
  <c r="V767" i="13"/>
  <c r="V760" i="13"/>
  <c r="V754" i="13"/>
  <c r="V748" i="13"/>
  <c r="V734" i="13"/>
  <c r="V436" i="13"/>
  <c r="V411" i="13"/>
  <c r="V361" i="13"/>
  <c r="V329" i="13"/>
  <c r="R839" i="13"/>
  <c r="V334" i="13"/>
  <c r="V737" i="13"/>
  <c r="C978" i="13"/>
  <c r="N422" i="13"/>
  <c r="V422" i="13" s="1"/>
  <c r="N421" i="13"/>
  <c r="V282" i="13"/>
  <c r="V283" i="13"/>
  <c r="N264" i="13"/>
  <c r="D265" i="13"/>
  <c r="D264" i="13" s="1"/>
  <c r="N420" i="13" l="1"/>
  <c r="V421" i="13"/>
  <c r="V280" i="13"/>
  <c r="N270" i="13"/>
  <c r="V27" i="13"/>
  <c r="N26" i="13"/>
  <c r="R270" i="13"/>
  <c r="V265" i="13"/>
  <c r="C265" i="13"/>
  <c r="C264" i="13" s="1"/>
  <c r="C20" i="13" l="1"/>
  <c r="C19" i="13"/>
  <c r="C298" i="13"/>
  <c r="C18" i="13"/>
  <c r="C15" i="13"/>
  <c r="C14" i="13"/>
  <c r="C17" i="13"/>
  <c r="U1165" i="13"/>
  <c r="T1165" i="13"/>
  <c r="S1165" i="13"/>
  <c r="R1165" i="13"/>
  <c r="Q1165" i="13"/>
  <c r="P1165" i="13"/>
  <c r="O1165" i="13"/>
  <c r="N1165" i="13"/>
  <c r="M1165" i="13"/>
  <c r="L1165" i="13"/>
  <c r="K1165" i="13"/>
  <c r="J1165" i="13"/>
  <c r="U793" i="13"/>
  <c r="U789" i="13" s="1"/>
  <c r="T793" i="13"/>
  <c r="T789" i="13" s="1"/>
  <c r="S793" i="13"/>
  <c r="Q793" i="13"/>
  <c r="P793" i="13"/>
  <c r="O793" i="13"/>
  <c r="O789" i="13" s="1"/>
  <c r="M793" i="13"/>
  <c r="L793" i="13"/>
  <c r="K793" i="13"/>
  <c r="K789" i="13" s="1"/>
  <c r="J793" i="13"/>
  <c r="D1145" i="13"/>
  <c r="C1145" i="13" s="1"/>
  <c r="D1144" i="13"/>
  <c r="D1137" i="13"/>
  <c r="D1131" i="13"/>
  <c r="D1129" i="13"/>
  <c r="C1129" i="13" s="1"/>
  <c r="D1127" i="13"/>
  <c r="D1117" i="13"/>
  <c r="C1117" i="13" s="1"/>
  <c r="D1116" i="13"/>
  <c r="C1116" i="13" s="1"/>
  <c r="D1115" i="13"/>
  <c r="C1115" i="13" s="1"/>
  <c r="D1114" i="13"/>
  <c r="C1114" i="13" s="1"/>
  <c r="D1113" i="13"/>
  <c r="C1113" i="13" s="1"/>
  <c r="D1112" i="13"/>
  <c r="C1112" i="13" s="1"/>
  <c r="D1111" i="13"/>
  <c r="C1111" i="13" s="1"/>
  <c r="D1110" i="13"/>
  <c r="C1110" i="13" s="1"/>
  <c r="D1106" i="13"/>
  <c r="C1106" i="13" s="1"/>
  <c r="D1104" i="13"/>
  <c r="D1102" i="13"/>
  <c r="C1102" i="13" s="1"/>
  <c r="D1101" i="13"/>
  <c r="C1101" i="13" s="1"/>
  <c r="D1100" i="13"/>
  <c r="C1100" i="13" s="1"/>
  <c r="D1099" i="13"/>
  <c r="C1099" i="13" s="1"/>
  <c r="D1098" i="13"/>
  <c r="C1098" i="13" s="1"/>
  <c r="D1097" i="13"/>
  <c r="C1097" i="13" s="1"/>
  <c r="D1096" i="13"/>
  <c r="C1096" i="13" s="1"/>
  <c r="D1095" i="13"/>
  <c r="C1095" i="13" s="1"/>
  <c r="D1094" i="13"/>
  <c r="C1094" i="13" s="1"/>
  <c r="D1093" i="13"/>
  <c r="C1093" i="13" s="1"/>
  <c r="D1086" i="13"/>
  <c r="C1086" i="13" s="1"/>
  <c r="D1085" i="13"/>
  <c r="C1085" i="13" s="1"/>
  <c r="D1084" i="13"/>
  <c r="C1084" i="13" s="1"/>
  <c r="D1089" i="13"/>
  <c r="C1089" i="13" s="1"/>
  <c r="D1088" i="13"/>
  <c r="C1088" i="13" s="1"/>
  <c r="D1082" i="13"/>
  <c r="C1082" i="13" s="1"/>
  <c r="D1079" i="13"/>
  <c r="C1079" i="13" s="1"/>
  <c r="D1078" i="13"/>
  <c r="C1078" i="13" s="1"/>
  <c r="D1080" i="13"/>
  <c r="C1080" i="13" s="1"/>
  <c r="D1077" i="13"/>
  <c r="C1077" i="13" s="1"/>
  <c r="D1075" i="13"/>
  <c r="C1075" i="13" s="1"/>
  <c r="D1070" i="13"/>
  <c r="C1070" i="13" s="1"/>
  <c r="D1069" i="13"/>
  <c r="C1069" i="13" s="1"/>
  <c r="D1074" i="13"/>
  <c r="C1074" i="13" s="1"/>
  <c r="D1073" i="13"/>
  <c r="C1073" i="13" s="1"/>
  <c r="D1072" i="13"/>
  <c r="C1072" i="13" s="1"/>
  <c r="D1071" i="13"/>
  <c r="C1071" i="13" s="1"/>
  <c r="D1068" i="13"/>
  <c r="C1068" i="13" s="1"/>
  <c r="D1067" i="13"/>
  <c r="C1067" i="13" s="1"/>
  <c r="D1066" i="13"/>
  <c r="C1066" i="13" s="1"/>
  <c r="D1065" i="13"/>
  <c r="C1065" i="13" s="1"/>
  <c r="D1064" i="13"/>
  <c r="C1064" i="13" s="1"/>
  <c r="D1063" i="13"/>
  <c r="C1063" i="13" s="1"/>
  <c r="D1062" i="13"/>
  <c r="C1062" i="13" s="1"/>
  <c r="D1061" i="13"/>
  <c r="C1061" i="13" s="1"/>
  <c r="D1059" i="13"/>
  <c r="C1059" i="13" s="1"/>
  <c r="D1057" i="13"/>
  <c r="C1057" i="13" s="1"/>
  <c r="D1056" i="13"/>
  <c r="C1056" i="13" s="1"/>
  <c r="D1053" i="13"/>
  <c r="C1053" i="13" s="1"/>
  <c r="D1052" i="13"/>
  <c r="C1052" i="13" s="1"/>
  <c r="D1051" i="13"/>
  <c r="C1051" i="13" s="1"/>
  <c r="D1049" i="13"/>
  <c r="C1049" i="13" s="1"/>
  <c r="D1044" i="13"/>
  <c r="C1044" i="13" s="1"/>
  <c r="D1047" i="13"/>
  <c r="C1047" i="13" s="1"/>
  <c r="D1046" i="13"/>
  <c r="C1046" i="13" s="1"/>
  <c r="D1042" i="13"/>
  <c r="C1042" i="13" s="1"/>
  <c r="D1041" i="13"/>
  <c r="C1041" i="13" s="1"/>
  <c r="D1040" i="13"/>
  <c r="C1040" i="13" s="1"/>
  <c r="D1039" i="13"/>
  <c r="C1039" i="13" s="1"/>
  <c r="D1038" i="13"/>
  <c r="C1038" i="13" s="1"/>
  <c r="D1037" i="13"/>
  <c r="C1037" i="13" s="1"/>
  <c r="D1036" i="13"/>
  <c r="C1036" i="13" s="1"/>
  <c r="D1035" i="13"/>
  <c r="C1035" i="13" s="1"/>
  <c r="D1034" i="13"/>
  <c r="C1034" i="13" s="1"/>
  <c r="D1033" i="13"/>
  <c r="C1033" i="13" s="1"/>
  <c r="D1032" i="13"/>
  <c r="C1032" i="13" s="1"/>
  <c r="D1031" i="13"/>
  <c r="C1031" i="13" s="1"/>
  <c r="D1030" i="13"/>
  <c r="C1030" i="13" s="1"/>
  <c r="D1028" i="13"/>
  <c r="C1028" i="13" s="1"/>
  <c r="D1027" i="13"/>
  <c r="C1027" i="13" s="1"/>
  <c r="D1026" i="13"/>
  <c r="C1026" i="13" s="1"/>
  <c r="D1024" i="13"/>
  <c r="C1024" i="13" s="1"/>
  <c r="D1023" i="13"/>
  <c r="C1023" i="13" s="1"/>
  <c r="D1022" i="13"/>
  <c r="C1022" i="13" s="1"/>
  <c r="D1021" i="13"/>
  <c r="C1021" i="13" s="1"/>
  <c r="D1019" i="13"/>
  <c r="C1019" i="13" s="1"/>
  <c r="D1018" i="13"/>
  <c r="C1018" i="13" s="1"/>
  <c r="D1017" i="13"/>
  <c r="C1017" i="13" s="1"/>
  <c r="D1016" i="13"/>
  <c r="C1016" i="13" s="1"/>
  <c r="D1015" i="13"/>
  <c r="C1015" i="13" s="1"/>
  <c r="D1012" i="13"/>
  <c r="C1012" i="13" s="1"/>
  <c r="D1008" i="13"/>
  <c r="C1008" i="13" s="1"/>
  <c r="D1007" i="13"/>
  <c r="C1007" i="13" s="1"/>
  <c r="D1006" i="13"/>
  <c r="C1006" i="13" s="1"/>
  <c r="D1005" i="13"/>
  <c r="C1005" i="13" s="1"/>
  <c r="D1011" i="13"/>
  <c r="C1011" i="13" s="1"/>
  <c r="D1010" i="13"/>
  <c r="C1010" i="13" s="1"/>
  <c r="D1004" i="13"/>
  <c r="C1004" i="13" s="1"/>
  <c r="D1002" i="13"/>
  <c r="C1002" i="13" s="1"/>
  <c r="D1009" i="13"/>
  <c r="C1009" i="13" s="1"/>
  <c r="D1003" i="13"/>
  <c r="C1003" i="13" s="1"/>
  <c r="D1001" i="13"/>
  <c r="C1001" i="13" s="1"/>
  <c r="D1000" i="13"/>
  <c r="C1000" i="13" s="1"/>
  <c r="D999" i="13"/>
  <c r="D996" i="13"/>
  <c r="C996" i="13" s="1"/>
  <c r="D998" i="13"/>
  <c r="C998" i="13" s="1"/>
  <c r="D995" i="13"/>
  <c r="C995" i="13" s="1"/>
  <c r="D994" i="13"/>
  <c r="C994" i="13" s="1"/>
  <c r="D993" i="13"/>
  <c r="C993" i="13" s="1"/>
  <c r="D992" i="13"/>
  <c r="C992" i="13" s="1"/>
  <c r="D991" i="13"/>
  <c r="C991" i="13" s="1"/>
  <c r="D990" i="13"/>
  <c r="C990" i="13" s="1"/>
  <c r="D989" i="13"/>
  <c r="C989" i="13" s="1"/>
  <c r="D988" i="13"/>
  <c r="C988" i="13" s="1"/>
  <c r="D985" i="13"/>
  <c r="C985" i="13" s="1"/>
  <c r="D984" i="13"/>
  <c r="C984" i="13" s="1"/>
  <c r="D981" i="13"/>
  <c r="C981" i="13" s="1"/>
  <c r="D980" i="13"/>
  <c r="C980" i="13" s="1"/>
  <c r="D977" i="13"/>
  <c r="C977" i="13" s="1"/>
  <c r="D976" i="13"/>
  <c r="C976" i="13" s="1"/>
  <c r="D975" i="13"/>
  <c r="C975" i="13" s="1"/>
  <c r="D974" i="13"/>
  <c r="C974" i="13" s="1"/>
  <c r="D971" i="13"/>
  <c r="C971" i="13" s="1"/>
  <c r="D970" i="13"/>
  <c r="C970" i="13" s="1"/>
  <c r="D969" i="13"/>
  <c r="C969" i="13" s="1"/>
  <c r="D968" i="13"/>
  <c r="C968" i="13" s="1"/>
  <c r="D967" i="13"/>
  <c r="C967" i="13" s="1"/>
  <c r="D966" i="13"/>
  <c r="C966" i="13" s="1"/>
  <c r="D965" i="13"/>
  <c r="C965" i="13" s="1"/>
  <c r="D964" i="13"/>
  <c r="C964" i="13" s="1"/>
  <c r="D963" i="13"/>
  <c r="C963" i="13" s="1"/>
  <c r="D962" i="13"/>
  <c r="C962" i="13" s="1"/>
  <c r="D961" i="13"/>
  <c r="C961" i="13" s="1"/>
  <c r="D972" i="13"/>
  <c r="C972" i="13" s="1"/>
  <c r="D959" i="13"/>
  <c r="C959" i="13" s="1"/>
  <c r="D957" i="13"/>
  <c r="C957" i="13" s="1"/>
  <c r="D956" i="13"/>
  <c r="C956" i="13" s="1"/>
  <c r="D955" i="13"/>
  <c r="C955" i="13" s="1"/>
  <c r="D954" i="13"/>
  <c r="C954" i="13" s="1"/>
  <c r="D953" i="13"/>
  <c r="C953" i="13" s="1"/>
  <c r="D950" i="13"/>
  <c r="C950" i="13" s="1"/>
  <c r="D947" i="13"/>
  <c r="C947" i="13" s="1"/>
  <c r="D946" i="13"/>
  <c r="C946" i="13" s="1"/>
  <c r="D945" i="13"/>
  <c r="C945" i="13" s="1"/>
  <c r="D944" i="13"/>
  <c r="C944" i="13" s="1"/>
  <c r="D943" i="13"/>
  <c r="C943" i="13" s="1"/>
  <c r="D942" i="13"/>
  <c r="C942" i="13" s="1"/>
  <c r="D941" i="13"/>
  <c r="C941" i="13" s="1"/>
  <c r="D940" i="13"/>
  <c r="D939" i="13"/>
  <c r="C939" i="13" s="1"/>
  <c r="D938" i="13"/>
  <c r="C938" i="13" s="1"/>
  <c r="D937" i="13"/>
  <c r="C937" i="13" s="1"/>
  <c r="D936" i="13"/>
  <c r="C936" i="13" s="1"/>
  <c r="D935" i="13"/>
  <c r="C935" i="13" s="1"/>
  <c r="D933" i="13"/>
  <c r="C933" i="13" s="1"/>
  <c r="D931" i="13"/>
  <c r="C931" i="13" s="1"/>
  <c r="D929" i="13"/>
  <c r="C929" i="13" s="1"/>
  <c r="D928" i="13"/>
  <c r="C928" i="13" s="1"/>
  <c r="D927" i="13"/>
  <c r="C927" i="13" s="1"/>
  <c r="D926" i="13"/>
  <c r="C926" i="13" s="1"/>
  <c r="D925" i="13"/>
  <c r="D924" i="13"/>
  <c r="D911" i="13"/>
  <c r="C911" i="13" s="1"/>
  <c r="D907" i="13"/>
  <c r="D887" i="13"/>
  <c r="D885" i="13"/>
  <c r="D884" i="13"/>
  <c r="C884" i="13" s="1"/>
  <c r="D876" i="13"/>
  <c r="D874" i="13"/>
  <c r="D872" i="13"/>
  <c r="C872" i="13" s="1"/>
  <c r="D870" i="13"/>
  <c r="C870" i="13" s="1"/>
  <c r="D869" i="13"/>
  <c r="D863" i="13"/>
  <c r="D859" i="13"/>
  <c r="D856" i="13"/>
  <c r="C856" i="13" s="1"/>
  <c r="D855" i="13"/>
  <c r="D350" i="13"/>
  <c r="D349" i="13" s="1"/>
  <c r="D851" i="13"/>
  <c r="D850" i="13"/>
  <c r="D847" i="13"/>
  <c r="D845" i="13"/>
  <c r="D843" i="13"/>
  <c r="C843" i="13" s="1"/>
  <c r="D842" i="13"/>
  <c r="C842" i="13" s="1"/>
  <c r="D841" i="13"/>
  <c r="C841" i="13" s="1"/>
  <c r="D840" i="13"/>
  <c r="D838" i="13"/>
  <c r="C838" i="13" s="1"/>
  <c r="D837" i="13"/>
  <c r="D835" i="13"/>
  <c r="D829" i="13"/>
  <c r="C829" i="13" s="1"/>
  <c r="D828" i="13"/>
  <c r="D823" i="13"/>
  <c r="D822" i="13"/>
  <c r="C822" i="13" s="1"/>
  <c r="D821" i="13"/>
  <c r="D814" i="13"/>
  <c r="C814" i="13" s="1"/>
  <c r="D813" i="13"/>
  <c r="C813" i="13" s="1"/>
  <c r="D812" i="13"/>
  <c r="C812" i="13" s="1"/>
  <c r="D809" i="13"/>
  <c r="C809" i="13" s="1"/>
  <c r="D808" i="13"/>
  <c r="C808" i="13" s="1"/>
  <c r="D807" i="13"/>
  <c r="D806" i="13"/>
  <c r="C806" i="13" s="1"/>
  <c r="D802" i="13"/>
  <c r="C802" i="13" s="1"/>
  <c r="D801" i="13"/>
  <c r="C801" i="13" s="1"/>
  <c r="D800" i="13"/>
  <c r="C800" i="13" s="1"/>
  <c r="D799" i="13"/>
  <c r="C799" i="13" s="1"/>
  <c r="D798" i="13"/>
  <c r="D796" i="13"/>
  <c r="C796" i="13" s="1"/>
  <c r="D795" i="13"/>
  <c r="C795" i="13" s="1"/>
  <c r="D794" i="13"/>
  <c r="D792" i="13"/>
  <c r="C792" i="13" s="1"/>
  <c r="D791" i="13"/>
  <c r="D774" i="13"/>
  <c r="C774" i="13" s="1"/>
  <c r="D765" i="13"/>
  <c r="D760" i="13"/>
  <c r="D759" i="13" s="1"/>
  <c r="D758" i="13"/>
  <c r="D757" i="13"/>
  <c r="D746" i="13"/>
  <c r="C746" i="13" s="1"/>
  <c r="D742" i="13"/>
  <c r="D740" i="13"/>
  <c r="D739" i="13"/>
  <c r="D738" i="13"/>
  <c r="C738" i="13" s="1"/>
  <c r="D737" i="13"/>
  <c r="D726" i="13"/>
  <c r="C726" i="13" s="1"/>
  <c r="D725" i="13"/>
  <c r="C725" i="13" s="1"/>
  <c r="D724" i="13"/>
  <c r="C724" i="13" s="1"/>
  <c r="D722" i="13"/>
  <c r="C722" i="13" s="1"/>
  <c r="D721" i="13"/>
  <c r="C721" i="13" s="1"/>
  <c r="D720" i="13"/>
  <c r="C720" i="13" s="1"/>
  <c r="D706" i="13"/>
  <c r="C706" i="13" s="1"/>
  <c r="D705" i="13"/>
  <c r="C705" i="13" s="1"/>
  <c r="D719" i="13"/>
  <c r="C719" i="13" s="1"/>
  <c r="D718" i="13"/>
  <c r="C718" i="13" s="1"/>
  <c r="D717" i="13"/>
  <c r="C717" i="13" s="1"/>
  <c r="D716" i="13"/>
  <c r="C716" i="13" s="1"/>
  <c r="D715" i="13"/>
  <c r="C715" i="13" s="1"/>
  <c r="D714" i="13"/>
  <c r="C714" i="13" s="1"/>
  <c r="D713" i="13"/>
  <c r="C713" i="13" s="1"/>
  <c r="D712" i="13"/>
  <c r="D711" i="13"/>
  <c r="C711" i="13" s="1"/>
  <c r="D710" i="13"/>
  <c r="C710" i="13" s="1"/>
  <c r="D709" i="13"/>
  <c r="C709" i="13" s="1"/>
  <c r="D708" i="13"/>
  <c r="C708" i="13" s="1"/>
  <c r="D707" i="13"/>
  <c r="C707" i="13" s="1"/>
  <c r="D701" i="13"/>
  <c r="C701" i="13" s="1"/>
  <c r="D704" i="13"/>
  <c r="C704" i="13" s="1"/>
  <c r="D703" i="13"/>
  <c r="C703" i="13" s="1"/>
  <c r="D702" i="13"/>
  <c r="C702" i="13" s="1"/>
  <c r="D698" i="13"/>
  <c r="C698" i="13" s="1"/>
  <c r="D695" i="13"/>
  <c r="C695" i="13" s="1"/>
  <c r="D694" i="13"/>
  <c r="C694" i="13" s="1"/>
  <c r="D693" i="13"/>
  <c r="C693" i="13" s="1"/>
  <c r="D692" i="13"/>
  <c r="C692" i="13" s="1"/>
  <c r="D686" i="13"/>
  <c r="C686" i="13" s="1"/>
  <c r="D684" i="13"/>
  <c r="C684" i="13" s="1"/>
  <c r="D685" i="13"/>
  <c r="C685" i="13" s="1"/>
  <c r="D673" i="13"/>
  <c r="C673" i="13" s="1"/>
  <c r="D672" i="13"/>
  <c r="C672" i="13" s="1"/>
  <c r="D671" i="13"/>
  <c r="C671" i="13" s="1"/>
  <c r="D669" i="13"/>
  <c r="C669" i="13" s="1"/>
  <c r="D668" i="13"/>
  <c r="C668" i="13" s="1"/>
  <c r="D664" i="13"/>
  <c r="C664" i="13" s="1"/>
  <c r="D667" i="13"/>
  <c r="C667" i="13" s="1"/>
  <c r="D666" i="13"/>
  <c r="C666" i="13" s="1"/>
  <c r="D665" i="13"/>
  <c r="C665" i="13" s="1"/>
  <c r="D661" i="13"/>
  <c r="C661" i="13" s="1"/>
  <c r="D660" i="13"/>
  <c r="C660" i="13" s="1"/>
  <c r="D659" i="13"/>
  <c r="C659" i="13" s="1"/>
  <c r="D658" i="13"/>
  <c r="C658" i="13" s="1"/>
  <c r="D656" i="13"/>
  <c r="C656" i="13" s="1"/>
  <c r="D655" i="13"/>
  <c r="C655" i="13" s="1"/>
  <c r="D654" i="13"/>
  <c r="C654" i="13" s="1"/>
  <c r="D652" i="13"/>
  <c r="C652" i="13" s="1"/>
  <c r="D650" i="13"/>
  <c r="C650" i="13" s="1"/>
  <c r="D649" i="13"/>
  <c r="C649" i="13" s="1"/>
  <c r="D648" i="13"/>
  <c r="C648" i="13" s="1"/>
  <c r="D647" i="13"/>
  <c r="C647" i="13" s="1"/>
  <c r="D645" i="13"/>
  <c r="C645" i="13" s="1"/>
  <c r="D644" i="13"/>
  <c r="C644" i="13" s="1"/>
  <c r="D643" i="13"/>
  <c r="C643" i="13" s="1"/>
  <c r="D642" i="13"/>
  <c r="C642" i="13" s="1"/>
  <c r="D641" i="13"/>
  <c r="C641" i="13" s="1"/>
  <c r="D639" i="13"/>
  <c r="D640" i="13"/>
  <c r="C640" i="13" s="1"/>
  <c r="D638" i="13"/>
  <c r="C638" i="13" s="1"/>
  <c r="D637" i="13"/>
  <c r="C637" i="13" s="1"/>
  <c r="D632" i="13"/>
  <c r="C632" i="13" s="1"/>
  <c r="D634" i="13"/>
  <c r="C634" i="13" s="1"/>
  <c r="D633" i="13"/>
  <c r="C633" i="13" s="1"/>
  <c r="D631" i="13"/>
  <c r="C631" i="13" s="1"/>
  <c r="D630" i="13"/>
  <c r="C630" i="13" s="1"/>
  <c r="D625" i="13"/>
  <c r="C625" i="13" s="1"/>
  <c r="D624" i="13"/>
  <c r="C624" i="13" s="1"/>
  <c r="D623" i="13"/>
  <c r="C623" i="13" s="1"/>
  <c r="D618" i="13"/>
  <c r="C618" i="13" s="1"/>
  <c r="D617" i="13"/>
  <c r="C617" i="13" s="1"/>
  <c r="D616" i="13"/>
  <c r="C616" i="13" s="1"/>
  <c r="D615" i="13"/>
  <c r="C615" i="13" s="1"/>
  <c r="D614" i="13"/>
  <c r="C614" i="13" s="1"/>
  <c r="D613" i="13"/>
  <c r="C613" i="13" s="1"/>
  <c r="D612" i="13"/>
  <c r="C612" i="13" s="1"/>
  <c r="D610" i="13"/>
  <c r="C610" i="13" s="1"/>
  <c r="D602" i="13"/>
  <c r="C602" i="13" s="1"/>
  <c r="D601" i="13"/>
  <c r="C601" i="13" s="1"/>
  <c r="D599" i="13"/>
  <c r="C599" i="13" s="1"/>
  <c r="D598" i="13"/>
  <c r="C598" i="13" s="1"/>
  <c r="D597" i="13"/>
  <c r="C597" i="13" s="1"/>
  <c r="D596" i="13"/>
  <c r="C596" i="13" s="1"/>
  <c r="D595" i="13"/>
  <c r="C595" i="13" s="1"/>
  <c r="D593" i="13"/>
  <c r="C593" i="13" s="1"/>
  <c r="D592" i="13"/>
  <c r="C592" i="13" s="1"/>
  <c r="D591" i="13"/>
  <c r="C591" i="13" s="1"/>
  <c r="D590" i="13"/>
  <c r="C590" i="13" s="1"/>
  <c r="D589" i="13"/>
  <c r="C589" i="13" s="1"/>
  <c r="D588" i="13"/>
  <c r="C588" i="13" s="1"/>
  <c r="D587" i="13"/>
  <c r="C587" i="13" s="1"/>
  <c r="D586" i="13"/>
  <c r="C586" i="13" s="1"/>
  <c r="D583" i="13"/>
  <c r="C583" i="13" s="1"/>
  <c r="D582" i="13"/>
  <c r="C582" i="13" s="1"/>
  <c r="D581" i="13"/>
  <c r="C581" i="13" s="1"/>
  <c r="D580" i="13"/>
  <c r="C580" i="13" s="1"/>
  <c r="D585" i="13"/>
  <c r="C585" i="13" s="1"/>
  <c r="D584" i="13"/>
  <c r="C584" i="13" s="1"/>
  <c r="D574" i="13"/>
  <c r="C574" i="13" s="1"/>
  <c r="D572" i="13"/>
  <c r="C572" i="13" s="1"/>
  <c r="D571" i="13"/>
  <c r="C571" i="13" s="1"/>
  <c r="D568" i="13"/>
  <c r="C568" i="13" s="1"/>
  <c r="D567" i="13"/>
  <c r="C567" i="13" s="1"/>
  <c r="D564" i="13"/>
  <c r="C564" i="13" s="1"/>
  <c r="D563" i="13"/>
  <c r="C563" i="13" s="1"/>
  <c r="D558" i="13"/>
  <c r="C558" i="13" s="1"/>
  <c r="D557" i="13"/>
  <c r="C557" i="13" s="1"/>
  <c r="D556" i="13"/>
  <c r="C556" i="13" s="1"/>
  <c r="D562" i="13"/>
  <c r="C562" i="13" s="1"/>
  <c r="D561" i="13"/>
  <c r="C561" i="13" s="1"/>
  <c r="D560" i="13"/>
  <c r="C560" i="13" s="1"/>
  <c r="D559" i="13"/>
  <c r="C559" i="13" s="1"/>
  <c r="D555" i="13"/>
  <c r="C555" i="13" s="1"/>
  <c r="D554" i="13"/>
  <c r="C554" i="13" s="1"/>
  <c r="D553" i="13"/>
  <c r="C553" i="13" s="1"/>
  <c r="D537" i="13"/>
  <c r="C537" i="13" s="1"/>
  <c r="D551" i="13"/>
  <c r="C551" i="13" s="1"/>
  <c r="D550" i="13"/>
  <c r="C550" i="13" s="1"/>
  <c r="D549" i="13"/>
  <c r="C549" i="13" s="1"/>
  <c r="D548" i="13"/>
  <c r="C548" i="13" s="1"/>
  <c r="D547" i="13"/>
  <c r="C547" i="13" s="1"/>
  <c r="D546" i="13"/>
  <c r="C546" i="13" s="1"/>
  <c r="D545" i="13"/>
  <c r="C545" i="13" s="1"/>
  <c r="D544" i="13"/>
  <c r="C544" i="13" s="1"/>
  <c r="D543" i="13"/>
  <c r="C543" i="13" s="1"/>
  <c r="D542" i="13"/>
  <c r="C542" i="13" s="1"/>
  <c r="D541" i="13"/>
  <c r="C541" i="13" s="1"/>
  <c r="D540" i="13"/>
  <c r="C540" i="13" s="1"/>
  <c r="D539" i="13"/>
  <c r="C539" i="13" s="1"/>
  <c r="D538" i="13"/>
  <c r="C538" i="13" s="1"/>
  <c r="D536" i="13"/>
  <c r="C536" i="13" s="1"/>
  <c r="D535" i="13"/>
  <c r="C535" i="13" s="1"/>
  <c r="D519" i="13"/>
  <c r="C519" i="13" s="1"/>
  <c r="D518" i="13"/>
  <c r="C518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2" i="13"/>
  <c r="C512" i="13" s="1"/>
  <c r="D510" i="13"/>
  <c r="C510" i="13" s="1"/>
  <c r="D509" i="13"/>
  <c r="C509" i="13" s="1"/>
  <c r="D508" i="13"/>
  <c r="D507" i="13"/>
  <c r="C507" i="13" s="1"/>
  <c r="D506" i="13"/>
  <c r="D505" i="13"/>
  <c r="D504" i="13"/>
  <c r="D499" i="13"/>
  <c r="C499" i="13" s="1"/>
  <c r="D498" i="13"/>
  <c r="C498" i="13" s="1"/>
  <c r="D497" i="13"/>
  <c r="C497" i="13" s="1"/>
  <c r="D496" i="13"/>
  <c r="C496" i="13" s="1"/>
  <c r="D495" i="13"/>
  <c r="C495" i="13" s="1"/>
  <c r="D494" i="13"/>
  <c r="C494" i="13" s="1"/>
  <c r="D493" i="13"/>
  <c r="D492" i="13"/>
  <c r="C492" i="13" s="1"/>
  <c r="D491" i="13"/>
  <c r="C491" i="13" s="1"/>
  <c r="D490" i="13"/>
  <c r="C490" i="13" s="1"/>
  <c r="D484" i="13"/>
  <c r="C484" i="13" s="1"/>
  <c r="D482" i="13"/>
  <c r="C482" i="13" s="1"/>
  <c r="D481" i="13"/>
  <c r="C481" i="13" s="1"/>
  <c r="D480" i="13"/>
  <c r="C480" i="13" s="1"/>
  <c r="D479" i="13"/>
  <c r="C479" i="13" s="1"/>
  <c r="D478" i="13"/>
  <c r="C478" i="13" s="1"/>
  <c r="D477" i="13"/>
  <c r="C477" i="13" s="1"/>
  <c r="D475" i="13"/>
  <c r="D474" i="13"/>
  <c r="C474" i="13" s="1"/>
  <c r="D473" i="13"/>
  <c r="C473" i="13" s="1"/>
  <c r="D471" i="13"/>
  <c r="D470" i="13"/>
  <c r="C470" i="13" s="1"/>
  <c r="D466" i="13"/>
  <c r="C466" i="13" s="1"/>
  <c r="D465" i="13"/>
  <c r="C465" i="13" s="1"/>
  <c r="D464" i="13"/>
  <c r="C464" i="13" s="1"/>
  <c r="D457" i="13"/>
  <c r="C457" i="13" s="1"/>
  <c r="D456" i="13"/>
  <c r="D452" i="13"/>
  <c r="D451" i="13" s="1"/>
  <c r="D450" i="13"/>
  <c r="C450" i="13" s="1"/>
  <c r="D449" i="13"/>
  <c r="C449" i="13" s="1"/>
  <c r="D447" i="13"/>
  <c r="D433" i="13"/>
  <c r="D429" i="13"/>
  <c r="D428" i="13" s="1"/>
  <c r="D427" i="13"/>
  <c r="D426" i="13"/>
  <c r="D423" i="13"/>
  <c r="D417" i="13"/>
  <c r="D407" i="13"/>
  <c r="D406" i="13"/>
  <c r="D404" i="13"/>
  <c r="D389" i="13"/>
  <c r="D387" i="13"/>
  <c r="D384" i="13"/>
  <c r="D383" i="13" s="1"/>
  <c r="D382" i="13"/>
  <c r="C382" i="13" s="1"/>
  <c r="D381" i="13"/>
  <c r="C381" i="13" s="1"/>
  <c r="D380" i="13"/>
  <c r="C380" i="13" s="1"/>
  <c r="D379" i="13"/>
  <c r="C379" i="13" s="1"/>
  <c r="D378" i="13"/>
  <c r="C378" i="13" s="1"/>
  <c r="D377" i="13"/>
  <c r="D373" i="13"/>
  <c r="C373" i="13" s="1"/>
  <c r="D371" i="13"/>
  <c r="D370" i="13"/>
  <c r="D367" i="13"/>
  <c r="C367" i="13" s="1"/>
  <c r="D366" i="13"/>
  <c r="C366" i="13" s="1"/>
  <c r="D365" i="13"/>
  <c r="D361" i="13"/>
  <c r="D360" i="13" s="1"/>
  <c r="D359" i="13"/>
  <c r="C359" i="13" s="1"/>
  <c r="D358" i="13"/>
  <c r="D354" i="13"/>
  <c r="C354" i="13" s="1"/>
  <c r="D352" i="13"/>
  <c r="D348" i="13"/>
  <c r="D346" i="13"/>
  <c r="C346" i="13" s="1"/>
  <c r="D345" i="13"/>
  <c r="C345" i="13" s="1"/>
  <c r="D344" i="13"/>
  <c r="C344" i="13" s="1"/>
  <c r="D341" i="13"/>
  <c r="C341" i="13" s="1"/>
  <c r="D340" i="13"/>
  <c r="D337" i="13"/>
  <c r="C337" i="13" s="1"/>
  <c r="D336" i="13"/>
  <c r="C336" i="13" s="1"/>
  <c r="D334" i="13"/>
  <c r="D330" i="13"/>
  <c r="C330" i="13" s="1"/>
  <c r="D329" i="13"/>
  <c r="D324" i="13"/>
  <c r="C324" i="13" s="1"/>
  <c r="D323" i="13"/>
  <c r="C323" i="13" s="1"/>
  <c r="D318" i="13"/>
  <c r="C318" i="13" s="1"/>
  <c r="D317" i="13"/>
  <c r="C317" i="13" s="1"/>
  <c r="D316" i="13"/>
  <c r="D314" i="13"/>
  <c r="D313" i="13" s="1"/>
  <c r="D311" i="13"/>
  <c r="C311" i="13" s="1"/>
  <c r="D310" i="13"/>
  <c r="D309" i="13"/>
  <c r="C309" i="13" s="1"/>
  <c r="D308" i="13"/>
  <c r="C308" i="13" s="1"/>
  <c r="D307" i="13"/>
  <c r="C307" i="13" s="1"/>
  <c r="D305" i="13"/>
  <c r="C305" i="13" s="1"/>
  <c r="D306" i="13"/>
  <c r="C306" i="13" s="1"/>
  <c r="D304" i="13"/>
  <c r="C304" i="13" s="1"/>
  <c r="D302" i="13"/>
  <c r="C302" i="13" s="1"/>
  <c r="D301" i="13"/>
  <c r="C301" i="13" s="1"/>
  <c r="D300" i="13"/>
  <c r="C300" i="13" s="1"/>
  <c r="D297" i="13"/>
  <c r="C297" i="13" s="1"/>
  <c r="D295" i="13"/>
  <c r="C295" i="13" s="1"/>
  <c r="D293" i="13"/>
  <c r="D292" i="13"/>
  <c r="D283" i="13"/>
  <c r="C283" i="13" s="1"/>
  <c r="D781" i="13"/>
  <c r="C781" i="13" s="1"/>
  <c r="D282" i="13"/>
  <c r="D280" i="13"/>
  <c r="D278" i="13"/>
  <c r="C278" i="13" s="1"/>
  <c r="D277" i="13"/>
  <c r="C277" i="13" s="1"/>
  <c r="D276" i="13"/>
  <c r="C276" i="13" s="1"/>
  <c r="D279" i="13"/>
  <c r="C279" i="13" s="1"/>
  <c r="D275" i="13"/>
  <c r="C275" i="13" s="1"/>
  <c r="D274" i="13"/>
  <c r="C274" i="13" s="1"/>
  <c r="D273" i="13"/>
  <c r="C273" i="13" s="1"/>
  <c r="D272" i="13"/>
  <c r="C272" i="13" s="1"/>
  <c r="D271" i="13"/>
  <c r="D269" i="13"/>
  <c r="D268" i="13" s="1"/>
  <c r="D267" i="13"/>
  <c r="D263" i="13"/>
  <c r="D261" i="13"/>
  <c r="C261" i="13" s="1"/>
  <c r="D260" i="13"/>
  <c r="D256" i="13"/>
  <c r="D253" i="13"/>
  <c r="D252" i="13"/>
  <c r="D250" i="13"/>
  <c r="C250" i="13" s="1"/>
  <c r="D249" i="13"/>
  <c r="C249" i="13" s="1"/>
  <c r="D248" i="13"/>
  <c r="D243" i="13"/>
  <c r="D235" i="13"/>
  <c r="C235" i="13" s="1"/>
  <c r="D234" i="13"/>
  <c r="C234" i="13" s="1"/>
  <c r="D233" i="13"/>
  <c r="D232" i="13"/>
  <c r="C232" i="13" s="1"/>
  <c r="D231" i="13"/>
  <c r="C231" i="13" s="1"/>
  <c r="D699" i="13"/>
  <c r="C699" i="13" s="1"/>
  <c r="D230" i="13"/>
  <c r="D236" i="13"/>
  <c r="C236" i="13" s="1"/>
  <c r="D228" i="13"/>
  <c r="D227" i="13"/>
  <c r="D226" i="13"/>
  <c r="C226" i="13" s="1"/>
  <c r="D225" i="13"/>
  <c r="D224" i="13"/>
  <c r="C224" i="13" s="1"/>
  <c r="D223" i="13"/>
  <c r="C223" i="13" s="1"/>
  <c r="D222" i="13"/>
  <c r="C222" i="13" s="1"/>
  <c r="D221" i="13"/>
  <c r="D683" i="13"/>
  <c r="C683" i="13" s="1"/>
  <c r="D677" i="13"/>
  <c r="C677" i="13" s="1"/>
  <c r="D676" i="13"/>
  <c r="C676" i="13" s="1"/>
  <c r="D674" i="13"/>
  <c r="C674" i="13" s="1"/>
  <c r="D217" i="13"/>
  <c r="C217" i="13" s="1"/>
  <c r="D216" i="13"/>
  <c r="C216" i="13" s="1"/>
  <c r="D215" i="13"/>
  <c r="C215" i="13" s="1"/>
  <c r="D663" i="13"/>
  <c r="C663" i="13" s="1"/>
  <c r="D214" i="13"/>
  <c r="D213" i="13"/>
  <c r="D657" i="13"/>
  <c r="C657" i="13" s="1"/>
  <c r="D210" i="13"/>
  <c r="C210" i="13" s="1"/>
  <c r="D209" i="13"/>
  <c r="C209" i="13" s="1"/>
  <c r="D636" i="13"/>
  <c r="C636" i="13" s="1"/>
  <c r="D204" i="13"/>
  <c r="C204" i="13" s="1"/>
  <c r="D629" i="13"/>
  <c r="C629" i="13" s="1"/>
  <c r="D627" i="13"/>
  <c r="C627" i="13" s="1"/>
  <c r="D203" i="13"/>
  <c r="D202" i="13"/>
  <c r="C202" i="13" s="1"/>
  <c r="D201" i="13"/>
  <c r="C201" i="13" s="1"/>
  <c r="D621" i="13"/>
  <c r="C621" i="13" s="1"/>
  <c r="D200" i="13"/>
  <c r="C200" i="13" s="1"/>
  <c r="D620" i="13"/>
  <c r="C620" i="13" s="1"/>
  <c r="D619" i="13"/>
  <c r="C619" i="13" s="1"/>
  <c r="D199" i="13"/>
  <c r="D1029" i="13"/>
  <c r="D609" i="13"/>
  <c r="C609" i="13" s="1"/>
  <c r="D608" i="13"/>
  <c r="C608" i="13" s="1"/>
  <c r="D606" i="13"/>
  <c r="C606" i="13" s="1"/>
  <c r="D196" i="13"/>
  <c r="D195" i="13"/>
  <c r="C195" i="13" s="1"/>
  <c r="D193" i="13"/>
  <c r="C193" i="13" s="1"/>
  <c r="D577" i="13"/>
  <c r="C577" i="13" s="1"/>
  <c r="D575" i="13"/>
  <c r="C575" i="13" s="1"/>
  <c r="D186" i="13"/>
  <c r="C186" i="13" s="1"/>
  <c r="D185" i="13"/>
  <c r="C185" i="13" s="1"/>
  <c r="D570" i="13"/>
  <c r="C570" i="13" s="1"/>
  <c r="D183" i="13"/>
  <c r="C183" i="13" s="1"/>
  <c r="D180" i="13"/>
  <c r="C180" i="13" s="1"/>
  <c r="D179" i="13"/>
  <c r="C179" i="13" s="1"/>
  <c r="D178" i="13"/>
  <c r="C178" i="13" s="1"/>
  <c r="D177" i="13"/>
  <c r="C177" i="13" s="1"/>
  <c r="D176" i="13"/>
  <c r="C176" i="13" s="1"/>
  <c r="D527" i="13"/>
  <c r="C527" i="13" s="1"/>
  <c r="D525" i="13"/>
  <c r="C525" i="13" s="1"/>
  <c r="D520" i="13"/>
  <c r="C520" i="13" s="1"/>
  <c r="D166" i="13"/>
  <c r="C166" i="13" s="1"/>
  <c r="D165" i="13"/>
  <c r="D163" i="13"/>
  <c r="C163" i="13" s="1"/>
  <c r="D162" i="13"/>
  <c r="C162" i="13" s="1"/>
  <c r="D161" i="13"/>
  <c r="C161" i="13" s="1"/>
  <c r="D160" i="13"/>
  <c r="C160" i="13" s="1"/>
  <c r="D159" i="13"/>
  <c r="C159" i="13" s="1"/>
  <c r="D158" i="13"/>
  <c r="C158" i="13" s="1"/>
  <c r="D157" i="13"/>
  <c r="C157" i="13" s="1"/>
  <c r="D154" i="13"/>
  <c r="C154" i="13" s="1"/>
  <c r="D150" i="13"/>
  <c r="C150" i="13" s="1"/>
  <c r="D149" i="13"/>
  <c r="C149" i="13" s="1"/>
  <c r="D148" i="13"/>
  <c r="C148" i="13" s="1"/>
  <c r="D147" i="13"/>
  <c r="C147" i="13" s="1"/>
  <c r="D146" i="13"/>
  <c r="D145" i="13"/>
  <c r="D144" i="13"/>
  <c r="D143" i="13"/>
  <c r="D142" i="13"/>
  <c r="C142" i="13" s="1"/>
  <c r="D141" i="13"/>
  <c r="C141" i="13" s="1"/>
  <c r="D485" i="13"/>
  <c r="C485" i="13" s="1"/>
  <c r="D140" i="13"/>
  <c r="C140" i="13" s="1"/>
  <c r="D139" i="13"/>
  <c r="C139" i="13" s="1"/>
  <c r="D138" i="13"/>
  <c r="C138" i="13" s="1"/>
  <c r="D137" i="13"/>
  <c r="C137" i="13" s="1"/>
  <c r="D136" i="13"/>
  <c r="C136" i="13" s="1"/>
  <c r="D135" i="13"/>
  <c r="C135" i="13" s="1"/>
  <c r="D134" i="13"/>
  <c r="C134" i="13" s="1"/>
  <c r="D133" i="13"/>
  <c r="C133" i="13" s="1"/>
  <c r="D132" i="13"/>
  <c r="C132" i="13" s="1"/>
  <c r="D131" i="13"/>
  <c r="C131" i="13" s="1"/>
  <c r="D469" i="13"/>
  <c r="C469" i="13" s="1"/>
  <c r="D468" i="13"/>
  <c r="C468" i="13" s="1"/>
  <c r="D467" i="13"/>
  <c r="C467" i="13" s="1"/>
  <c r="D127" i="13"/>
  <c r="C127" i="13" s="1"/>
  <c r="D125" i="13"/>
  <c r="C125" i="13" s="1"/>
  <c r="D123" i="13"/>
  <c r="D122" i="13"/>
  <c r="C122" i="13" s="1"/>
  <c r="D121" i="13"/>
  <c r="C121" i="13" s="1"/>
  <c r="D115" i="13"/>
  <c r="D114" i="13" s="1"/>
  <c r="D113" i="13"/>
  <c r="C113" i="13" s="1"/>
  <c r="D112" i="13"/>
  <c r="C112" i="13" s="1"/>
  <c r="D110" i="13"/>
  <c r="C110" i="13" s="1"/>
  <c r="D109" i="13"/>
  <c r="C109" i="13" s="1"/>
  <c r="D108" i="13"/>
  <c r="C108" i="13" s="1"/>
  <c r="D103" i="13"/>
  <c r="C103" i="13" s="1"/>
  <c r="D102" i="13"/>
  <c r="D101" i="13"/>
  <c r="C101" i="13" s="1"/>
  <c r="D97" i="13"/>
  <c r="C97" i="13" s="1"/>
  <c r="D99" i="13"/>
  <c r="D93" i="13"/>
  <c r="C93" i="13" s="1"/>
  <c r="D92" i="13"/>
  <c r="C92" i="13" s="1"/>
  <c r="D91" i="13"/>
  <c r="C91" i="13" s="1"/>
  <c r="D90" i="13"/>
  <c r="D88" i="13"/>
  <c r="C88" i="13" s="1"/>
  <c r="D85" i="13"/>
  <c r="C85" i="13" s="1"/>
  <c r="D84" i="13"/>
  <c r="D83" i="13"/>
  <c r="D80" i="13"/>
  <c r="D77" i="13"/>
  <c r="D388" i="13"/>
  <c r="C388" i="13" s="1"/>
  <c r="D71" i="13"/>
  <c r="D73" i="13"/>
  <c r="D69" i="13"/>
  <c r="D70" i="13"/>
  <c r="D386" i="13"/>
  <c r="D67" i="13"/>
  <c r="D66" i="13" s="1"/>
  <c r="D65" i="13"/>
  <c r="D64" i="13" s="1"/>
  <c r="D63" i="13"/>
  <c r="C63" i="13" s="1"/>
  <c r="D62" i="13"/>
  <c r="D375" i="13"/>
  <c r="D374" i="13" s="1"/>
  <c r="D58" i="13"/>
  <c r="C58" i="13" s="1"/>
  <c r="C57" i="13" s="1"/>
  <c r="D56" i="13"/>
  <c r="D54" i="13"/>
  <c r="D53" i="13" s="1"/>
  <c r="D52" i="13"/>
  <c r="D51" i="13"/>
  <c r="D50" i="13"/>
  <c r="D48" i="13"/>
  <c r="D353" i="13"/>
  <c r="C353" i="13" s="1"/>
  <c r="D46" i="13"/>
  <c r="D45" i="13" s="1"/>
  <c r="D44" i="13"/>
  <c r="D43" i="13" s="1"/>
  <c r="D42" i="13"/>
  <c r="D41" i="13"/>
  <c r="D40" i="13"/>
  <c r="D39" i="13"/>
  <c r="D338" i="13"/>
  <c r="C338" i="13" s="1"/>
  <c r="D37" i="13"/>
  <c r="C37" i="13" s="1"/>
  <c r="D36" i="13"/>
  <c r="C36" i="13" s="1"/>
  <c r="D328" i="13"/>
  <c r="D34" i="13"/>
  <c r="D33" i="13" s="1"/>
  <c r="D32" i="13"/>
  <c r="C32" i="13" s="1"/>
  <c r="D31" i="13"/>
  <c r="D320" i="13"/>
  <c r="D319" i="13" s="1"/>
  <c r="D27" i="13"/>
  <c r="D26" i="13" s="1"/>
  <c r="D25" i="13"/>
  <c r="D24" i="13" s="1"/>
  <c r="Q789" i="13" l="1"/>
  <c r="M789" i="13"/>
  <c r="D368" i="13"/>
  <c r="C348" i="13"/>
  <c r="C347" i="13" s="1"/>
  <c r="D347" i="13"/>
  <c r="D357" i="13"/>
  <c r="D372" i="13"/>
  <c r="D364" i="13"/>
  <c r="D455" i="13"/>
  <c r="D327" i="13"/>
  <c r="D315" i="13"/>
  <c r="D351" i="13"/>
  <c r="D376" i="13"/>
  <c r="Q8" i="13"/>
  <c r="U8" i="13"/>
  <c r="M8" i="13"/>
  <c r="T8" i="13"/>
  <c r="O8" i="13"/>
  <c r="K8" i="13"/>
  <c r="C35" i="13"/>
  <c r="D854" i="13"/>
  <c r="D1142" i="13"/>
  <c r="C292" i="13"/>
  <c r="C316" i="13"/>
  <c r="C315" i="13" s="1"/>
  <c r="C352" i="13"/>
  <c r="C351" i="13" s="1"/>
  <c r="C370" i="13"/>
  <c r="C1137" i="13"/>
  <c r="C1136" i="13" s="1"/>
  <c r="D1136" i="13"/>
  <c r="C314" i="13"/>
  <c r="C313" i="13" s="1"/>
  <c r="C765" i="13"/>
  <c r="C835" i="13"/>
  <c r="C834" i="13" s="1"/>
  <c r="D834" i="13"/>
  <c r="C855" i="13"/>
  <c r="C854" i="13" s="1"/>
  <c r="C869" i="13"/>
  <c r="C1131" i="13"/>
  <c r="D846" i="13"/>
  <c r="C361" i="13"/>
  <c r="C360" i="13" s="1"/>
  <c r="C377" i="13"/>
  <c r="C376" i="13" s="1"/>
  <c r="C340" i="13"/>
  <c r="C372" i="13"/>
  <c r="C384" i="13"/>
  <c r="C383" i="13" s="1"/>
  <c r="C456" i="13"/>
  <c r="C455" i="13" s="1"/>
  <c r="C760" i="13"/>
  <c r="C759" i="13" s="1"/>
  <c r="C821" i="13"/>
  <c r="D820" i="13"/>
  <c r="C840" i="13"/>
  <c r="C839" i="13" s="1"/>
  <c r="D839" i="13"/>
  <c r="C845" i="13"/>
  <c r="C844" i="13" s="1"/>
  <c r="D844" i="13"/>
  <c r="C863" i="13"/>
  <c r="C862" i="13" s="1"/>
  <c r="D862" i="13"/>
  <c r="C874" i="13"/>
  <c r="C873" i="13" s="1"/>
  <c r="D873" i="13"/>
  <c r="C837" i="13"/>
  <c r="C836" i="13" s="1"/>
  <c r="D836" i="13"/>
  <c r="C329" i="13"/>
  <c r="C433" i="13"/>
  <c r="C452" i="13"/>
  <c r="C451" i="13" s="1"/>
  <c r="C791" i="13"/>
  <c r="C790" i="13" s="1"/>
  <c r="D790" i="13"/>
  <c r="C828" i="13"/>
  <c r="C827" i="13" s="1"/>
  <c r="D827" i="13"/>
  <c r="C859" i="13"/>
  <c r="C858" i="13" s="1"/>
  <c r="D858" i="13"/>
  <c r="C924" i="13"/>
  <c r="C1127" i="13"/>
  <c r="C50" i="13"/>
  <c r="D49" i="13"/>
  <c r="C62" i="13"/>
  <c r="C61" i="13" s="1"/>
  <c r="D61" i="13"/>
  <c r="C386" i="13"/>
  <c r="C90" i="13"/>
  <c r="C248" i="13"/>
  <c r="C247" i="13" s="1"/>
  <c r="D247" i="13"/>
  <c r="C263" i="13"/>
  <c r="C262" i="13" s="1"/>
  <c r="D262" i="13"/>
  <c r="C31" i="13"/>
  <c r="C30" i="13" s="1"/>
  <c r="D30" i="13"/>
  <c r="D57" i="13"/>
  <c r="C243" i="13"/>
  <c r="C242" i="13" s="1"/>
  <c r="D242" i="13"/>
  <c r="C271" i="13"/>
  <c r="D270" i="13"/>
  <c r="C39" i="13"/>
  <c r="D38" i="13"/>
  <c r="C56" i="13"/>
  <c r="C55" i="13" s="1"/>
  <c r="D55" i="13"/>
  <c r="C260" i="13"/>
  <c r="C259" i="13" s="1"/>
  <c r="D259" i="13"/>
  <c r="C48" i="13"/>
  <c r="C47" i="13" s="1"/>
  <c r="D47" i="13"/>
  <c r="C375" i="13"/>
  <c r="C374" i="13" s="1"/>
  <c r="C256" i="13"/>
  <c r="C255" i="13" s="1"/>
  <c r="D255" i="13"/>
  <c r="C334" i="13"/>
  <c r="C350" i="13"/>
  <c r="C349" i="13" s="1"/>
  <c r="C737" i="13"/>
  <c r="C44" i="13"/>
  <c r="C43" i="13" s="1"/>
  <c r="C320" i="13"/>
  <c r="C319" i="13" s="1"/>
  <c r="E1167" i="13" l="1"/>
  <c r="E1166" i="13"/>
  <c r="E1160" i="13"/>
  <c r="E1159" i="13"/>
  <c r="E1158" i="13"/>
  <c r="E1157" i="13"/>
  <c r="E1156" i="13"/>
  <c r="E1151" i="13"/>
  <c r="E1150" i="13"/>
  <c r="E1149" i="13"/>
  <c r="E1155" i="13"/>
  <c r="E1154" i="13"/>
  <c r="E1153" i="13"/>
  <c r="E1152" i="13"/>
  <c r="I1140" i="13"/>
  <c r="G1140" i="13"/>
  <c r="F1140" i="13"/>
  <c r="E1141" i="13"/>
  <c r="E1140" i="13" s="1"/>
  <c r="H1140" i="13"/>
  <c r="I1138" i="13"/>
  <c r="G1138" i="13"/>
  <c r="F1138" i="13"/>
  <c r="E1139" i="13"/>
  <c r="E1138" i="13" s="1"/>
  <c r="H1138" i="13"/>
  <c r="E743" i="13"/>
  <c r="I1130" i="13"/>
  <c r="H1130" i="13"/>
  <c r="G1130" i="13"/>
  <c r="F1130" i="13"/>
  <c r="E1132" i="13"/>
  <c r="E1130" i="13" s="1"/>
  <c r="I1126" i="13"/>
  <c r="H1126" i="13"/>
  <c r="G1126" i="13"/>
  <c r="F1126" i="13"/>
  <c r="E1128" i="13"/>
  <c r="E1126" i="13" s="1"/>
  <c r="I1124" i="13"/>
  <c r="H1124" i="13"/>
  <c r="G1124" i="13"/>
  <c r="F1124" i="13"/>
  <c r="E1125" i="13"/>
  <c r="E1124" i="13" s="1"/>
  <c r="E1109" i="13"/>
  <c r="E1108" i="13"/>
  <c r="E1107" i="13"/>
  <c r="E1081" i="13"/>
  <c r="E1060" i="13"/>
  <c r="E1048" i="13"/>
  <c r="E1045" i="13"/>
  <c r="E1020" i="13"/>
  <c r="E1014" i="13"/>
  <c r="E1013" i="13"/>
  <c r="E986" i="13"/>
  <c r="E982" i="13"/>
  <c r="E960" i="13"/>
  <c r="E949" i="13"/>
  <c r="E932" i="13"/>
  <c r="E922" i="13"/>
  <c r="E921" i="13"/>
  <c r="E897" i="13"/>
  <c r="E896" i="13"/>
  <c r="E894" i="13"/>
  <c r="E890" i="13"/>
  <c r="E889" i="13"/>
  <c r="E888" i="13"/>
  <c r="E886" i="13"/>
  <c r="E883" i="13"/>
  <c r="E882" i="13"/>
  <c r="E881" i="13"/>
  <c r="E878" i="13"/>
  <c r="E877" i="13"/>
  <c r="I868" i="13"/>
  <c r="G868" i="13"/>
  <c r="F868" i="13"/>
  <c r="E871" i="13"/>
  <c r="E868" i="13" s="1"/>
  <c r="H868" i="13"/>
  <c r="I866" i="13"/>
  <c r="H866" i="13"/>
  <c r="G866" i="13"/>
  <c r="F866" i="13"/>
  <c r="E867" i="13"/>
  <c r="E866" i="13" s="1"/>
  <c r="I860" i="13"/>
  <c r="H860" i="13"/>
  <c r="G860" i="13"/>
  <c r="F860" i="13"/>
  <c r="E861" i="13"/>
  <c r="E860" i="13" s="1"/>
  <c r="E833" i="13"/>
  <c r="F830" i="13"/>
  <c r="E832" i="13"/>
  <c r="E819" i="13"/>
  <c r="H819" i="13"/>
  <c r="G819" i="13"/>
  <c r="I817" i="13"/>
  <c r="G818" i="13"/>
  <c r="E818" i="13"/>
  <c r="E811" i="13"/>
  <c r="H811" i="13"/>
  <c r="E810" i="13"/>
  <c r="E804" i="13"/>
  <c r="E797" i="13"/>
  <c r="G784" i="13"/>
  <c r="G783" i="13" s="1"/>
  <c r="E784" i="13"/>
  <c r="E783" i="13" s="1"/>
  <c r="E780" i="13"/>
  <c r="E779" i="13"/>
  <c r="E778" i="13"/>
  <c r="E777" i="13"/>
  <c r="E776" i="13"/>
  <c r="E767" i="13"/>
  <c r="G756" i="13"/>
  <c r="G755" i="13" s="1"/>
  <c r="G754" i="13"/>
  <c r="G753" i="13" s="1"/>
  <c r="E754" i="13"/>
  <c r="E753" i="13" s="1"/>
  <c r="E745" i="13"/>
  <c r="E744" i="13"/>
  <c r="E741" i="13"/>
  <c r="E730" i="13"/>
  <c r="E727" i="13" s="1"/>
  <c r="E697" i="13"/>
  <c r="E681" i="13"/>
  <c r="E670" i="13"/>
  <c r="E646" i="13"/>
  <c r="E1055" i="13"/>
  <c r="E1054" i="13"/>
  <c r="E628" i="13"/>
  <c r="J573" i="13"/>
  <c r="J566" i="13"/>
  <c r="J552" i="13"/>
  <c r="J526" i="13"/>
  <c r="G511" i="13"/>
  <c r="E511" i="13"/>
  <c r="J511" i="13"/>
  <c r="J948" i="13"/>
  <c r="J923" i="13" s="1"/>
  <c r="J502" i="13"/>
  <c r="J501" i="13"/>
  <c r="G489" i="13"/>
  <c r="E489" i="13"/>
  <c r="J489" i="13"/>
  <c r="J488" i="13"/>
  <c r="G483" i="13"/>
  <c r="E483" i="13"/>
  <c r="J483" i="13"/>
  <c r="J476" i="13"/>
  <c r="G472" i="13"/>
  <c r="E472" i="13"/>
  <c r="J472" i="13"/>
  <c r="F425" i="13"/>
  <c r="F420" i="13" s="1"/>
  <c r="E425" i="13"/>
  <c r="E420" i="13" s="1"/>
  <c r="G356" i="13"/>
  <c r="G355" i="13" s="1"/>
  <c r="F356" i="13"/>
  <c r="F355" i="13" s="1"/>
  <c r="J312" i="13"/>
  <c r="J296" i="13"/>
  <c r="E294" i="13"/>
  <c r="E291" i="13" s="1"/>
  <c r="J294" i="13"/>
  <c r="E736" i="13" l="1"/>
  <c r="J291" i="13"/>
  <c r="E891" i="13"/>
  <c r="E1148" i="13"/>
  <c r="E920" i="13"/>
  <c r="E923" i="13"/>
  <c r="I920" i="13"/>
  <c r="E817" i="13"/>
  <c r="G920" i="13"/>
  <c r="F817" i="13"/>
  <c r="H817" i="13"/>
  <c r="H830" i="13"/>
  <c r="F920" i="13"/>
  <c r="G817" i="13"/>
  <c r="H875" i="13"/>
  <c r="H920" i="13"/>
  <c r="I1165" i="13"/>
  <c r="H1165" i="13"/>
  <c r="D1054" i="13"/>
  <c r="C1054" i="13" s="1"/>
  <c r="D730" i="13"/>
  <c r="D777" i="13"/>
  <c r="C777" i="13" s="1"/>
  <c r="H793" i="13"/>
  <c r="D811" i="13"/>
  <c r="C811" i="13" s="1"/>
  <c r="D1020" i="13"/>
  <c r="C1020" i="13" s="1"/>
  <c r="D743" i="13"/>
  <c r="C743" i="13" s="1"/>
  <c r="D1153" i="13"/>
  <c r="C1153" i="13" s="1"/>
  <c r="D1149" i="13"/>
  <c r="D425" i="13"/>
  <c r="D681" i="13"/>
  <c r="C681" i="13" s="1"/>
  <c r="D691" i="13"/>
  <c r="C691" i="13" s="1"/>
  <c r="D771" i="13"/>
  <c r="C771" i="13" s="1"/>
  <c r="D778" i="13"/>
  <c r="C778" i="13" s="1"/>
  <c r="I793" i="13"/>
  <c r="D883" i="13"/>
  <c r="D890" i="13"/>
  <c r="C890" i="13" s="1"/>
  <c r="D982" i="13"/>
  <c r="C982" i="13" s="1"/>
  <c r="D1081" i="13"/>
  <c r="C1081" i="13" s="1"/>
  <c r="D1167" i="13"/>
  <c r="C1167" i="13" s="1"/>
  <c r="G1165" i="13"/>
  <c r="D1125" i="13"/>
  <c r="D741" i="13"/>
  <c r="D754" i="13"/>
  <c r="D753" i="13" s="1"/>
  <c r="D871" i="13"/>
  <c r="D1132" i="13"/>
  <c r="D1141" i="13"/>
  <c r="D1152" i="13"/>
  <c r="D511" i="13"/>
  <c r="C511" i="13" s="1"/>
  <c r="D628" i="13"/>
  <c r="D670" i="13"/>
  <c r="C670" i="13" s="1"/>
  <c r="D690" i="13"/>
  <c r="D729" i="13"/>
  <c r="C729" i="13" s="1"/>
  <c r="D770" i="13"/>
  <c r="C770" i="13" s="1"/>
  <c r="D776" i="13"/>
  <c r="C776" i="13" s="1"/>
  <c r="G793" i="13"/>
  <c r="D810" i="13"/>
  <c r="C810" i="13" s="1"/>
  <c r="D833" i="13"/>
  <c r="C833" i="13" s="1"/>
  <c r="D882" i="13"/>
  <c r="D889" i="13"/>
  <c r="D897" i="13"/>
  <c r="C897" i="13" s="1"/>
  <c r="D960" i="13"/>
  <c r="C960" i="13" s="1"/>
  <c r="D1014" i="13"/>
  <c r="C1014" i="13" s="1"/>
  <c r="D1060" i="13"/>
  <c r="C1060" i="13" s="1"/>
  <c r="D1109" i="13"/>
  <c r="C1109" i="13" s="1"/>
  <c r="D1155" i="13"/>
  <c r="C1155" i="13" s="1"/>
  <c r="D1157" i="13"/>
  <c r="C1157" i="13" s="1"/>
  <c r="D1160" i="13"/>
  <c r="C1160" i="13" s="1"/>
  <c r="D861" i="13"/>
  <c r="D877" i="13"/>
  <c r="D921" i="13"/>
  <c r="D356" i="13"/>
  <c r="D355" i="13" s="1"/>
  <c r="D728" i="13"/>
  <c r="D756" i="13"/>
  <c r="D755" i="13" s="1"/>
  <c r="D818" i="13"/>
  <c r="D932" i="13"/>
  <c r="D1128" i="13"/>
  <c r="D1139" i="13"/>
  <c r="D922" i="13"/>
  <c r="C922" i="13" s="1"/>
  <c r="D483" i="13"/>
  <c r="C483" i="13" s="1"/>
  <c r="D472" i="13"/>
  <c r="C472" i="13" s="1"/>
  <c r="D489" i="13"/>
  <c r="C489" i="13" s="1"/>
  <c r="D646" i="13"/>
  <c r="C646" i="13" s="1"/>
  <c r="D689" i="13"/>
  <c r="C689" i="13" s="1"/>
  <c r="D735" i="13"/>
  <c r="C735" i="13" s="1"/>
  <c r="D745" i="13"/>
  <c r="C745" i="13" s="1"/>
  <c r="D769" i="13"/>
  <c r="C769" i="13" s="1"/>
  <c r="D773" i="13"/>
  <c r="C773" i="13" s="1"/>
  <c r="D780" i="13"/>
  <c r="C780" i="13" s="1"/>
  <c r="F793" i="13"/>
  <c r="D804" i="13"/>
  <c r="C804" i="13" s="1"/>
  <c r="D832" i="13"/>
  <c r="C832" i="13" s="1"/>
  <c r="D888" i="13"/>
  <c r="D896" i="13"/>
  <c r="C896" i="13" s="1"/>
  <c r="D949" i="13"/>
  <c r="D1013" i="13"/>
  <c r="C1013" i="13" s="1"/>
  <c r="D1048" i="13"/>
  <c r="C1048" i="13" s="1"/>
  <c r="D1108" i="13"/>
  <c r="C1108" i="13" s="1"/>
  <c r="D1154" i="13"/>
  <c r="C1154" i="13" s="1"/>
  <c r="D1151" i="13"/>
  <c r="C1151" i="13" s="1"/>
  <c r="D1156" i="13"/>
  <c r="C1156" i="13" s="1"/>
  <c r="D1159" i="13"/>
  <c r="C1159" i="13" s="1"/>
  <c r="D784" i="13"/>
  <c r="D783" i="13" s="1"/>
  <c r="E1165" i="13"/>
  <c r="D1166" i="13"/>
  <c r="C1166" i="13" s="1"/>
  <c r="D734" i="13"/>
  <c r="D767" i="13"/>
  <c r="D797" i="13"/>
  <c r="C797" i="13" s="1"/>
  <c r="E793" i="13"/>
  <c r="D867" i="13"/>
  <c r="D894" i="13"/>
  <c r="D1055" i="13"/>
  <c r="C1055" i="13" s="1"/>
  <c r="D688" i="13"/>
  <c r="C688" i="13" s="1"/>
  <c r="D697" i="13"/>
  <c r="C697" i="13" s="1"/>
  <c r="D744" i="13"/>
  <c r="C744" i="13" s="1"/>
  <c r="D772" i="13"/>
  <c r="C772" i="13" s="1"/>
  <c r="D779" i="13"/>
  <c r="C779" i="13" s="1"/>
  <c r="D819" i="13"/>
  <c r="D878" i="13"/>
  <c r="D881" i="13"/>
  <c r="D886" i="13"/>
  <c r="D986" i="13"/>
  <c r="C986" i="13" s="1"/>
  <c r="D1045" i="13"/>
  <c r="C1045" i="13" s="1"/>
  <c r="D1107" i="13"/>
  <c r="C1107" i="13" s="1"/>
  <c r="D1150" i="13"/>
  <c r="C1150" i="13" s="1"/>
  <c r="D1158" i="13"/>
  <c r="C1158" i="13" s="1"/>
  <c r="F1165" i="13"/>
  <c r="D476" i="13"/>
  <c r="C476" i="13" s="1"/>
  <c r="D566" i="13"/>
  <c r="C566" i="13" s="1"/>
  <c r="D294" i="13"/>
  <c r="D296" i="13"/>
  <c r="C296" i="13" s="1"/>
  <c r="D488" i="13"/>
  <c r="C488" i="13" s="1"/>
  <c r="D501" i="13"/>
  <c r="C501" i="13" s="1"/>
  <c r="D948" i="13"/>
  <c r="C948" i="13" s="1"/>
  <c r="D526" i="13"/>
  <c r="C526" i="13" s="1"/>
  <c r="D312" i="13"/>
  <c r="C312" i="13" s="1"/>
  <c r="D502" i="13"/>
  <c r="C502" i="13" s="1"/>
  <c r="D552" i="13"/>
  <c r="D573" i="13"/>
  <c r="C573" i="13" s="1"/>
  <c r="E1135" i="13"/>
  <c r="D1135" i="13" s="1"/>
  <c r="C1135" i="13" s="1"/>
  <c r="E1134" i="13"/>
  <c r="J1121" i="13"/>
  <c r="J1120" i="13" s="1"/>
  <c r="I1120" i="13"/>
  <c r="H1120" i="13"/>
  <c r="G1121" i="13"/>
  <c r="G1120" i="13" s="1"/>
  <c r="F1120" i="13"/>
  <c r="E1121" i="13"/>
  <c r="E1120" i="13" s="1"/>
  <c r="J1119" i="13"/>
  <c r="J1118" i="13" s="1"/>
  <c r="I1118" i="13"/>
  <c r="H1118" i="13"/>
  <c r="G1119" i="13"/>
  <c r="G1118" i="13" s="1"/>
  <c r="F1118" i="13"/>
  <c r="E1119" i="13"/>
  <c r="E1118" i="13" s="1"/>
  <c r="J919" i="13"/>
  <c r="G919" i="13"/>
  <c r="E919" i="13"/>
  <c r="J918" i="13"/>
  <c r="G918" i="13"/>
  <c r="E918" i="13"/>
  <c r="J916" i="13"/>
  <c r="G916" i="13"/>
  <c r="E916" i="13"/>
  <c r="J915" i="13"/>
  <c r="G915" i="13"/>
  <c r="E915" i="13"/>
  <c r="J914" i="13"/>
  <c r="G914" i="13"/>
  <c r="E914" i="13"/>
  <c r="J913" i="13"/>
  <c r="G913" i="13"/>
  <c r="E913" i="13"/>
  <c r="J912" i="13"/>
  <c r="G912" i="13"/>
  <c r="E912" i="13"/>
  <c r="J909" i="13"/>
  <c r="G909" i="13"/>
  <c r="E909" i="13"/>
  <c r="J908" i="13"/>
  <c r="G908" i="13"/>
  <c r="E908" i="13"/>
  <c r="J904" i="13"/>
  <c r="J903" i="13" s="1"/>
  <c r="I903" i="13"/>
  <c r="H903" i="13"/>
  <c r="G904" i="13"/>
  <c r="G903" i="13" s="1"/>
  <c r="F903" i="13"/>
  <c r="E904" i="13"/>
  <c r="E903" i="13" s="1"/>
  <c r="J902" i="13"/>
  <c r="E902" i="13"/>
  <c r="J900" i="13"/>
  <c r="G900" i="13"/>
  <c r="E900" i="13"/>
  <c r="J901" i="13"/>
  <c r="G901" i="13"/>
  <c r="E901" i="13"/>
  <c r="J899" i="13"/>
  <c r="G899" i="13"/>
  <c r="E899" i="13"/>
  <c r="J880" i="13"/>
  <c r="G880" i="13"/>
  <c r="E880" i="13"/>
  <c r="J879" i="13"/>
  <c r="G879" i="13"/>
  <c r="E879" i="13"/>
  <c r="J831" i="13"/>
  <c r="J830" i="13" s="1"/>
  <c r="I830" i="13"/>
  <c r="G831" i="13"/>
  <c r="G830" i="13" s="1"/>
  <c r="E831" i="13"/>
  <c r="E830" i="13" s="1"/>
  <c r="J826" i="13"/>
  <c r="G826" i="13"/>
  <c r="E826" i="13"/>
  <c r="J825" i="13"/>
  <c r="G825" i="13"/>
  <c r="E825" i="13"/>
  <c r="E752" i="13"/>
  <c r="D752" i="13" s="1"/>
  <c r="E751" i="13"/>
  <c r="D751" i="13" s="1"/>
  <c r="C751" i="13" s="1"/>
  <c r="E750" i="13"/>
  <c r="E748" i="13"/>
  <c r="E747" i="13" s="1"/>
  <c r="J723" i="13"/>
  <c r="G723" i="13"/>
  <c r="E723" i="13"/>
  <c r="J687" i="13"/>
  <c r="G687" i="13"/>
  <c r="E687" i="13"/>
  <c r="J653" i="13"/>
  <c r="J651" i="13"/>
  <c r="J463" i="13"/>
  <c r="J459" i="13"/>
  <c r="J458" i="13" s="1"/>
  <c r="G459" i="13"/>
  <c r="G458" i="13" s="1"/>
  <c r="F459" i="13"/>
  <c r="F458" i="13" s="1"/>
  <c r="J448" i="13"/>
  <c r="J446" i="13"/>
  <c r="J445" i="13"/>
  <c r="J444" i="13"/>
  <c r="J442" i="13"/>
  <c r="J441" i="13"/>
  <c r="J440" i="13"/>
  <c r="J439" i="13"/>
  <c r="J443" i="13"/>
  <c r="J437" i="13"/>
  <c r="J436" i="13"/>
  <c r="J431" i="13"/>
  <c r="J430" i="13" s="1"/>
  <c r="J424" i="13"/>
  <c r="J422" i="13"/>
  <c r="J421" i="13"/>
  <c r="J416" i="13"/>
  <c r="J415" i="13"/>
  <c r="J414" i="13"/>
  <c r="G414" i="13"/>
  <c r="E414" i="13"/>
  <c r="J413" i="13"/>
  <c r="J412" i="13"/>
  <c r="J411" i="13"/>
  <c r="J409" i="13"/>
  <c r="J408" i="13" s="1"/>
  <c r="G409" i="13"/>
  <c r="G408" i="13" s="1"/>
  <c r="J405" i="13"/>
  <c r="G405" i="13"/>
  <c r="E405" i="13"/>
  <c r="J403" i="13"/>
  <c r="G403" i="13"/>
  <c r="E403" i="13"/>
  <c r="J401" i="13"/>
  <c r="E401" i="13"/>
  <c r="J400" i="13"/>
  <c r="E400" i="13"/>
  <c r="J399" i="13"/>
  <c r="G399" i="13"/>
  <c r="E399" i="13"/>
  <c r="J402" i="13"/>
  <c r="G402" i="13"/>
  <c r="E402" i="13"/>
  <c r="J397" i="13"/>
  <c r="G397" i="13"/>
  <c r="E397" i="13"/>
  <c r="J398" i="13"/>
  <c r="G398" i="13"/>
  <c r="E398" i="13"/>
  <c r="J396" i="13"/>
  <c r="G396" i="13"/>
  <c r="E396" i="13"/>
  <c r="J395" i="13"/>
  <c r="G395" i="13"/>
  <c r="E395" i="13"/>
  <c r="J394" i="13"/>
  <c r="G394" i="13"/>
  <c r="E394" i="13"/>
  <c r="J392" i="13"/>
  <c r="F392" i="13"/>
  <c r="E392" i="13"/>
  <c r="J391" i="13"/>
  <c r="G391" i="13"/>
  <c r="E391" i="13"/>
  <c r="J390" i="13"/>
  <c r="G390" i="13"/>
  <c r="F390" i="13"/>
  <c r="E390" i="13"/>
  <c r="J332" i="13"/>
  <c r="J331" i="13" s="1"/>
  <c r="J326" i="13"/>
  <c r="J325" i="13" s="1"/>
  <c r="J322" i="13"/>
  <c r="J321" i="13" s="1"/>
  <c r="F322" i="13"/>
  <c r="F321" i="13" s="1"/>
  <c r="J290" i="13"/>
  <c r="F290" i="13"/>
  <c r="J287" i="13"/>
  <c r="F287" i="13"/>
  <c r="J764" i="13"/>
  <c r="J763" i="13" s="1"/>
  <c r="I764" i="13"/>
  <c r="I763" i="13" s="1"/>
  <c r="H764" i="13"/>
  <c r="H763" i="13" s="1"/>
  <c r="G764" i="13"/>
  <c r="G763" i="13" s="1"/>
  <c r="F764" i="13"/>
  <c r="F763" i="13" s="1"/>
  <c r="E764" i="13"/>
  <c r="E763" i="13" s="1"/>
  <c r="F266" i="13"/>
  <c r="E266" i="13"/>
  <c r="E257" i="13"/>
  <c r="J254" i="13"/>
  <c r="J251" i="13" s="1"/>
  <c r="I251" i="13"/>
  <c r="H251" i="13"/>
  <c r="G251" i="13"/>
  <c r="F251" i="13"/>
  <c r="E251" i="13"/>
  <c r="J246" i="13"/>
  <c r="I246" i="13"/>
  <c r="H246" i="13"/>
  <c r="G246" i="13"/>
  <c r="J245" i="13"/>
  <c r="H245" i="13"/>
  <c r="J241" i="13"/>
  <c r="J240" i="13"/>
  <c r="J239" i="13"/>
  <c r="J238" i="13"/>
  <c r="J700" i="13"/>
  <c r="I700" i="13"/>
  <c r="G700" i="13"/>
  <c r="F700" i="13"/>
  <c r="E700" i="13"/>
  <c r="J229" i="13"/>
  <c r="H229" i="13"/>
  <c r="J220" i="13"/>
  <c r="J219" i="13"/>
  <c r="J218" i="13"/>
  <c r="J679" i="13"/>
  <c r="G679" i="13"/>
  <c r="E679" i="13"/>
  <c r="J678" i="13"/>
  <c r="G678" i="13"/>
  <c r="E678" i="13"/>
  <c r="J675" i="13"/>
  <c r="G675" i="13"/>
  <c r="E675" i="13"/>
  <c r="J212" i="13"/>
  <c r="H212" i="13"/>
  <c r="F212" i="13"/>
  <c r="J211" i="13"/>
  <c r="J208" i="13"/>
  <c r="H208" i="13"/>
  <c r="J207" i="13"/>
  <c r="J206" i="13"/>
  <c r="J205" i="13"/>
  <c r="J622" i="13"/>
  <c r="G622" i="13"/>
  <c r="E622" i="13"/>
  <c r="J607" i="13"/>
  <c r="I607" i="13"/>
  <c r="H607" i="13"/>
  <c r="G607" i="13"/>
  <c r="F607" i="13"/>
  <c r="E607" i="13"/>
  <c r="J605" i="13"/>
  <c r="G605" i="13"/>
  <c r="E605" i="13"/>
  <c r="J604" i="13"/>
  <c r="G604" i="13"/>
  <c r="E604" i="13"/>
  <c r="J603" i="13"/>
  <c r="I603" i="13"/>
  <c r="H603" i="13"/>
  <c r="G603" i="13"/>
  <c r="F603" i="13"/>
  <c r="E603" i="13"/>
  <c r="J194" i="13"/>
  <c r="H194" i="13"/>
  <c r="J192" i="13"/>
  <c r="J191" i="13"/>
  <c r="J190" i="13"/>
  <c r="J189" i="13"/>
  <c r="J188" i="13"/>
  <c r="H188" i="13"/>
  <c r="J576" i="13"/>
  <c r="I576" i="13"/>
  <c r="H576" i="13"/>
  <c r="G576" i="13"/>
  <c r="F576" i="13"/>
  <c r="E576" i="13"/>
  <c r="J569" i="13"/>
  <c r="I569" i="13"/>
  <c r="J182" i="13"/>
  <c r="J181" i="13"/>
  <c r="J534" i="13"/>
  <c r="I534" i="13"/>
  <c r="H534" i="13"/>
  <c r="G534" i="13"/>
  <c r="F534" i="13"/>
  <c r="E534" i="13"/>
  <c r="J175" i="13"/>
  <c r="J532" i="13"/>
  <c r="I532" i="13"/>
  <c r="H532" i="13"/>
  <c r="G532" i="13"/>
  <c r="F532" i="13"/>
  <c r="E532" i="13"/>
  <c r="J531" i="13"/>
  <c r="I531" i="13"/>
  <c r="H531" i="13"/>
  <c r="G531" i="13"/>
  <c r="F531" i="13"/>
  <c r="E531" i="13"/>
  <c r="J174" i="13"/>
  <c r="J173" i="13"/>
  <c r="J172" i="13"/>
  <c r="J171" i="13"/>
  <c r="J170" i="13"/>
  <c r="J169" i="13"/>
  <c r="J168" i="13"/>
  <c r="J167" i="13"/>
  <c r="J164" i="13"/>
  <c r="J156" i="13"/>
  <c r="H156" i="13"/>
  <c r="J503" i="13"/>
  <c r="G503" i="13"/>
  <c r="E503" i="13"/>
  <c r="J155" i="13"/>
  <c r="H155" i="13"/>
  <c r="J153" i="13"/>
  <c r="J152" i="13"/>
  <c r="J151" i="13"/>
  <c r="J486" i="13"/>
  <c r="I486" i="13"/>
  <c r="H486" i="13"/>
  <c r="G486" i="13"/>
  <c r="F486" i="13"/>
  <c r="E486" i="13"/>
  <c r="J126" i="13"/>
  <c r="I126" i="13"/>
  <c r="H126" i="13"/>
  <c r="F126" i="13"/>
  <c r="J124" i="13"/>
  <c r="I124" i="13"/>
  <c r="H124" i="13"/>
  <c r="F124" i="13"/>
  <c r="J119" i="13"/>
  <c r="J118" i="13" s="1"/>
  <c r="H119" i="13"/>
  <c r="H118" i="13" s="1"/>
  <c r="F119" i="13"/>
  <c r="F118" i="13" s="1"/>
  <c r="J117" i="13"/>
  <c r="J116" i="13" s="1"/>
  <c r="I116" i="13"/>
  <c r="H116" i="13"/>
  <c r="G116" i="13"/>
  <c r="F116" i="13"/>
  <c r="E116" i="13"/>
  <c r="J111" i="13"/>
  <c r="H111" i="13"/>
  <c r="J107" i="13"/>
  <c r="J106" i="13"/>
  <c r="H106" i="13"/>
  <c r="J105" i="13"/>
  <c r="H105" i="13"/>
  <c r="J100" i="13"/>
  <c r="J98" i="13"/>
  <c r="J95" i="13"/>
  <c r="I95" i="13"/>
  <c r="H95" i="13"/>
  <c r="G95" i="13"/>
  <c r="F95" i="13"/>
  <c r="J94" i="13"/>
  <c r="I94" i="13"/>
  <c r="H94" i="13"/>
  <c r="G94" i="13"/>
  <c r="F94" i="13"/>
  <c r="J87" i="13"/>
  <c r="J86" i="13" s="1"/>
  <c r="H86" i="13"/>
  <c r="J82" i="13"/>
  <c r="H82" i="13"/>
  <c r="J81" i="13"/>
  <c r="H81" i="13"/>
  <c r="J79" i="13"/>
  <c r="H79" i="13"/>
  <c r="J78" i="13"/>
  <c r="H78" i="13"/>
  <c r="J76" i="13"/>
  <c r="H76" i="13"/>
  <c r="F76" i="13"/>
  <c r="J75" i="13"/>
  <c r="J72" i="13"/>
  <c r="J74" i="13"/>
  <c r="J60" i="13"/>
  <c r="J59" i="13" s="1"/>
  <c r="H60" i="13"/>
  <c r="H59" i="13" s="1"/>
  <c r="E59" i="13"/>
  <c r="D727" i="13" l="1"/>
  <c r="G462" i="13"/>
  <c r="E462" i="13"/>
  <c r="F385" i="13"/>
  <c r="E410" i="13"/>
  <c r="J420" i="13"/>
  <c r="J432" i="13"/>
  <c r="E749" i="13"/>
  <c r="F286" i="13"/>
  <c r="E385" i="13"/>
  <c r="I462" i="13"/>
  <c r="I285" i="13" s="1"/>
  <c r="F462" i="13"/>
  <c r="J385" i="13"/>
  <c r="J410" i="13"/>
  <c r="D291" i="13"/>
  <c r="D733" i="13"/>
  <c r="H462" i="13"/>
  <c r="G385" i="13"/>
  <c r="G410" i="13"/>
  <c r="D736" i="13"/>
  <c r="C690" i="13"/>
  <c r="C1165" i="13"/>
  <c r="D891" i="13"/>
  <c r="C1149" i="13"/>
  <c r="D1148" i="13"/>
  <c r="D923" i="13"/>
  <c r="G875" i="13"/>
  <c r="E68" i="13"/>
  <c r="E104" i="13"/>
  <c r="F824" i="13"/>
  <c r="J824" i="13"/>
  <c r="J789" i="13" s="1"/>
  <c r="H905" i="13"/>
  <c r="F917" i="13"/>
  <c r="J917" i="13"/>
  <c r="I68" i="13"/>
  <c r="E96" i="13"/>
  <c r="I96" i="13"/>
  <c r="I104" i="13"/>
  <c r="H89" i="13"/>
  <c r="G244" i="13"/>
  <c r="E824" i="13"/>
  <c r="I824" i="13"/>
  <c r="E875" i="13"/>
  <c r="E917" i="13"/>
  <c r="I917" i="13"/>
  <c r="F875" i="13"/>
  <c r="I898" i="13"/>
  <c r="H96" i="13"/>
  <c r="H104" i="13"/>
  <c r="I875" i="13"/>
  <c r="C754" i="13"/>
  <c r="C753" i="13" s="1"/>
  <c r="C1128" i="13"/>
  <c r="C1126" i="13" s="1"/>
  <c r="D1126" i="13"/>
  <c r="C728" i="13"/>
  <c r="C861" i="13"/>
  <c r="C860" i="13" s="1"/>
  <c r="D860" i="13"/>
  <c r="C871" i="13"/>
  <c r="C868" i="13" s="1"/>
  <c r="D868" i="13"/>
  <c r="J237" i="13"/>
  <c r="F244" i="13"/>
  <c r="J244" i="13"/>
  <c r="J875" i="13"/>
  <c r="H898" i="13"/>
  <c r="E1133" i="13"/>
  <c r="C932" i="13"/>
  <c r="C1152" i="13"/>
  <c r="C294" i="13"/>
  <c r="C867" i="13"/>
  <c r="C866" i="13" s="1"/>
  <c r="D866" i="13"/>
  <c r="C734" i="13"/>
  <c r="C733" i="13" s="1"/>
  <c r="C1139" i="13"/>
  <c r="C1138" i="13" s="1"/>
  <c r="D1138" i="13"/>
  <c r="C1132" i="13"/>
  <c r="C1130" i="13" s="1"/>
  <c r="D1130" i="13"/>
  <c r="C1125" i="13"/>
  <c r="C1124" i="13" s="1"/>
  <c r="D1124" i="13"/>
  <c r="F89" i="13"/>
  <c r="H824" i="13"/>
  <c r="G898" i="13"/>
  <c r="J905" i="13"/>
  <c r="H917" i="13"/>
  <c r="C356" i="13"/>
  <c r="C355" i="13" s="1"/>
  <c r="C894" i="13"/>
  <c r="C891" i="13" s="1"/>
  <c r="C767" i="13"/>
  <c r="C784" i="13"/>
  <c r="C783" i="13" s="1"/>
  <c r="C818" i="13"/>
  <c r="D817" i="13"/>
  <c r="C921" i="13"/>
  <c r="C920" i="13" s="1"/>
  <c r="D920" i="13"/>
  <c r="C1141" i="13"/>
  <c r="C1140" i="13" s="1"/>
  <c r="D1140" i="13"/>
  <c r="J89" i="13"/>
  <c r="G237" i="13"/>
  <c r="G824" i="13"/>
  <c r="E898" i="13"/>
  <c r="J898" i="13"/>
  <c r="G917" i="13"/>
  <c r="G68" i="13"/>
  <c r="G96" i="13"/>
  <c r="G104" i="13"/>
  <c r="E244" i="13"/>
  <c r="I244" i="13"/>
  <c r="F68" i="13"/>
  <c r="J68" i="13"/>
  <c r="I89" i="13"/>
  <c r="F96" i="13"/>
  <c r="J96" i="13"/>
  <c r="F104" i="13"/>
  <c r="J104" i="13"/>
  <c r="E237" i="13"/>
  <c r="I237" i="13"/>
  <c r="H244" i="13"/>
  <c r="H68" i="13"/>
  <c r="G89" i="13"/>
  <c r="F237" i="13"/>
  <c r="C741" i="13"/>
  <c r="D576" i="13"/>
  <c r="C576" i="13" s="1"/>
  <c r="D189" i="13"/>
  <c r="C189" i="13" s="1"/>
  <c r="D219" i="13"/>
  <c r="C219" i="13" s="1"/>
  <c r="D229" i="13"/>
  <c r="C229" i="13" s="1"/>
  <c r="D239" i="13"/>
  <c r="C239" i="13" s="1"/>
  <c r="D290" i="13"/>
  <c r="C290" i="13" s="1"/>
  <c r="D437" i="13"/>
  <c r="D439" i="13"/>
  <c r="C439" i="13" s="1"/>
  <c r="D441" i="13"/>
  <c r="C441" i="13" s="1"/>
  <c r="D444" i="13"/>
  <c r="C444" i="13" s="1"/>
  <c r="D446" i="13"/>
  <c r="C446" i="13" s="1"/>
  <c r="D651" i="13"/>
  <c r="C651" i="13" s="1"/>
  <c r="D687" i="13"/>
  <c r="D879" i="13"/>
  <c r="D900" i="13"/>
  <c r="C900" i="13" s="1"/>
  <c r="D909" i="13"/>
  <c r="C909" i="13" s="1"/>
  <c r="D913" i="13"/>
  <c r="C913" i="13" s="1"/>
  <c r="D915" i="13"/>
  <c r="C915" i="13" s="1"/>
  <c r="D322" i="13"/>
  <c r="D321" i="13" s="1"/>
  <c r="D332" i="13"/>
  <c r="D331" i="13" s="1"/>
  <c r="D459" i="13"/>
  <c r="D458" i="13" s="1"/>
  <c r="D748" i="13"/>
  <c r="D747" i="13" s="1"/>
  <c r="D831" i="13"/>
  <c r="D105" i="13"/>
  <c r="D238" i="13"/>
  <c r="D245" i="13"/>
  <c r="D254" i="13"/>
  <c r="D251" i="13" s="1"/>
  <c r="D390" i="13"/>
  <c r="D409" i="13"/>
  <c r="D408" i="13" s="1"/>
  <c r="D76" i="13"/>
  <c r="D486" i="13"/>
  <c r="D156" i="13"/>
  <c r="D169" i="13"/>
  <c r="C169" i="13" s="1"/>
  <c r="D171" i="13"/>
  <c r="C171" i="13" s="1"/>
  <c r="D534" i="13"/>
  <c r="C534" i="13" s="1"/>
  <c r="D181" i="13"/>
  <c r="C181" i="13" s="1"/>
  <c r="D192" i="13"/>
  <c r="C192" i="13" s="1"/>
  <c r="D205" i="13"/>
  <c r="C205" i="13" s="1"/>
  <c r="D211" i="13"/>
  <c r="C211" i="13" s="1"/>
  <c r="D678" i="13"/>
  <c r="C678" i="13" s="1"/>
  <c r="D218" i="13"/>
  <c r="C218" i="13" s="1"/>
  <c r="D392" i="13"/>
  <c r="D395" i="13"/>
  <c r="D398" i="13"/>
  <c r="D402" i="13"/>
  <c r="D400" i="13"/>
  <c r="D403" i="13"/>
  <c r="D412" i="13"/>
  <c r="C412" i="13" s="1"/>
  <c r="D414" i="13"/>
  <c r="C414" i="13" s="1"/>
  <c r="D416" i="13"/>
  <c r="C416" i="13" s="1"/>
  <c r="D422" i="13"/>
  <c r="C422" i="13" s="1"/>
  <c r="D901" i="13"/>
  <c r="C901" i="13" s="1"/>
  <c r="D918" i="13"/>
  <c r="D1119" i="13"/>
  <c r="D98" i="13"/>
  <c r="D117" i="13"/>
  <c r="D116" i="13" s="1"/>
  <c r="D287" i="13"/>
  <c r="D326" i="13"/>
  <c r="D325" i="13" s="1"/>
  <c r="D436" i="13"/>
  <c r="D463" i="13"/>
  <c r="D899" i="13"/>
  <c r="D1121" i="13"/>
  <c r="D1165" i="13"/>
  <c r="D79" i="13"/>
  <c r="D107" i="13"/>
  <c r="D124" i="13"/>
  <c r="C124" i="13" s="1"/>
  <c r="D152" i="13"/>
  <c r="C152" i="13" s="1"/>
  <c r="D155" i="13"/>
  <c r="C155" i="13" s="1"/>
  <c r="D167" i="13"/>
  <c r="C167" i="13" s="1"/>
  <c r="D531" i="13"/>
  <c r="C531" i="13" s="1"/>
  <c r="D569" i="13"/>
  <c r="C569" i="13" s="1"/>
  <c r="D603" i="13"/>
  <c r="C603" i="13" s="1"/>
  <c r="D605" i="13"/>
  <c r="C605" i="13" s="1"/>
  <c r="D207" i="13"/>
  <c r="C207" i="13" s="1"/>
  <c r="D188" i="13"/>
  <c r="D190" i="13"/>
  <c r="C190" i="13" s="1"/>
  <c r="D220" i="13"/>
  <c r="D700" i="13"/>
  <c r="D241" i="13"/>
  <c r="C241" i="13" s="1"/>
  <c r="D443" i="13"/>
  <c r="C443" i="13" s="1"/>
  <c r="D440" i="13"/>
  <c r="C440" i="13" s="1"/>
  <c r="D442" i="13"/>
  <c r="C442" i="13" s="1"/>
  <c r="D445" i="13"/>
  <c r="C445" i="13" s="1"/>
  <c r="D448" i="13"/>
  <c r="C448" i="13" s="1"/>
  <c r="D653" i="13"/>
  <c r="C653" i="13" s="1"/>
  <c r="D723" i="13"/>
  <c r="C723" i="13" s="1"/>
  <c r="D826" i="13"/>
  <c r="C826" i="13" s="1"/>
  <c r="D908" i="13"/>
  <c r="C908" i="13" s="1"/>
  <c r="D912" i="13"/>
  <c r="C912" i="13" s="1"/>
  <c r="D914" i="13"/>
  <c r="C914" i="13" s="1"/>
  <c r="D916" i="13"/>
  <c r="C916" i="13" s="1"/>
  <c r="D919" i="13"/>
  <c r="C919" i="13" s="1"/>
  <c r="D764" i="13"/>
  <c r="D763" i="13" s="1"/>
  <c r="D431" i="13"/>
  <c r="D430" i="13" s="1"/>
  <c r="D825" i="13"/>
  <c r="D904" i="13"/>
  <c r="D1134" i="13"/>
  <c r="D60" i="13"/>
  <c r="D59" i="13" s="1"/>
  <c r="D94" i="13"/>
  <c r="D74" i="13"/>
  <c r="D87" i="13"/>
  <c r="D119" i="13"/>
  <c r="D258" i="13"/>
  <c r="D257" i="13" s="1"/>
  <c r="D411" i="13"/>
  <c r="D421" i="13"/>
  <c r="D750" i="13"/>
  <c r="D749" i="13" s="1"/>
  <c r="D793" i="13"/>
  <c r="D72" i="13"/>
  <c r="D82" i="13"/>
  <c r="D75" i="13"/>
  <c r="D78" i="13"/>
  <c r="D81" i="13"/>
  <c r="D95" i="13"/>
  <c r="C95" i="13" s="1"/>
  <c r="D100" i="13"/>
  <c r="C100" i="13" s="1"/>
  <c r="D106" i="13"/>
  <c r="D111" i="13"/>
  <c r="D126" i="13"/>
  <c r="C126" i="13" s="1"/>
  <c r="D151" i="13"/>
  <c r="C151" i="13" s="1"/>
  <c r="D153" i="13"/>
  <c r="C153" i="13" s="1"/>
  <c r="D503" i="13"/>
  <c r="C503" i="13" s="1"/>
  <c r="D164" i="13"/>
  <c r="D168" i="13"/>
  <c r="C168" i="13" s="1"/>
  <c r="D170" i="13"/>
  <c r="C170" i="13" s="1"/>
  <c r="D172" i="13"/>
  <c r="C172" i="13" s="1"/>
  <c r="D173" i="13"/>
  <c r="C173" i="13" s="1"/>
  <c r="D174" i="13"/>
  <c r="C174" i="13" s="1"/>
  <c r="D532" i="13"/>
  <c r="C532" i="13" s="1"/>
  <c r="D175" i="13"/>
  <c r="C175" i="13" s="1"/>
  <c r="D182" i="13"/>
  <c r="D191" i="13"/>
  <c r="C191" i="13" s="1"/>
  <c r="D194" i="13"/>
  <c r="D604" i="13"/>
  <c r="C604" i="13" s="1"/>
  <c r="D607" i="13"/>
  <c r="C607" i="13" s="1"/>
  <c r="D622" i="13"/>
  <c r="C622" i="13" s="1"/>
  <c r="D206" i="13"/>
  <c r="D208" i="13"/>
  <c r="D212" i="13"/>
  <c r="C212" i="13" s="1"/>
  <c r="D675" i="13"/>
  <c r="C675" i="13" s="1"/>
  <c r="D679" i="13"/>
  <c r="C679" i="13" s="1"/>
  <c r="D240" i="13"/>
  <c r="C240" i="13" s="1"/>
  <c r="D246" i="13"/>
  <c r="D391" i="13"/>
  <c r="D394" i="13"/>
  <c r="D396" i="13"/>
  <c r="D397" i="13"/>
  <c r="D399" i="13"/>
  <c r="D401" i="13"/>
  <c r="D405" i="13"/>
  <c r="D413" i="13"/>
  <c r="C413" i="13" s="1"/>
  <c r="D415" i="13"/>
  <c r="C415" i="13" s="1"/>
  <c r="D424" i="13"/>
  <c r="C424" i="13" s="1"/>
  <c r="D880" i="13"/>
  <c r="D902" i="13"/>
  <c r="C902" i="13" s="1"/>
  <c r="J335" i="13"/>
  <c r="J333" i="13" s="1"/>
  <c r="I35" i="13"/>
  <c r="H335" i="13"/>
  <c r="H333" i="13" s="1"/>
  <c r="G335" i="13"/>
  <c r="G333" i="13" s="1"/>
  <c r="F335" i="13"/>
  <c r="F333" i="13" s="1"/>
  <c r="E335" i="13"/>
  <c r="E333" i="13" s="1"/>
  <c r="J29" i="13"/>
  <c r="J28" i="13" s="1"/>
  <c r="I29" i="13"/>
  <c r="I28" i="13" s="1"/>
  <c r="H29" i="13"/>
  <c r="H28" i="13" s="1"/>
  <c r="G29" i="13"/>
  <c r="G28" i="13" s="1"/>
  <c r="F29" i="13"/>
  <c r="F28" i="13" s="1"/>
  <c r="J12" i="13"/>
  <c r="J11" i="13" s="1"/>
  <c r="J289" i="13"/>
  <c r="H289" i="13"/>
  <c r="G289" i="13"/>
  <c r="E289" i="13"/>
  <c r="J288" i="13"/>
  <c r="J286" i="13" s="1"/>
  <c r="H288" i="13"/>
  <c r="H286" i="13" s="1"/>
  <c r="H285" i="13" s="1"/>
  <c r="G288" i="13"/>
  <c r="G286" i="13" s="1"/>
  <c r="E288" i="13"/>
  <c r="E286" i="13" s="1"/>
  <c r="J487" i="13"/>
  <c r="J120" i="13" s="1"/>
  <c r="I120" i="13"/>
  <c r="H120" i="13"/>
  <c r="G120" i="13"/>
  <c r="F120" i="13"/>
  <c r="E120" i="13"/>
  <c r="D420" i="13" l="1"/>
  <c r="D432" i="13"/>
  <c r="D385" i="13"/>
  <c r="J462" i="13"/>
  <c r="J285" i="13" s="1"/>
  <c r="C1148" i="13"/>
  <c r="I10" i="13"/>
  <c r="F35" i="13"/>
  <c r="F10" i="13" s="1"/>
  <c r="H35" i="13"/>
  <c r="H10" i="13" s="1"/>
  <c r="J35" i="13"/>
  <c r="J10" i="13" s="1"/>
  <c r="E35" i="13"/>
  <c r="E10" i="13" s="1"/>
  <c r="G35" i="13"/>
  <c r="G10" i="13" s="1"/>
  <c r="D875" i="13"/>
  <c r="C287" i="13"/>
  <c r="C411" i="13"/>
  <c r="C904" i="13"/>
  <c r="C903" i="13" s="1"/>
  <c r="D903" i="13"/>
  <c r="C1121" i="13"/>
  <c r="C1120" i="13" s="1"/>
  <c r="D1120" i="13"/>
  <c r="C326" i="13"/>
  <c r="C325" i="13" s="1"/>
  <c r="C332" i="13"/>
  <c r="C331" i="13" s="1"/>
  <c r="C825" i="13"/>
  <c r="C824" i="13" s="1"/>
  <c r="D824" i="13"/>
  <c r="C409" i="13"/>
  <c r="C408" i="13" s="1"/>
  <c r="C459" i="13"/>
  <c r="C458" i="13" s="1"/>
  <c r="C899" i="13"/>
  <c r="C898" i="13" s="1"/>
  <c r="D898" i="13"/>
  <c r="C1119" i="13"/>
  <c r="C1118" i="13" s="1"/>
  <c r="D1118" i="13"/>
  <c r="C831" i="13"/>
  <c r="C830" i="13" s="1"/>
  <c r="D830" i="13"/>
  <c r="C322" i="13"/>
  <c r="C321" i="13" s="1"/>
  <c r="C421" i="13"/>
  <c r="C1134" i="13"/>
  <c r="C1133" i="13" s="1"/>
  <c r="D1133" i="13"/>
  <c r="C750" i="13"/>
  <c r="C431" i="13"/>
  <c r="C430" i="13" s="1"/>
  <c r="C918" i="13"/>
  <c r="C917" i="13" s="1"/>
  <c r="D917" i="13"/>
  <c r="C748" i="13"/>
  <c r="C747" i="13" s="1"/>
  <c r="C98" i="13"/>
  <c r="D96" i="13"/>
  <c r="C94" i="13"/>
  <c r="C89" i="13" s="1"/>
  <c r="D89" i="13"/>
  <c r="D266" i="13"/>
  <c r="C87" i="13"/>
  <c r="C86" i="13" s="1"/>
  <c r="D86" i="13"/>
  <c r="C764" i="13"/>
  <c r="C763" i="13" s="1"/>
  <c r="D104" i="13"/>
  <c r="D68" i="13"/>
  <c r="D244" i="13"/>
  <c r="C119" i="13"/>
  <c r="C118" i="13" s="1"/>
  <c r="D118" i="13"/>
  <c r="C238" i="13"/>
  <c r="C237" i="13" s="1"/>
  <c r="D237" i="13"/>
  <c r="D12" i="13"/>
  <c r="D11" i="13" s="1"/>
  <c r="D29" i="13"/>
  <c r="D28" i="13" s="1"/>
  <c r="D487" i="13"/>
  <c r="D120" i="13" s="1"/>
  <c r="D335" i="13"/>
  <c r="D333" i="13" s="1"/>
  <c r="D288" i="13"/>
  <c r="D286" i="13" s="1"/>
  <c r="D289" i="13"/>
  <c r="C289" i="13" s="1"/>
  <c r="N487" i="13"/>
  <c r="N462" i="13" s="1"/>
  <c r="I1146" i="13"/>
  <c r="H1146" i="13"/>
  <c r="G1146" i="13"/>
  <c r="F1146" i="13"/>
  <c r="E1147" i="13"/>
  <c r="E1146" i="13" s="1"/>
  <c r="J8" i="13" l="1"/>
  <c r="V264" i="13"/>
  <c r="V487" i="13"/>
  <c r="C335" i="13"/>
  <c r="C333" i="13" s="1"/>
  <c r="D35" i="13"/>
  <c r="D10" i="13" s="1"/>
  <c r="C12" i="13"/>
  <c r="C288" i="13"/>
  <c r="C286" i="13" s="1"/>
  <c r="C267" i="13"/>
  <c r="C266" i="13" s="1"/>
  <c r="V267" i="13"/>
  <c r="C487" i="13"/>
  <c r="D1147" i="13"/>
  <c r="E343" i="13"/>
  <c r="N342" i="13"/>
  <c r="N339" i="13" s="1"/>
  <c r="G342" i="13"/>
  <c r="G339" i="13" s="1"/>
  <c r="G285" i="13" s="1"/>
  <c r="F342" i="13"/>
  <c r="F339" i="13" s="1"/>
  <c r="F285" i="13" s="1"/>
  <c r="E342" i="13"/>
  <c r="E339" i="13" s="1"/>
  <c r="R342" i="13"/>
  <c r="R339" i="13" s="1"/>
  <c r="I1122" i="13"/>
  <c r="H1122" i="13"/>
  <c r="H789" i="13" s="1"/>
  <c r="G1122" i="13"/>
  <c r="F1122" i="13"/>
  <c r="E1123" i="13"/>
  <c r="E1122" i="13" s="1"/>
  <c r="C1147" i="13" l="1"/>
  <c r="C1146" i="13" s="1"/>
  <c r="D1146" i="13"/>
  <c r="V342" i="13"/>
  <c r="D342" i="13"/>
  <c r="D611" i="13"/>
  <c r="D462" i="13" s="1"/>
  <c r="D1123" i="13"/>
  <c r="D343" i="13"/>
  <c r="I905" i="13"/>
  <c r="G905" i="13"/>
  <c r="F905" i="13"/>
  <c r="F789" i="13" s="1"/>
  <c r="E906" i="13"/>
  <c r="E905" i="13" s="1"/>
  <c r="D339" i="13" l="1"/>
  <c r="C343" i="13"/>
  <c r="C611" i="13"/>
  <c r="C1123" i="13"/>
  <c r="C1122" i="13" s="1"/>
  <c r="D1122" i="13"/>
  <c r="C342" i="13"/>
  <c r="C339" i="13" s="1"/>
  <c r="D906" i="13"/>
  <c r="N732" i="13"/>
  <c r="N731" i="13" s="1"/>
  <c r="E732" i="13"/>
  <c r="E731" i="13" s="1"/>
  <c r="N358" i="13"/>
  <c r="N357" i="13" s="1"/>
  <c r="N851" i="13"/>
  <c r="N850" i="13"/>
  <c r="N847" i="13"/>
  <c r="I852" i="13"/>
  <c r="I789" i="13" s="1"/>
  <c r="G852" i="13"/>
  <c r="G789" i="13" s="1"/>
  <c r="E853" i="13"/>
  <c r="E852" i="13" s="1"/>
  <c r="E789" i="13" s="1"/>
  <c r="C906" i="13" l="1"/>
  <c r="D905" i="13"/>
  <c r="N846" i="13"/>
  <c r="C851" i="13"/>
  <c r="V851" i="13"/>
  <c r="C850" i="13"/>
  <c r="V850" i="13"/>
  <c r="C847" i="13"/>
  <c r="V847" i="13"/>
  <c r="V732" i="13"/>
  <c r="C358" i="13"/>
  <c r="C357" i="13" s="1"/>
  <c r="V358" i="13"/>
  <c r="D853" i="13"/>
  <c r="D852" i="13" s="1"/>
  <c r="D789" i="13" s="1"/>
  <c r="D732" i="13"/>
  <c r="D731" i="13" s="1"/>
  <c r="C846" i="13" l="1"/>
  <c r="V846" i="13" s="1"/>
  <c r="C732" i="13"/>
  <c r="C731" i="13" s="1"/>
  <c r="C853" i="13"/>
  <c r="C852" i="13" s="1"/>
  <c r="L639" i="13"/>
  <c r="L462" i="13" s="1"/>
  <c r="C639" i="13" l="1"/>
  <c r="D419" i="13"/>
  <c r="C419" i="13" s="1"/>
  <c r="D418" i="13"/>
  <c r="N907" i="13"/>
  <c r="N905" i="13" s="1"/>
  <c r="E775" i="13"/>
  <c r="E766" i="13" s="1"/>
  <c r="E285" i="13" s="1"/>
  <c r="S82" i="13"/>
  <c r="C203" i="13"/>
  <c r="C552" i="13"/>
  <c r="C188" i="13"/>
  <c r="R486" i="13"/>
  <c r="C425" i="13"/>
  <c r="C423" i="13"/>
  <c r="C29" i="13"/>
  <c r="C28" i="13" s="1"/>
  <c r="N268" i="13"/>
  <c r="C758" i="13"/>
  <c r="R257" i="13"/>
  <c r="V254" i="13"/>
  <c r="V253" i="13"/>
  <c r="C742" i="13"/>
  <c r="C740" i="13"/>
  <c r="C739" i="13"/>
  <c r="V246" i="13"/>
  <c r="C227" i="13"/>
  <c r="C194" i="13"/>
  <c r="V156" i="13"/>
  <c r="C508" i="13"/>
  <c r="C505" i="13"/>
  <c r="R116" i="13"/>
  <c r="C447" i="13"/>
  <c r="C111" i="13"/>
  <c r="C437" i="13"/>
  <c r="V106" i="13"/>
  <c r="N66" i="13"/>
  <c r="N49" i="13"/>
  <c r="C34" i="13"/>
  <c r="C33" i="13" s="1"/>
  <c r="C328" i="13"/>
  <c r="C327" i="13" s="1"/>
  <c r="C299" i="13"/>
  <c r="C293" i="13"/>
  <c r="C208" i="13"/>
  <c r="N1029" i="13"/>
  <c r="N923" i="13" s="1"/>
  <c r="C712" i="13"/>
  <c r="C182" i="13"/>
  <c r="V220" i="13"/>
  <c r="R700" i="13"/>
  <c r="C700" i="13" s="1"/>
  <c r="S395" i="13"/>
  <c r="S394" i="13"/>
  <c r="P390" i="13"/>
  <c r="P392" i="13"/>
  <c r="C282" i="13"/>
  <c r="C280" i="13"/>
  <c r="P164" i="13"/>
  <c r="V164" i="13"/>
  <c r="C463" i="13"/>
  <c r="C949" i="13"/>
  <c r="C925" i="13"/>
  <c r="C365" i="13"/>
  <c r="C364" i="13" s="1"/>
  <c r="R793" i="13"/>
  <c r="R789" i="13" s="1"/>
  <c r="L310" i="13"/>
  <c r="L291" i="13" s="1"/>
  <c r="L285" i="13" s="1"/>
  <c r="C807" i="13"/>
  <c r="C794" i="13"/>
  <c r="C371" i="13"/>
  <c r="C368" i="13" s="1"/>
  <c r="C27" i="13"/>
  <c r="C26" i="13" s="1"/>
  <c r="C823" i="13"/>
  <c r="C820" i="13" s="1"/>
  <c r="C493" i="13"/>
  <c r="L1104" i="13"/>
  <c r="L923" i="13" s="1"/>
  <c r="L789" i="13" s="1"/>
  <c r="C756" i="13"/>
  <c r="C757" i="13"/>
  <c r="C475" i="13"/>
  <c r="V70" i="13"/>
  <c r="V69" i="13"/>
  <c r="N74" i="13"/>
  <c r="R74" i="13"/>
  <c r="V71" i="13"/>
  <c r="V75" i="13"/>
  <c r="S75" i="13"/>
  <c r="N77" i="13"/>
  <c r="V77" i="13" s="1"/>
  <c r="P77" i="13"/>
  <c r="R77" i="13"/>
  <c r="V76" i="13"/>
  <c r="S76" i="13"/>
  <c r="V78" i="13"/>
  <c r="S78" i="13"/>
  <c r="V79" i="13"/>
  <c r="P79" i="13"/>
  <c r="S79" i="13"/>
  <c r="P80" i="13"/>
  <c r="R80" i="13"/>
  <c r="N81" i="13"/>
  <c r="V81" i="13" s="1"/>
  <c r="V82" i="13"/>
  <c r="N83" i="13"/>
  <c r="V83" i="13" s="1"/>
  <c r="R83" i="13"/>
  <c r="S83" i="13"/>
  <c r="N84" i="13"/>
  <c r="V84" i="13" s="1"/>
  <c r="R84" i="13"/>
  <c r="S84" i="13"/>
  <c r="C389" i="13"/>
  <c r="P391" i="13"/>
  <c r="S391" i="13"/>
  <c r="N397" i="13"/>
  <c r="N385" i="13" s="1"/>
  <c r="N285" i="13" s="1"/>
  <c r="P402" i="13"/>
  <c r="V399" i="13"/>
  <c r="S400" i="13"/>
  <c r="P403" i="13"/>
  <c r="P404" i="13"/>
  <c r="S404" i="13"/>
  <c r="P405" i="13"/>
  <c r="S405" i="13"/>
  <c r="C406" i="13"/>
  <c r="C407" i="13"/>
  <c r="P876" i="13"/>
  <c r="S876" i="13"/>
  <c r="P877" i="13"/>
  <c r="S877" i="13"/>
  <c r="P878" i="13"/>
  <c r="S878" i="13"/>
  <c r="P879" i="13"/>
  <c r="S879" i="13"/>
  <c r="P880" i="13"/>
  <c r="S880" i="13"/>
  <c r="S881" i="13"/>
  <c r="S882" i="13"/>
  <c r="P883" i="13"/>
  <c r="C885" i="13"/>
  <c r="S886" i="13"/>
  <c r="S887" i="13"/>
  <c r="S888" i="13"/>
  <c r="S889" i="13"/>
  <c r="C736" i="13" l="1"/>
  <c r="C755" i="13"/>
  <c r="R462" i="13"/>
  <c r="R285" i="13" s="1"/>
  <c r="P385" i="13"/>
  <c r="P285" i="13" s="1"/>
  <c r="D410" i="13"/>
  <c r="E8" i="13"/>
  <c r="I8" i="13"/>
  <c r="F8" i="13"/>
  <c r="H8" i="13"/>
  <c r="G8" i="13"/>
  <c r="C270" i="13"/>
  <c r="N96" i="13"/>
  <c r="C418" i="13"/>
  <c r="V397" i="13"/>
  <c r="C1104" i="13"/>
  <c r="P875" i="13"/>
  <c r="P789" i="13" s="1"/>
  <c r="C310" i="13"/>
  <c r="C291" i="13" s="1"/>
  <c r="S875" i="13"/>
  <c r="S789" i="13" s="1"/>
  <c r="R104" i="13"/>
  <c r="V46" i="13"/>
  <c r="C52" i="13"/>
  <c r="R49" i="13"/>
  <c r="C486" i="13"/>
  <c r="R120" i="13"/>
  <c r="C196" i="13"/>
  <c r="L120" i="13"/>
  <c r="L10" i="13" s="1"/>
  <c r="R68" i="13"/>
  <c r="S68" i="13"/>
  <c r="S10" i="13" s="1"/>
  <c r="P120" i="13"/>
  <c r="N38" i="13"/>
  <c r="N104" i="13"/>
  <c r="R244" i="13"/>
  <c r="V252" i="13"/>
  <c r="N251" i="13"/>
  <c r="V258" i="13"/>
  <c r="N257" i="13"/>
  <c r="V74" i="13"/>
  <c r="N68" i="13"/>
  <c r="V117" i="13"/>
  <c r="N116" i="13"/>
  <c r="V245" i="13"/>
  <c r="N244" i="13"/>
  <c r="N120" i="13"/>
  <c r="P68" i="13"/>
  <c r="R251" i="13"/>
  <c r="C391" i="13"/>
  <c r="C228" i="13"/>
  <c r="V228" i="13"/>
  <c r="C221" i="13"/>
  <c r="V221" i="13"/>
  <c r="C1029" i="13"/>
  <c r="V1029" i="13"/>
  <c r="C21" i="13"/>
  <c r="V21" i="13"/>
  <c r="C40" i="13"/>
  <c r="V40" i="13"/>
  <c r="C99" i="13"/>
  <c r="V99" i="13"/>
  <c r="C230" i="13"/>
  <c r="V230" i="13"/>
  <c r="C25" i="13"/>
  <c r="C24" i="13" s="1"/>
  <c r="V25" i="13"/>
  <c r="C206" i="13"/>
  <c r="V206" i="13"/>
  <c r="C214" i="13"/>
  <c r="V214" i="13"/>
  <c r="C143" i="13"/>
  <c r="V143" i="13"/>
  <c r="C23" i="13"/>
  <c r="V23" i="13"/>
  <c r="C51" i="13"/>
  <c r="V51" i="13"/>
  <c r="C67" i="13"/>
  <c r="V67" i="13"/>
  <c r="C123" i="13"/>
  <c r="V123" i="13"/>
  <c r="C269" i="13"/>
  <c r="C268" i="13" s="1"/>
  <c r="V269" i="13"/>
  <c r="C115" i="13"/>
  <c r="C114" i="13" s="1"/>
  <c r="V115" i="13"/>
  <c r="C73" i="13"/>
  <c r="V73" i="13"/>
  <c r="C72" i="13"/>
  <c r="V72" i="13"/>
  <c r="C60" i="13"/>
  <c r="V60" i="13"/>
  <c r="C146" i="13"/>
  <c r="V146" i="13"/>
  <c r="C144" i="13"/>
  <c r="V144" i="13"/>
  <c r="C233" i="13"/>
  <c r="V233" i="13"/>
  <c r="C42" i="13"/>
  <c r="V42" i="13"/>
  <c r="C65" i="13"/>
  <c r="C64" i="13" s="1"/>
  <c r="V65" i="13"/>
  <c r="C105" i="13"/>
  <c r="V105" i="13"/>
  <c r="C225" i="13"/>
  <c r="V225" i="13"/>
  <c r="C145" i="13"/>
  <c r="V145" i="13"/>
  <c r="C199" i="13"/>
  <c r="V199" i="13"/>
  <c r="C16" i="13"/>
  <c r="V16" i="13"/>
  <c r="C22" i="13"/>
  <c r="V22" i="13"/>
  <c r="C41" i="13"/>
  <c r="V41" i="13"/>
  <c r="C54" i="13"/>
  <c r="V54" i="13"/>
  <c r="C102" i="13"/>
  <c r="V102" i="13"/>
  <c r="C107" i="13"/>
  <c r="V107" i="13"/>
  <c r="C213" i="13"/>
  <c r="V213" i="13"/>
  <c r="C165" i="13"/>
  <c r="V165" i="13"/>
  <c r="C907" i="13"/>
  <c r="C905" i="13" s="1"/>
  <c r="V907" i="13"/>
  <c r="C436" i="13"/>
  <c r="C432" i="13" s="1"/>
  <c r="C246" i="13"/>
  <c r="C106" i="13"/>
  <c r="C117" i="13"/>
  <c r="C730" i="13"/>
  <c r="C727" i="13" s="1"/>
  <c r="C387" i="13"/>
  <c r="C397" i="13"/>
  <c r="C82" i="13"/>
  <c r="C80" i="13"/>
  <c r="C69" i="13"/>
  <c r="C687" i="13"/>
  <c r="C79" i="13"/>
  <c r="C75" i="13"/>
  <c r="C504" i="13"/>
  <c r="C628" i="13"/>
  <c r="C392" i="13"/>
  <c r="C506" i="13"/>
  <c r="C245" i="13"/>
  <c r="C244" i="13" s="1"/>
  <c r="C417" i="13"/>
  <c r="C410" i="13" s="1"/>
  <c r="C889" i="13"/>
  <c r="C882" i="13"/>
  <c r="C403" i="13"/>
  <c r="C888" i="13"/>
  <c r="C881" i="13"/>
  <c r="C399" i="13"/>
  <c r="C84" i="13"/>
  <c r="C78" i="13"/>
  <c r="C71" i="13"/>
  <c r="C401" i="13"/>
  <c r="C398" i="13"/>
  <c r="C81" i="13"/>
  <c r="C70" i="13"/>
  <c r="C220" i="13"/>
  <c r="C156" i="13"/>
  <c r="C252" i="13"/>
  <c r="C254" i="13"/>
  <c r="C258" i="13"/>
  <c r="C257" i="13" s="1"/>
  <c r="C427" i="13"/>
  <c r="C880" i="13"/>
  <c r="C878" i="13"/>
  <c r="C876" i="13"/>
  <c r="C46" i="13"/>
  <c r="C45" i="13" s="1"/>
  <c r="C429" i="13"/>
  <c r="C428" i="13" s="1"/>
  <c r="C164" i="13"/>
  <c r="C390" i="13"/>
  <c r="C887" i="13"/>
  <c r="C402" i="13"/>
  <c r="C83" i="13"/>
  <c r="C76" i="13"/>
  <c r="C940" i="13"/>
  <c r="C999" i="13"/>
  <c r="C394" i="13"/>
  <c r="C879" i="13"/>
  <c r="C877" i="13"/>
  <c r="C1144" i="13"/>
  <c r="C1142" i="13" s="1"/>
  <c r="C819" i="13"/>
  <c r="C817" i="13" s="1"/>
  <c r="C886" i="13"/>
  <c r="C883" i="13"/>
  <c r="C405" i="13"/>
  <c r="C404" i="13"/>
  <c r="C400" i="13"/>
  <c r="C77" i="13"/>
  <c r="C74" i="13"/>
  <c r="C798" i="13"/>
  <c r="C793" i="13" s="1"/>
  <c r="C426" i="13"/>
  <c r="C395" i="13"/>
  <c r="C471" i="13"/>
  <c r="C253" i="13"/>
  <c r="C752" i="13"/>
  <c r="C749" i="13" s="1"/>
  <c r="V26" i="13"/>
  <c r="N793" i="13"/>
  <c r="N789" i="13" s="1"/>
  <c r="D775" i="13"/>
  <c r="S396" i="13"/>
  <c r="S385" i="13" s="1"/>
  <c r="S285" i="13" s="1"/>
  <c r="V360" i="13"/>
  <c r="V372" i="13"/>
  <c r="V430" i="13"/>
  <c r="V455" i="13"/>
  <c r="V783" i="13"/>
  <c r="V862" i="13"/>
  <c r="V866" i="13"/>
  <c r="V917" i="13"/>
  <c r="V1138" i="13"/>
  <c r="V374" i="13"/>
  <c r="V118" i="13"/>
  <c r="V319" i="13"/>
  <c r="V43" i="13"/>
  <c r="V266" i="13"/>
  <c r="V313" i="13"/>
  <c r="V331" i="13"/>
  <c r="V458" i="13"/>
  <c r="V860" i="13"/>
  <c r="V903" i="13"/>
  <c r="V920" i="13"/>
  <c r="V1124" i="13"/>
  <c r="V1136" i="13"/>
  <c r="V1165" i="13"/>
  <c r="C462" i="13" l="1"/>
  <c r="C420" i="13"/>
  <c r="C775" i="13"/>
  <c r="C766" i="13" s="1"/>
  <c r="D766" i="13"/>
  <c r="L8" i="13"/>
  <c r="C923" i="13"/>
  <c r="C875" i="13"/>
  <c r="C789" i="13" s="1"/>
  <c r="C11" i="13"/>
  <c r="C251" i="13"/>
  <c r="N10" i="13"/>
  <c r="N8" i="13" s="1"/>
  <c r="R10" i="13"/>
  <c r="R8" i="13" s="1"/>
  <c r="P10" i="13"/>
  <c r="P8" i="13" s="1"/>
  <c r="C59" i="13"/>
  <c r="V59" i="13" s="1"/>
  <c r="C116" i="13"/>
  <c r="V116" i="13" s="1"/>
  <c r="C68" i="13"/>
  <c r="C96" i="13"/>
  <c r="C66" i="13"/>
  <c r="V66" i="13" s="1"/>
  <c r="C53" i="13"/>
  <c r="V53" i="13" s="1"/>
  <c r="C104" i="13"/>
  <c r="C120" i="13"/>
  <c r="C49" i="13"/>
  <c r="C38" i="13"/>
  <c r="V24" i="13"/>
  <c r="V89" i="13"/>
  <c r="C396" i="13"/>
  <c r="C385" i="13" s="1"/>
  <c r="S8" i="13"/>
  <c r="V244" i="13"/>
  <c r="V817" i="13"/>
  <c r="V268" i="13"/>
  <c r="V262" i="13"/>
  <c r="V55" i="13"/>
  <c r="V47" i="13"/>
  <c r="V325" i="13"/>
  <c r="V257" i="13"/>
  <c r="V64" i="13"/>
  <c r="V237" i="13"/>
  <c r="V242" i="13"/>
  <c r="V114" i="13"/>
  <c r="V86" i="13"/>
  <c r="V428" i="13"/>
  <c r="V61" i="13"/>
  <c r="V30" i="13"/>
  <c r="V255" i="13"/>
  <c r="V57" i="13"/>
  <c r="V259" i="13"/>
  <c r="V28" i="13"/>
  <c r="V247" i="13"/>
  <c r="D285" i="13" l="1"/>
  <c r="D8" i="13" s="1"/>
  <c r="C285" i="13"/>
  <c r="C10" i="13"/>
  <c r="V38" i="13"/>
  <c r="V33" i="13"/>
  <c r="V96" i="13"/>
  <c r="V251" i="13"/>
  <c r="V49" i="13"/>
  <c r="V104" i="13"/>
  <c r="V11" i="13"/>
  <c r="V120" i="13"/>
  <c r="C8" i="13" l="1"/>
  <c r="V45" i="13"/>
  <c r="V270" i="13"/>
  <c r="V852" i="13"/>
  <c r="V35" i="13" l="1"/>
  <c r="V68" i="13"/>
  <c r="V834" i="13" l="1"/>
</calcChain>
</file>

<file path=xl/sharedStrings.xml><?xml version="1.0" encoding="utf-8"?>
<sst xmlns="http://schemas.openxmlformats.org/spreadsheetml/2006/main" count="2217" uniqueCount="2007">
  <si>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</si>
  <si>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</si>
  <si>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</si>
  <si>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</si>
  <si>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</si>
  <si>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</si>
  <si>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</si>
  <si>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</si>
  <si>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</si>
  <si>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</si>
  <si>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</si>
  <si>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</si>
  <si>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</si>
  <si>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</si>
  <si>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</si>
  <si>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</si>
  <si>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</si>
  <si>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</si>
  <si>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</si>
  <si>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</si>
  <si>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</si>
  <si>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</si>
  <si>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</si>
  <si>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</si>
  <si>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</si>
  <si>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</si>
  <si>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</si>
  <si>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</si>
  <si>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</si>
  <si>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</si>
  <si>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</si>
  <si>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</si>
  <si>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</si>
  <si>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</si>
  <si>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</si>
  <si>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</si>
  <si>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</si>
  <si>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</si>
  <si>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</si>
  <si>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</si>
  <si>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</si>
  <si>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</si>
  <si>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</si>
  <si>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</si>
  <si>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</si>
  <si>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</si>
  <si>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</si>
  <si>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</si>
  <si>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</si>
  <si>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</si>
  <si>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</si>
  <si>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</si>
  <si>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</si>
  <si>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</si>
  <si>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</si>
  <si>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</si>
  <si>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</si>
  <si>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</si>
  <si>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</si>
  <si>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</si>
  <si>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</si>
  <si>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</si>
  <si>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</si>
  <si>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</si>
  <si>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</si>
  <si>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</si>
  <si>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</si>
  <si>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</si>
  <si>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</si>
  <si>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</si>
  <si>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</si>
  <si>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</si>
  <si>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</si>
  <si>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</si>
  <si>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</si>
  <si>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</si>
  <si>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</si>
  <si>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</si>
  <si>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</si>
  <si>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</si>
  <si>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</si>
  <si>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</si>
  <si>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</si>
  <si>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</si>
  <si>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</si>
  <si>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</si>
  <si>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</si>
  <si>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</si>
  <si>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</si>
  <si>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</si>
  <si>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</si>
  <si>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</si>
  <si>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</si>
  <si>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</si>
  <si>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</si>
  <si>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</si>
  <si>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</si>
  <si>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</si>
  <si>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</si>
  <si>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</si>
  <si>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</si>
  <si>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</si>
  <si>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</si>
  <si>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</si>
  <si>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</si>
  <si>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</si>
  <si>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</si>
  <si>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</si>
  <si>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</si>
  <si>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</si>
  <si>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</si>
  <si>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</si>
  <si>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</si>
  <si>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</si>
  <si>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</si>
  <si>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</si>
  <si>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</si>
  <si>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</si>
  <si>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</si>
  <si>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</si>
  <si>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</si>
  <si>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</si>
  <si>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</si>
  <si>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</si>
  <si>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</si>
  <si>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</si>
  <si>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</si>
  <si>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</si>
  <si>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</si>
  <si>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</si>
  <si>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</si>
  <si>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</si>
  <si>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</si>
  <si>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</si>
  <si>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</si>
  <si>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</si>
  <si>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</si>
  <si>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</si>
  <si>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</si>
  <si>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</si>
  <si>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</si>
  <si>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</si>
  <si>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</si>
  <si>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</si>
  <si>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</si>
  <si>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</si>
  <si>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</si>
  <si>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</si>
  <si>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</si>
  <si>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</si>
  <si>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</si>
  <si>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</si>
  <si>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</si>
  <si>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</si>
  <si>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</si>
  <si>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</si>
  <si>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</si>
  <si>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</si>
  <si>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</si>
  <si>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</si>
  <si>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</si>
  <si>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</si>
  <si>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</si>
  <si>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</si>
  <si>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</si>
  <si>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</si>
  <si>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</si>
  <si>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</si>
  <si>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</si>
  <si>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</si>
  <si>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</si>
  <si>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</si>
  <si>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</si>
  <si>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</si>
  <si>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</si>
  <si>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</si>
  <si>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</si>
  <si>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</si>
  <si>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</si>
  <si>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</si>
  <si>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</si>
  <si>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</si>
  <si>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</si>
  <si>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</si>
  <si>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</si>
  <si>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</si>
  <si>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</si>
  <si>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</si>
  <si>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</si>
  <si>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</si>
  <si>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</si>
  <si>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</si>
  <si>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</si>
  <si>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</si>
  <si>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</si>
  <si>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</si>
  <si>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</si>
  <si>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</si>
  <si>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</si>
  <si>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</si>
  <si>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</si>
  <si>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</si>
  <si>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</si>
  <si>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</si>
  <si>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</si>
  <si>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</si>
  <si>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</si>
  <si>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</si>
  <si>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</si>
  <si>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</si>
  <si>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</si>
  <si>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</si>
  <si>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</si>
  <si>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</si>
  <si>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</si>
  <si>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</si>
  <si>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</si>
  <si>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</si>
  <si>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</si>
  <si>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</si>
  <si>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</si>
  <si>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</si>
  <si>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</si>
  <si>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</si>
  <si>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</si>
  <si>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</si>
  <si>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</si>
  <si>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</si>
  <si>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</si>
  <si>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</si>
  <si>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</si>
  <si>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</si>
  <si>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</si>
  <si>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</si>
  <si>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</si>
  <si>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</si>
  <si>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</si>
  <si>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</si>
  <si>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</si>
  <si>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</si>
  <si>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</si>
  <si>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</si>
  <si>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</si>
  <si>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</si>
  <si>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</si>
  <si>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</si>
  <si>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</si>
  <si>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</si>
  <si>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</si>
  <si>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</si>
  <si>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</si>
  <si>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</si>
  <si>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</si>
  <si>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</si>
  <si>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</si>
  <si>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</si>
  <si>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</si>
  <si>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</si>
  <si>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</si>
  <si>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</si>
  <si>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</si>
  <si>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</si>
  <si>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</si>
  <si>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</si>
  <si>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</si>
  <si>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</si>
  <si>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</si>
  <si>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</si>
  <si>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</si>
  <si>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</si>
  <si>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</si>
  <si>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</si>
  <si>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</si>
  <si>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</si>
  <si>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</si>
  <si>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</si>
  <si>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</si>
  <si>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</si>
  <si>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</si>
  <si>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</si>
  <si>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</si>
  <si>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</si>
  <si>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</si>
  <si>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</si>
  <si>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</si>
  <si>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</si>
  <si>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</si>
  <si>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</si>
  <si>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</si>
  <si>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</si>
  <si>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</si>
  <si>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</si>
  <si>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</si>
  <si>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</si>
  <si>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</si>
  <si>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</si>
  <si>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</si>
  <si>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</si>
  <si>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</si>
  <si>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</si>
  <si>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</si>
  <si>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</si>
  <si>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</si>
  <si>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</si>
  <si>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</si>
  <si>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</si>
  <si>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</si>
  <si>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</si>
  <si>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</si>
  <si>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</si>
  <si>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</si>
  <si>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</si>
  <si>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</si>
  <si>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</si>
  <si>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</si>
  <si>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</si>
  <si>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</si>
  <si>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</si>
  <si>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</si>
  <si>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</si>
  <si>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</si>
  <si>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</si>
  <si>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</si>
  <si>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</si>
  <si>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</si>
  <si>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</si>
  <si>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</si>
  <si>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</si>
  <si>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</si>
  <si>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</si>
  <si>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</si>
  <si>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</si>
  <si>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</si>
  <si>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</si>
  <si>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</si>
  <si>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</si>
  <si>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</si>
  <si>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</si>
  <si>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</si>
  <si>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</si>
  <si>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</si>
  <si>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</si>
  <si>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</si>
  <si>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</si>
  <si>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</si>
  <si>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</si>
  <si>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</si>
  <si>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</si>
  <si>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</si>
  <si>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</si>
  <si>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</si>
  <si>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</si>
  <si>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</si>
  <si>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</si>
  <si>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</si>
  <si>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</si>
  <si>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</si>
  <si>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</si>
  <si>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</si>
  <si>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</si>
  <si>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</si>
  <si>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</si>
  <si>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</si>
  <si>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</si>
  <si>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</si>
  <si>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</si>
  <si>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</si>
  <si>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</si>
  <si>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</si>
  <si>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</si>
  <si>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</si>
  <si>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</si>
  <si>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</si>
  <si>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</si>
  <si>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</si>
  <si>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</si>
  <si>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</si>
  <si>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</si>
  <si>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</si>
  <si>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</si>
  <si>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</si>
  <si>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</si>
  <si>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</si>
  <si>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</si>
  <si>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</si>
  <si>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Ленина, д. 11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</si>
  <si>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</si>
  <si>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</si>
  <si>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</si>
  <si>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</si>
  <si>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</si>
  <si>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</si>
  <si>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</si>
  <si>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</si>
  <si>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</si>
  <si>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</si>
  <si>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</si>
  <si>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</si>
  <si>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</si>
  <si>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</si>
  <si>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</si>
  <si>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</si>
  <si>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</si>
  <si>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</si>
  <si>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</si>
  <si>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</si>
  <si>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</si>
  <si>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</si>
  <si>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</si>
  <si>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</si>
  <si>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</si>
  <si>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</si>
  <si>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</si>
  <si>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</si>
  <si>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</si>
  <si>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</si>
  <si>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</si>
  <si>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</si>
  <si>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</si>
  <si>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</si>
  <si>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</si>
  <si>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</si>
  <si>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</si>
  <si>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</si>
  <si>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</si>
  <si>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</si>
  <si>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</si>
  <si>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</si>
  <si>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</si>
  <si>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</si>
  <si>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</si>
  <si>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</si>
  <si>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</si>
  <si>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</si>
  <si>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</si>
  <si>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</si>
  <si>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</si>
  <si>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</si>
  <si>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</si>
  <si>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</si>
  <si>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</si>
  <si>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</si>
  <si>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</si>
  <si>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</si>
  <si>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</si>
  <si>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</si>
  <si>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</si>
  <si>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</si>
  <si>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</si>
  <si>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</si>
  <si>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</si>
  <si>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</si>
  <si>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</si>
  <si>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</si>
  <si>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</si>
  <si>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</si>
  <si>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</si>
  <si>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</si>
  <si>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</si>
  <si>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</si>
  <si>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</si>
  <si>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</si>
  <si>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</si>
  <si>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</si>
  <si>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</si>
  <si>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</si>
  <si>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</si>
  <si>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</si>
  <si>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</si>
  <si>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</si>
  <si>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</si>
  <si>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</si>
  <si>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</si>
  <si>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</si>
  <si>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</si>
  <si>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</si>
  <si>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</si>
  <si>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</si>
  <si>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</si>
  <si>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</si>
  <si>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</si>
  <si>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</si>
  <si>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</si>
  <si>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</si>
  <si>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</si>
  <si>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</si>
  <si>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</si>
  <si>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</si>
  <si>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</si>
  <si>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</si>
  <si>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</si>
  <si>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</si>
  <si>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</si>
  <si>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</si>
  <si>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</si>
  <si>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</si>
  <si>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</si>
  <si>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</si>
  <si>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</si>
  <si>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</si>
  <si>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</si>
  <si>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</si>
  <si>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</si>
  <si>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</si>
  <si>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</si>
  <si>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</si>
  <si>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</si>
  <si>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</si>
  <si>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</si>
  <si>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</si>
  <si>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</si>
  <si>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</si>
  <si>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</si>
  <si>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</si>
  <si>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</si>
  <si>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</si>
  <si>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</si>
  <si>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</si>
  <si>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</si>
  <si>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</si>
  <si>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</si>
  <si>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</si>
  <si>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</si>
  <si>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</si>
  <si>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</si>
  <si>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</si>
  <si>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</si>
  <si>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</si>
  <si>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</si>
  <si>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</si>
  <si>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</si>
  <si>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</si>
  <si>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</si>
  <si>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</si>
  <si>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</si>
  <si>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</si>
  <si>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</si>
  <si>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</si>
  <si>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</si>
  <si>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</si>
  <si>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</si>
  <si>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</si>
  <si>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</si>
  <si>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</si>
  <si>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</si>
  <si>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</si>
  <si>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</si>
  <si>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</si>
  <si>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</si>
  <si>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</si>
  <si>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</si>
  <si>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</si>
  <si>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</si>
  <si>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</si>
  <si>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</si>
  <si>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</si>
  <si>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</si>
  <si>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</si>
  <si>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</si>
  <si>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</si>
  <si>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</si>
  <si>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</si>
  <si>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</si>
  <si>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</si>
  <si>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</si>
  <si>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</si>
  <si>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</si>
  <si>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</si>
  <si>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</si>
  <si>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</si>
  <si>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</si>
  <si>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</si>
  <si>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</si>
  <si>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</si>
  <si>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</si>
  <si>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</si>
  <si>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</si>
  <si>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</si>
  <si>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</si>
  <si>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</si>
  <si>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</si>
  <si>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</si>
  <si>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</si>
  <si>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</si>
  <si>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</si>
  <si>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</si>
  <si>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</si>
  <si>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</si>
  <si>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</si>
  <si>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</si>
  <si>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</si>
  <si>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</si>
  <si>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</si>
  <si>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</si>
  <si>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</si>
  <si>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</si>
  <si>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</si>
  <si>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</si>
  <si>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</si>
  <si>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</si>
  <si>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</si>
  <si>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</si>
  <si>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</si>
  <si>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</si>
  <si>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</si>
  <si>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</si>
  <si>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</si>
  <si>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</si>
  <si>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</si>
  <si>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</si>
  <si>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</si>
  <si>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</si>
  <si>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</si>
  <si>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</si>
  <si>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</si>
  <si>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</si>
  <si>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</si>
  <si>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</si>
  <si>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</si>
  <si>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</si>
  <si>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</si>
  <si>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</si>
  <si>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</si>
  <si>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</si>
  <si>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</si>
  <si>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</si>
  <si>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</si>
  <si>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</si>
  <si>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</si>
  <si>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</si>
  <si>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</si>
  <si>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</si>
  <si>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</si>
  <si>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</si>
  <si>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</si>
  <si>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</si>
  <si>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</si>
  <si>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</si>
  <si>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</si>
  <si>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</si>
  <si>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</si>
  <si>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</si>
  <si>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</si>
  <si>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</si>
  <si>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</si>
  <si>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</si>
  <si>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</si>
  <si>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</si>
  <si>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</si>
  <si>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</si>
  <si>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</si>
  <si>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</si>
  <si>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</si>
  <si>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</si>
  <si>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</si>
  <si>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</si>
  <si>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</si>
  <si>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</si>
  <si>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</si>
  <si>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</si>
  <si>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</si>
  <si>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</si>
  <si>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</si>
  <si>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</si>
  <si>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</si>
  <si>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</si>
  <si>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</si>
  <si>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</si>
  <si>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</si>
  <si>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</si>
  <si>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</si>
  <si>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</si>
  <si>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</si>
  <si>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</si>
  <si>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</si>
  <si>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</si>
  <si>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</si>
  <si>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</si>
  <si>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</si>
  <si>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</si>
  <si>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</si>
  <si>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</si>
  <si>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</si>
  <si>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</si>
  <si>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</si>
  <si>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</si>
  <si>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</si>
  <si>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</si>
  <si>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</si>
  <si>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</si>
  <si>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</si>
  <si>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</si>
  <si>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</si>
  <si>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</si>
  <si>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</si>
  <si>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</si>
  <si>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</si>
  <si>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</si>
  <si>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</si>
  <si>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</si>
  <si>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</si>
  <si>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</si>
  <si>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</si>
  <si>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</si>
  <si>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</si>
  <si>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</si>
  <si>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</si>
  <si>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</si>
  <si>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</si>
  <si>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</si>
  <si>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</si>
  <si>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</si>
  <si>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</si>
  <si>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</si>
  <si>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</si>
  <si>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</si>
  <si>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</si>
  <si>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</si>
  <si>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</si>
  <si>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</si>
  <si>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</si>
  <si>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</si>
  <si>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</si>
  <si>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</si>
  <si>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</si>
  <si>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</si>
  <si>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</si>
  <si>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</si>
  <si>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</si>
  <si>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</si>
  <si>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</si>
  <si>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</si>
  <si>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</si>
  <si>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</si>
  <si>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</si>
  <si>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</si>
  <si>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</si>
  <si>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</si>
  <si>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</si>
  <si>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</si>
  <si>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</si>
  <si>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</si>
  <si>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</si>
  <si>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</si>
  <si>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</si>
  <si>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</si>
  <si>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</si>
  <si>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</si>
  <si>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</si>
  <si>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</si>
  <si>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</si>
  <si>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</si>
  <si>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</si>
  <si>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</si>
  <si>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</si>
  <si>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</si>
  <si>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</si>
  <si>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</si>
  <si>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</si>
  <si>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</si>
  <si>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</si>
  <si>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</si>
  <si>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</si>
  <si>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</si>
  <si>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</si>
  <si>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</si>
  <si>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</si>
  <si>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</si>
  <si>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</si>
  <si>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</si>
  <si>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</si>
  <si>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</si>
  <si>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</si>
  <si>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</si>
  <si>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</si>
  <si>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</si>
  <si>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</si>
  <si>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</si>
  <si>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</si>
  <si>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</si>
  <si>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</si>
  <si>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</si>
  <si>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</si>
  <si>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</si>
  <si>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</si>
  <si>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</si>
  <si>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</si>
  <si>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</si>
  <si>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</si>
  <si>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</si>
  <si>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</si>
  <si>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</si>
  <si>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</si>
  <si>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</si>
  <si>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</si>
  <si>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</si>
  <si>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</si>
  <si>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</si>
  <si>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</si>
  <si>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</si>
  <si>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</si>
  <si>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</si>
  <si>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</si>
  <si>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</si>
  <si>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</si>
  <si>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</si>
  <si>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</si>
  <si>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</si>
  <si>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</si>
  <si>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</si>
  <si>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</si>
  <si>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</si>
  <si>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</si>
  <si>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</si>
  <si>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</si>
  <si>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</si>
  <si>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</si>
  <si>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</si>
  <si>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</si>
  <si>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</si>
  <si>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</si>
  <si>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</si>
  <si>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</si>
  <si>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</si>
  <si>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</si>
  <si>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</si>
  <si>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</si>
  <si>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</si>
  <si>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</si>
  <si>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</si>
  <si>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</si>
  <si>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</si>
  <si>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</si>
  <si>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</si>
  <si>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</si>
  <si>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</si>
  <si>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</si>
  <si>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</si>
  <si>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</si>
  <si>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</si>
  <si>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</si>
  <si>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</si>
  <si>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</si>
  <si>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</si>
  <si>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</si>
  <si>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</si>
  <si>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</si>
  <si>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</si>
  <si>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</si>
  <si>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</si>
  <si>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</si>
  <si>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</si>
  <si>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</si>
  <si>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</si>
  <si>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</si>
  <si>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</si>
  <si>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</si>
  <si>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</si>
  <si>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</si>
  <si>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</si>
  <si>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</si>
  <si>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</si>
  <si>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</si>
  <si>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</si>
  <si>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</si>
  <si>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</si>
  <si>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</si>
  <si>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</si>
  <si>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</si>
  <si>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</si>
  <si>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</si>
  <si>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</si>
  <si>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</si>
  <si>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</si>
  <si>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</si>
  <si>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</si>
  <si>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</si>
  <si>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</si>
  <si>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</si>
  <si>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</si>
  <si>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</si>
  <si>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</si>
  <si>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</si>
  <si>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</si>
  <si>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</si>
  <si>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</si>
  <si>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</si>
  <si>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</si>
  <si>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</si>
  <si>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</si>
  <si>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</si>
  <si>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</si>
  <si>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</si>
  <si>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</si>
  <si>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</si>
  <si>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</si>
  <si>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</si>
  <si>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</si>
  <si>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</si>
  <si>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</si>
  <si>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</si>
  <si>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</si>
  <si>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</si>
  <si>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</si>
  <si>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</si>
  <si>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</si>
  <si>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</si>
  <si>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</si>
  <si>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</si>
  <si>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</si>
  <si>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</si>
  <si>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</si>
  <si>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</si>
  <si>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</si>
  <si>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</si>
  <si>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</si>
  <si>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</si>
  <si>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</si>
  <si>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</si>
  <si>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</si>
  <si>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</si>
  <si>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</si>
  <si>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</si>
  <si>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</si>
  <si>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</si>
  <si>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</si>
  <si>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</si>
  <si>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</si>
  <si>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</si>
  <si>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</si>
  <si>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</si>
  <si>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</si>
  <si>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</si>
  <si>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</si>
  <si>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</si>
  <si>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</si>
  <si>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</si>
  <si>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</si>
  <si>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</si>
  <si>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</si>
  <si>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</si>
  <si>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</si>
  <si>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</si>
  <si>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</si>
  <si>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</si>
  <si>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</si>
  <si>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</si>
  <si>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</si>
  <si>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</si>
  <si>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</si>
  <si>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</si>
  <si>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</si>
  <si>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</si>
  <si>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</si>
  <si>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</si>
  <si>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</si>
  <si>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</si>
  <si>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</si>
  <si>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</si>
  <si>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</si>
  <si>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</si>
  <si>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</si>
  <si>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</si>
  <si>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</si>
  <si>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</si>
  <si>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</si>
  <si>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</si>
  <si>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</si>
  <si>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</si>
  <si>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</si>
  <si>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</si>
  <si>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</si>
  <si>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</si>
  <si>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</si>
  <si>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</si>
  <si>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</si>
  <si>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</si>
  <si>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</si>
  <si>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</si>
  <si>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</si>
  <si>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</si>
  <si>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</si>
  <si>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</si>
  <si>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</si>
  <si>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</si>
  <si>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</si>
  <si>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</si>
  <si>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</si>
  <si>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</si>
  <si>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</si>
  <si>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</si>
  <si>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</si>
  <si>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</si>
  <si>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651.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</si>
  <si>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</si>
  <si>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</si>
  <si>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</si>
  <si>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</si>
  <si>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</si>
  <si>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</si>
  <si>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</si>
  <si>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</si>
  <si>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</si>
  <si>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</si>
  <si>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</si>
  <si>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</si>
  <si>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</si>
  <si>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</si>
  <si>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</si>
  <si>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</si>
  <si>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</si>
  <si>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</si>
  <si>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673.</t>
  </si>
  <si>
    <t>674.</t>
  </si>
  <si>
    <t>675.</t>
  </si>
  <si>
    <t>676.</t>
  </si>
  <si>
    <t>677.</t>
  </si>
  <si>
    <t>678.</t>
  </si>
  <si>
    <t>679.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</si>
  <si>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</si>
  <si>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</si>
  <si>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</si>
  <si>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</si>
  <si>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</si>
  <si>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</si>
  <si>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</si>
  <si>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</si>
  <si>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</si>
  <si>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</si>
  <si>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</si>
  <si>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</si>
  <si>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</si>
  <si>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</si>
  <si>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</si>
  <si>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</si>
  <si>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</si>
  <si>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</si>
  <si>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</si>
  <si>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</si>
  <si>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</si>
  <si>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</si>
  <si>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</si>
  <si>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</si>
  <si>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</si>
  <si>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</si>
  <si>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</si>
  <si>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</si>
  <si>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</si>
  <si>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</si>
  <si>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</si>
  <si>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</si>
  <si>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</si>
  <si>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</si>
  <si>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</si>
  <si>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719.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</si>
  <si>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</si>
  <si>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</si>
  <si>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</si>
  <si>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</si>
  <si>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</si>
  <si>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</si>
  <si>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</si>
  <si>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</si>
  <si>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</si>
  <si>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</si>
  <si>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</si>
  <si>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</si>
  <si>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</si>
  <si>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</si>
  <si>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</si>
  <si>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</si>
  <si>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</si>
  <si>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</si>
  <si>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</si>
  <si>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</si>
  <si>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</si>
  <si>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</si>
  <si>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</si>
  <si>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</si>
  <si>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</si>
  <si>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</si>
  <si>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</si>
  <si>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</si>
  <si>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</si>
  <si>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</si>
  <si>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</si>
  <si>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</si>
  <si>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</si>
  <si>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</si>
  <si>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</si>
  <si>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</si>
  <si>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</si>
  <si>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</si>
  <si>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</si>
  <si>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</si>
  <si>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</si>
  <si>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</si>
  <si>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</si>
  <si>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</si>
  <si>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</si>
  <si>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</si>
  <si>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</si>
  <si>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</si>
  <si>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</si>
  <si>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</si>
  <si>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</si>
  <si>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</si>
  <si>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</si>
  <si>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</si>
  <si>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</si>
  <si>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</si>
  <si>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</si>
  <si>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</si>
  <si>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</si>
  <si>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</si>
  <si>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</si>
  <si>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</si>
  <si>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</si>
  <si>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</si>
  <si>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</si>
  <si>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</si>
  <si>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</si>
  <si>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</si>
  <si>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</si>
  <si>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</si>
  <si>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</si>
  <si>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</si>
  <si>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</si>
  <si>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</si>
  <si>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</si>
  <si>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</si>
  <si>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</si>
  <si>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</si>
  <si>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</si>
  <si>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</si>
  <si>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</si>
  <si>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</si>
  <si>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</si>
  <si>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</si>
  <si>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</si>
  <si>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</si>
  <si>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</si>
  <si>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</si>
  <si>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</si>
  <si>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</si>
  <si>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</si>
  <si>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</si>
  <si>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</si>
  <si>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</si>
  <si>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</si>
  <si>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</si>
  <si>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</si>
  <si>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</si>
  <si>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</si>
  <si>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</si>
  <si>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</si>
  <si>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</si>
  <si>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</si>
  <si>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</si>
  <si>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</si>
  <si>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</si>
  <si>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</si>
  <si>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</si>
  <si>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</si>
  <si>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</si>
  <si>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</si>
  <si>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</si>
  <si>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</si>
  <si>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</si>
  <si>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</si>
  <si>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</si>
  <si>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</si>
  <si>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</si>
  <si>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</si>
  <si>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</si>
  <si>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</si>
  <si>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</si>
  <si>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</si>
  <si>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</si>
  <si>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</si>
  <si>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</si>
  <si>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</si>
  <si>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</si>
  <si>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</si>
  <si>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</si>
  <si>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</si>
  <si>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</si>
  <si>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</si>
  <si>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</si>
  <si>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</si>
  <si>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</si>
  <si>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</si>
  <si>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</si>
  <si>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</si>
  <si>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</si>
  <si>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</si>
  <si>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</si>
  <si>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</si>
  <si>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</si>
  <si>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</si>
  <si>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</si>
  <si>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</si>
  <si>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</si>
  <si>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</si>
  <si>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</si>
  <si>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</si>
  <si>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</si>
  <si>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</si>
  <si>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</si>
  <si>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</si>
  <si>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</si>
  <si>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</si>
  <si>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</si>
  <si>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</si>
  <si>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</si>
  <si>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</si>
  <si>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</si>
  <si>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</si>
  <si>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</si>
  <si>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</si>
  <si>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</si>
  <si>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</si>
  <si>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</si>
  <si>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</si>
  <si>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</si>
  <si>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</si>
  <si>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</si>
  <si>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</si>
  <si>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</si>
  <si>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</si>
  <si>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</si>
  <si>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</si>
  <si>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</si>
  <si>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</si>
  <si>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</si>
  <si>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</si>
  <si>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</si>
  <si>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</si>
  <si>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</si>
  <si>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</si>
  <si>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</si>
  <si>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</si>
  <si>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</si>
  <si>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</si>
  <si>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</si>
  <si>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</si>
  <si>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</si>
  <si>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</si>
  <si>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</si>
  <si>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</si>
  <si>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</si>
  <si>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</si>
  <si>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</si>
  <si>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</si>
  <si>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</si>
  <si>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</si>
  <si>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</si>
  <si>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</si>
  <si>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</si>
  <si>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</si>
  <si>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</si>
  <si>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</si>
  <si>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</si>
  <si>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</si>
  <si>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</si>
  <si>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</si>
  <si>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</si>
  <si>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</si>
  <si>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</si>
  <si>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</si>
  <si>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</si>
  <si>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</si>
  <si>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</si>
  <si>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</si>
  <si>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</si>
  <si>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</si>
  <si>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</si>
  <si>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</si>
  <si>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</si>
  <si>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</si>
  <si>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</si>
  <si>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</si>
  <si>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</si>
  <si>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</si>
  <si>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</si>
  <si>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</si>
  <si>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</si>
  <si>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</si>
  <si>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</si>
  <si>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</si>
  <si>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</si>
  <si>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</si>
  <si>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</si>
  <si>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</si>
  <si>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</si>
  <si>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</si>
  <si>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</si>
  <si>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</si>
  <si>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</si>
  <si>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</si>
  <si>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</si>
  <si>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</si>
  <si>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</si>
  <si>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</si>
  <si>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</si>
  <si>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493.</t>
  </si>
  <si>
    <t>494.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</si>
  <si>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</si>
  <si>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</si>
  <si>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</si>
  <si>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</si>
  <si>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</si>
  <si>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</si>
  <si>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</si>
  <si>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</si>
  <si>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</si>
  <si>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</si>
  <si>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</si>
  <si>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</si>
  <si>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</si>
  <si>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</si>
  <si>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</si>
  <si>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</si>
  <si>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</si>
  <si>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</si>
  <si>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</si>
  <si>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</si>
  <si>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</si>
  <si>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</si>
  <si>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</si>
  <si>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</si>
  <si>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</si>
  <si>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</si>
  <si>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</si>
  <si>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</si>
  <si>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</si>
  <si>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</si>
  <si>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</si>
  <si>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</si>
  <si>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</si>
  <si>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</si>
  <si>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</si>
  <si>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</si>
  <si>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</si>
  <si>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</si>
  <si>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</si>
  <si>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</si>
  <si>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</si>
  <si>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</si>
  <si>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</si>
  <si>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</si>
  <si>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</si>
  <si>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</si>
  <si>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</si>
  <si>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</si>
  <si>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</si>
  <si>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</si>
  <si>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</si>
  <si>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</si>
  <si>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</si>
  <si>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</si>
  <si>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</si>
  <si>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</si>
  <si>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</si>
  <si>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</si>
  <si>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</si>
  <si>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</si>
  <si>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</si>
  <si>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</si>
  <si>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</si>
  <si>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</si>
  <si>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</si>
  <si>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</si>
  <si>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</si>
  <si>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</si>
  <si>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</si>
  <si>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</si>
  <si>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</si>
  <si>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</si>
  <si>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</si>
  <si>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</si>
  <si>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</si>
  <si>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</si>
  <si>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</si>
  <si>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</si>
  <si>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</si>
  <si>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</si>
  <si>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</si>
  <si>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</si>
  <si>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</si>
  <si>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</si>
  <si>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</si>
  <si>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</si>
  <si>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</si>
  <si>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</si>
  <si>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</si>
  <si>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</si>
  <si>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Ярцево, ул. Гагарина, д. 23</t>
  </si>
  <si>
    <t>Г. Ярцево, ул. Первомайская, д. 24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</si>
  <si>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</si>
  <si>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</si>
  <si>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</si>
  <si>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Центральная, д. 22</t>
  </si>
  <si>
    <t>Г. Смоленск, ул. Колхозная, д. 14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</si>
  <si>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</si>
  <si>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</si>
  <si>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</si>
  <si>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</si>
  <si>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</si>
  <si>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</si>
  <si>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</si>
  <si>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</si>
  <si>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</si>
  <si>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</si>
  <si>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</si>
  <si>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</si>
  <si>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</si>
  <si>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</si>
  <si>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</si>
  <si>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</si>
  <si>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</si>
  <si>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</si>
  <si>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</si>
  <si>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</si>
  <si>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</si>
  <si>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</si>
  <si>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</si>
  <si>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</si>
  <si>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</si>
  <si>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</si>
  <si>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</si>
  <si>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</si>
  <si>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</si>
  <si>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</si>
  <si>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</si>
  <si>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</si>
  <si>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</si>
  <si>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</si>
  <si>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</si>
  <si>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</si>
  <si>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</si>
  <si>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</si>
  <si>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</si>
  <si>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</si>
  <si>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</si>
  <si>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</si>
  <si>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</si>
  <si>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</si>
  <si>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</si>
  <si>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</si>
  <si>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</si>
  <si>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</si>
  <si>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</si>
  <si>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</si>
  <si>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</si>
  <si>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</si>
  <si>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</si>
  <si>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</si>
  <si>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</si>
  <si>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</si>
  <si>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</si>
  <si>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</si>
  <si>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</si>
  <si>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</si>
  <si>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</si>
  <si>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</si>
  <si>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</si>
  <si>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</si>
  <si>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</si>
  <si>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</si>
  <si>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</si>
  <si>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</si>
  <si>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</si>
  <si>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</si>
  <si>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</si>
  <si>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</si>
  <si>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</si>
  <si>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</si>
  <si>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</si>
  <si>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</si>
  <si>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</si>
  <si>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</si>
  <si>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</si>
  <si>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</si>
  <si>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</si>
  <si>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</si>
  <si>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</si>
  <si>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</si>
  <si>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</si>
  <si>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</si>
  <si>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</si>
  <si>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</si>
  <si>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</si>
  <si>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</si>
  <si>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</si>
  <si>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</si>
  <si>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</si>
  <si>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</si>
  <si>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</si>
  <si>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</si>
  <si>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</si>
  <si>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</si>
  <si>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</si>
  <si>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</si>
  <si>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</si>
  <si>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</si>
  <si>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</si>
  <si>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</si>
  <si>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</si>
  <si>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</si>
  <si>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</si>
  <si>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</si>
  <si>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</si>
  <si>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</si>
  <si>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</si>
  <si>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</si>
  <si>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</si>
  <si>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</si>
  <si>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</si>
  <si>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</si>
  <si>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</si>
  <si>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</si>
  <si>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</si>
  <si>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</si>
  <si>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</si>
  <si>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</si>
  <si>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</si>
  <si>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</si>
  <si>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</si>
  <si>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</si>
  <si>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</si>
  <si>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</si>
  <si>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</si>
  <si>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</si>
  <si>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</si>
  <si>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</si>
  <si>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</si>
  <si>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</si>
  <si>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</si>
  <si>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</si>
  <si>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</si>
  <si>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</si>
  <si>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</si>
  <si>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</si>
  <si>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</si>
  <si>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</si>
  <si>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</si>
  <si>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</si>
  <si>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</si>
  <si>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</si>
  <si>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</si>
  <si>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</si>
  <si>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</si>
  <si>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</si>
  <si>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</si>
  <si>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</si>
  <si>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</si>
  <si>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</si>
  <si>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492.</t>
  </si>
  <si>
    <t>495.</t>
  </si>
  <si>
    <t>694.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</si>
  <si>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</si>
  <si>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</si>
  <si>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Г. Смоленск, ул. Валентины Гризодубовой, д. 1</t>
  </si>
  <si>
    <t>423.</t>
  </si>
  <si>
    <t>424.</t>
  </si>
  <si>
    <t>425.</t>
  </si>
  <si>
    <t>426.</t>
  </si>
  <si>
    <t>427.</t>
  </si>
  <si>
    <t>556.</t>
  </si>
  <si>
    <t>606.</t>
  </si>
  <si>
    <t>652.</t>
  </si>
  <si>
    <t>903.</t>
  </si>
  <si>
    <t>С. Лесное, ул. Центральная, д. 14</t>
  </si>
  <si>
    <t>Дер. Михейково, ул. Юбилейная, д. 3</t>
  </si>
  <si>
    <t>Дер. Суетово, ул. Магистральная, д. 10</t>
  </si>
  <si>
    <t>Итого по Капыревщинскому сельскому поселению Ярцевского района Смоленской области</t>
  </si>
  <si>
    <t>Дер. Капыревщина, ул. Славы, д. 8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</si>
  <si>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</si>
  <si>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</si>
  <si>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</si>
  <si>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</si>
  <si>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</si>
  <si>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</si>
  <si>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</si>
  <si>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</si>
  <si>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</si>
  <si>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</si>
  <si>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</si>
  <si>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</si>
  <si>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</si>
  <si>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</si>
  <si>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</si>
  <si>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</si>
  <si>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</si>
  <si>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</si>
  <si>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</si>
  <si>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</si>
  <si>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</si>
  <si>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</si>
  <si>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</si>
  <si>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</si>
  <si>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</si>
  <si>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</si>
  <si>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</si>
  <si>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</si>
  <si>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</si>
  <si>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</si>
  <si>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</si>
  <si>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</si>
  <si>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</si>
  <si>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</si>
  <si>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</si>
  <si>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</si>
  <si>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74.</t>
  </si>
  <si>
    <t>78.</t>
  </si>
  <si>
    <t>82.</t>
  </si>
  <si>
    <t>131.</t>
  </si>
  <si>
    <t>132.</t>
  </si>
  <si>
    <t>134.</t>
  </si>
  <si>
    <t>135.</t>
  </si>
  <si>
    <t>145.</t>
  </si>
  <si>
    <t>167.</t>
  </si>
  <si>
    <t>180.</t>
  </si>
  <si>
    <t>187.</t>
  </si>
  <si>
    <t>188.</t>
  </si>
  <si>
    <t>197.</t>
  </si>
  <si>
    <t>397.</t>
  </si>
  <si>
    <t>650.</t>
  </si>
  <si>
    <t>672.</t>
  </si>
  <si>
    <t>718.</t>
  </si>
  <si>
    <t>720.</t>
  </si>
  <si>
    <t>776.</t>
  </si>
  <si>
    <t>938.</t>
  </si>
  <si>
    <t>Итого по муниципальному образованию Велижское городское поселение</t>
  </si>
  <si>
    <t>Итого по Ярцевскому городскому поселению Ярцевского района Смоленской области</t>
  </si>
  <si>
    <t>Г. Смоленск, ул. Шевченко, д. 44</t>
  </si>
  <si>
    <t>339.</t>
  </si>
  <si>
    <t>765.</t>
  </si>
  <si>
    <t>Пос. Озерный, ул. Октябрьская, д. 12</t>
  </si>
  <si>
    <t>Пос. Озерный, ул. Октябрьская, д. 14а</t>
  </si>
  <si>
    <t>Дер. Павловка, ул. Чехова, д. 2</t>
  </si>
  <si>
    <t>Г. Вязьма, ул. Московская, д. 27</t>
  </si>
  <si>
    <t>Г. Ельня, ул. Энгельса, д. 32</t>
  </si>
  <si>
    <t>спецсчет</t>
  </si>
  <si>
    <t>Дер. Капыревщина, ул. Славы, д. 17</t>
  </si>
  <si>
    <t>Дер. Капыревщина, ул. Мира, д. 10</t>
  </si>
  <si>
    <t>455.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</si>
  <si>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</si>
  <si>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</si>
  <si>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</si>
  <si>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</si>
  <si>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</si>
  <si>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</si>
  <si>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</si>
  <si>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</si>
  <si>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</si>
  <si>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</si>
  <si>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Г. Ярцево, ул. Чернышевского, д. 8</t>
  </si>
  <si>
    <t>982.</t>
  </si>
  <si>
    <t>981.</t>
  </si>
  <si>
    <t>980.</t>
  </si>
  <si>
    <t>979.</t>
  </si>
  <si>
    <t>978.</t>
  </si>
  <si>
    <t>977.</t>
  </si>
  <si>
    <t>976.</t>
  </si>
  <si>
    <t>975.</t>
  </si>
  <si>
    <t>974.</t>
  </si>
  <si>
    <t>973.</t>
  </si>
  <si>
    <t>972.</t>
  </si>
  <si>
    <t>971.</t>
  </si>
  <si>
    <t>970.</t>
  </si>
  <si>
    <t>969.</t>
  </si>
  <si>
    <t>968.</t>
  </si>
  <si>
    <t>967.</t>
  </si>
  <si>
    <t>966.</t>
  </si>
  <si>
    <t>965.</t>
  </si>
  <si>
    <t>964.</t>
  </si>
  <si>
    <t>963.</t>
  </si>
  <si>
    <t>962.</t>
  </si>
  <si>
    <t>961.</t>
  </si>
  <si>
    <t>960.</t>
  </si>
  <si>
    <t>638.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</si>
  <si>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</si>
  <si>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</si>
  <si>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</si>
  <si>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</si>
  <si>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</si>
  <si>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</si>
  <si>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</si>
  <si>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</si>
  <si>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</si>
  <si>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</si>
  <si>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</si>
  <si>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</si>
  <si>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</si>
  <si>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</si>
  <si>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</si>
  <si>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</si>
  <si>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</si>
  <si>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</si>
  <si>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</si>
  <si>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</si>
  <si>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</si>
  <si>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</si>
  <si>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</si>
  <si>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</si>
  <si>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</si>
  <si>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</si>
  <si>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</si>
  <si>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</si>
  <si>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</si>
  <si>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</si>
  <si>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</si>
  <si>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</si>
  <si>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</si>
  <si>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</si>
  <si>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</si>
  <si>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</si>
  <si>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</si>
  <si>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</si>
  <si>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</si>
  <si>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</si>
  <si>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</si>
  <si>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</si>
  <si>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</si>
  <si>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</si>
  <si>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</si>
  <si>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</si>
  <si>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</si>
  <si>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</si>
  <si>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</si>
  <si>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</si>
  <si>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</si>
  <si>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</si>
  <si>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</si>
  <si>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</si>
  <si>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</si>
  <si>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</si>
  <si>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</si>
  <si>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</si>
  <si>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</si>
  <si>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</si>
  <si>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</si>
  <si>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</si>
  <si>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</si>
  <si>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</si>
  <si>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</si>
  <si>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</si>
  <si>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</si>
  <si>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</si>
  <si>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</si>
  <si>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</si>
  <si>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</si>
  <si>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</si>
  <si>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</si>
  <si>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</si>
  <si>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</si>
  <si>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</si>
  <si>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</si>
  <si>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</si>
  <si>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</si>
  <si>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</si>
  <si>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</si>
  <si>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</si>
  <si>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</si>
  <si>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</si>
  <si>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</si>
  <si>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</si>
  <si>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</si>
  <si>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</si>
  <si>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</si>
  <si>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133.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</si>
  <si>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</si>
  <si>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</si>
  <si>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</si>
  <si>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</si>
  <si>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</si>
  <si>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</si>
  <si>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</si>
  <si>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</si>
  <si>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</si>
  <si>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</si>
  <si>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</si>
  <si>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</si>
  <si>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</si>
  <si>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</si>
  <si>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</si>
  <si>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</si>
  <si>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</si>
  <si>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</si>
  <si>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</si>
  <si>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</si>
  <si>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</si>
  <si>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</si>
  <si>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</si>
  <si>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</si>
  <si>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</si>
  <si>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</si>
  <si>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</si>
  <si>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</si>
  <si>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</si>
  <si>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</si>
  <si>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</si>
  <si>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</si>
  <si>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</si>
  <si>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</si>
  <si>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</si>
  <si>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</si>
  <si>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</si>
  <si>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</si>
  <si>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</si>
  <si>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</si>
  <si>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</si>
  <si>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</si>
  <si>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181.</t>
  </si>
  <si>
    <t>182.</t>
  </si>
  <si>
    <t>183.</t>
  </si>
  <si>
    <t>184.</t>
  </si>
  <si>
    <t>185.</t>
  </si>
  <si>
    <t>186.</t>
  </si>
  <si>
    <t>189.</t>
  </si>
  <si>
    <t>190.</t>
  </si>
  <si>
    <t>191.</t>
  </si>
  <si>
    <t>192.</t>
  </si>
  <si>
    <t>193.</t>
  </si>
  <si>
    <t>194.</t>
  </si>
  <si>
    <t>195.</t>
  </si>
  <si>
    <t>196.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</si>
  <si>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</si>
  <si>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</si>
  <si>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</si>
  <si>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</si>
  <si>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</si>
  <si>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</si>
  <si>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</si>
  <si>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</si>
  <si>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</si>
  <si>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</si>
  <si>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</si>
  <si>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</si>
  <si>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</si>
  <si>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</si>
  <si>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</si>
  <si>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</si>
  <si>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</si>
  <si>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</si>
  <si>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</si>
  <si>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</si>
  <si>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</si>
  <si>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</si>
  <si>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</si>
  <si>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</si>
  <si>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</si>
  <si>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</si>
  <si>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</si>
  <si>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</si>
  <si>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</si>
  <si>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</si>
  <si>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</si>
  <si>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</si>
  <si>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</si>
  <si>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</si>
  <si>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</si>
  <si>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</si>
  <si>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</si>
  <si>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</si>
  <si>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</si>
  <si>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</si>
  <si>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</si>
  <si>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</si>
  <si>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</si>
  <si>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</si>
  <si>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</si>
  <si>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</si>
  <si>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</si>
  <si>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</si>
  <si>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</si>
  <si>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</si>
  <si>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</si>
  <si>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</si>
  <si>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</si>
  <si>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</si>
  <si>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</si>
  <si>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</si>
  <si>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</si>
  <si>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</si>
  <si>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</si>
  <si>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</si>
  <si>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</si>
  <si>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</si>
  <si>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</si>
  <si>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</si>
  <si>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</si>
  <si>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</si>
  <si>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</si>
  <si>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</si>
  <si>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</si>
  <si>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</si>
  <si>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</si>
  <si>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</si>
  <si>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</si>
  <si>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</si>
  <si>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</si>
  <si>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</si>
  <si>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</si>
  <si>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</si>
  <si>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</si>
  <si>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</si>
  <si>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</si>
  <si>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</si>
  <si>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</si>
  <si>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</si>
  <si>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</si>
  <si>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</si>
  <si>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</si>
  <si>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</si>
  <si>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</si>
  <si>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</si>
  <si>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</si>
  <si>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</si>
  <si>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</si>
  <si>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</si>
  <si>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</si>
  <si>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</si>
  <si>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</si>
  <si>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</si>
  <si>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</si>
  <si>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</si>
  <si>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</si>
  <si>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</si>
  <si>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</si>
  <si>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</si>
  <si>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</si>
  <si>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</si>
  <si>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</si>
  <si>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</si>
  <si>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</si>
  <si>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</si>
  <si>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</si>
  <si>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</si>
  <si>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</si>
  <si>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</si>
  <si>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</si>
  <si>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</si>
  <si>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</si>
  <si>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</si>
  <si>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</si>
  <si>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</si>
  <si>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</si>
  <si>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</si>
  <si>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</si>
  <si>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</si>
  <si>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</si>
  <si>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</si>
  <si>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</si>
  <si>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</si>
  <si>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</si>
  <si>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</si>
  <si>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</si>
  <si>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</si>
  <si>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</si>
  <si>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</si>
  <si>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</si>
  <si>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</si>
  <si>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</si>
  <si>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</si>
  <si>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</si>
  <si>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</si>
  <si>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</si>
  <si>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983.</t>
  </si>
  <si>
    <t>984.</t>
  </si>
  <si>
    <t>985.</t>
  </si>
  <si>
    <t>986.</t>
  </si>
  <si>
    <t>987.</t>
  </si>
  <si>
    <t>988.</t>
  </si>
  <si>
    <t>989.</t>
  </si>
  <si>
    <t>Пос. Хиславичи, ул. Берестнева, д. 24</t>
  </si>
  <si>
    <t>680.</t>
  </si>
  <si>
    <t>681.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</si>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</sst>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9" applyFont="1" applyFill="1" applyBorder="1" applyAlignment="1">
      <alignment horizontal="left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top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169"/>
  <sheetViews>
    <sheetView tabSelected="1" view="pageBreakPreview" topLeftCell="A1144" zoomScale="70" zoomScaleNormal="50" zoomScaleSheetLayoutView="70" zoomScalePageLayoutView="40" workbookViewId="0">
      <selection activeCell="J1165" sqref="J1165"/>
    </sheetView>
  </sheetViews>
  <sheetFormatPr defaultRowHeight="15.75" x14ac:dyDescent="0.25"/>
  <cols>
    <col min="1" max="1" width="6.42578125" style="47" customWidth="1"/>
    <col min="2" max="2" width="54.7109375" style="32" customWidth="1"/>
    <col min="3" max="3" width="19.85546875" style="33" customWidth="1"/>
    <col min="4" max="4" width="19" style="33" customWidth="1"/>
    <col min="5" max="5" width="19.7109375" style="33" customWidth="1"/>
    <col min="6" max="10" width="17" style="33" customWidth="1"/>
    <col min="11" max="11" width="6.85546875" style="34" customWidth="1"/>
    <col min="12" max="12" width="16.42578125" style="33" customWidth="1"/>
    <col min="13" max="13" width="13.7109375" style="33" customWidth="1"/>
    <col min="14" max="14" width="19" style="33" customWidth="1"/>
    <col min="15" max="15" width="10.5703125" style="33" customWidth="1"/>
    <col min="16" max="16" width="16.42578125" style="33" customWidth="1"/>
    <col min="17" max="17" width="12.7109375" style="33" customWidth="1"/>
    <col min="18" max="18" width="18.42578125" style="33" customWidth="1"/>
    <col min="19" max="19" width="15.7109375" style="33" customWidth="1"/>
    <col min="20" max="20" width="18.42578125" style="33" customWidth="1"/>
    <col min="21" max="21" width="16.5703125" style="33" customWidth="1"/>
    <col min="22" max="22" width="14" style="6" customWidth="1"/>
    <col min="23" max="16384" width="9.140625" style="7"/>
  </cols>
  <sheetData>
    <row r="1" spans="1:22" ht="19.5" customHeight="1" x14ac:dyDescent="0.25">
      <c r="A1" s="59" t="s">
        <v>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2" ht="19.5" customHeight="1" x14ac:dyDescent="0.25">
      <c r="A2" s="35"/>
      <c r="B2" s="50"/>
      <c r="C2" s="50"/>
      <c r="D2" s="50"/>
      <c r="E2" s="50"/>
      <c r="F2" s="50"/>
      <c r="G2" s="50"/>
      <c r="H2" s="50"/>
      <c r="I2" s="50"/>
      <c r="J2" s="50"/>
      <c r="K2" s="9"/>
      <c r="L2" s="50"/>
      <c r="M2" s="50"/>
      <c r="N2" s="50"/>
      <c r="O2" s="10"/>
      <c r="P2" s="10"/>
      <c r="Q2" s="10"/>
      <c r="R2" s="10"/>
      <c r="S2" s="10"/>
      <c r="T2" s="10"/>
      <c r="U2" s="10"/>
    </row>
    <row r="3" spans="1:22" ht="192" customHeight="1" x14ac:dyDescent="0.25">
      <c r="A3" s="60" t="s">
        <v>16</v>
      </c>
      <c r="B3" s="63" t="s">
        <v>15</v>
      </c>
      <c r="C3" s="54" t="s">
        <v>13</v>
      </c>
      <c r="D3" s="67" t="s">
        <v>4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76" t="s">
        <v>12</v>
      </c>
      <c r="U3" s="77"/>
    </row>
    <row r="4" spans="1:22" ht="31.5" customHeight="1" x14ac:dyDescent="0.25">
      <c r="A4" s="61"/>
      <c r="B4" s="63"/>
      <c r="C4" s="78"/>
      <c r="D4" s="64" t="s">
        <v>1532</v>
      </c>
      <c r="E4" s="65"/>
      <c r="F4" s="65"/>
      <c r="G4" s="65"/>
      <c r="H4" s="65"/>
      <c r="I4" s="65"/>
      <c r="J4" s="66"/>
      <c r="K4" s="69" t="s">
        <v>1526</v>
      </c>
      <c r="L4" s="70"/>
      <c r="M4" s="69" t="s">
        <v>8</v>
      </c>
      <c r="N4" s="70"/>
      <c r="O4" s="69" t="s">
        <v>6</v>
      </c>
      <c r="P4" s="70"/>
      <c r="Q4" s="69" t="s">
        <v>9</v>
      </c>
      <c r="R4" s="70"/>
      <c r="S4" s="54" t="s">
        <v>14</v>
      </c>
      <c r="T4" s="68" t="s">
        <v>5</v>
      </c>
      <c r="U4" s="67" t="s">
        <v>3</v>
      </c>
    </row>
    <row r="5" spans="1:22" ht="190.5" customHeight="1" x14ac:dyDescent="0.25">
      <c r="A5" s="61"/>
      <c r="B5" s="63"/>
      <c r="C5" s="55"/>
      <c r="D5" s="49" t="s">
        <v>1531</v>
      </c>
      <c r="E5" s="51" t="s">
        <v>1554</v>
      </c>
      <c r="F5" s="51" t="s">
        <v>1555</v>
      </c>
      <c r="G5" s="51" t="s">
        <v>1527</v>
      </c>
      <c r="H5" s="51" t="s">
        <v>1528</v>
      </c>
      <c r="I5" s="51" t="s">
        <v>1529</v>
      </c>
      <c r="J5" s="51" t="s">
        <v>1530</v>
      </c>
      <c r="K5" s="71"/>
      <c r="L5" s="72"/>
      <c r="M5" s="71"/>
      <c r="N5" s="72"/>
      <c r="O5" s="71"/>
      <c r="P5" s="72"/>
      <c r="Q5" s="71"/>
      <c r="R5" s="72"/>
      <c r="S5" s="55"/>
      <c r="T5" s="68"/>
      <c r="U5" s="67"/>
    </row>
    <row r="6" spans="1:22" ht="18" customHeight="1" x14ac:dyDescent="0.25">
      <c r="A6" s="62"/>
      <c r="B6" s="63"/>
      <c r="C6" s="5" t="s">
        <v>7</v>
      </c>
      <c r="D6" s="5" t="s">
        <v>7</v>
      </c>
      <c r="E6" s="5" t="s">
        <v>7</v>
      </c>
      <c r="F6" s="5" t="s">
        <v>7</v>
      </c>
      <c r="G6" s="5" t="s">
        <v>7</v>
      </c>
      <c r="H6" s="5" t="s">
        <v>7</v>
      </c>
      <c r="I6" s="5" t="s">
        <v>7</v>
      </c>
      <c r="J6" s="5" t="s">
        <v>7</v>
      </c>
      <c r="K6" s="11" t="s">
        <v>10</v>
      </c>
      <c r="L6" s="5" t="s">
        <v>7</v>
      </c>
      <c r="M6" s="5" t="s">
        <v>18</v>
      </c>
      <c r="N6" s="5" t="s">
        <v>7</v>
      </c>
      <c r="O6" s="5" t="s">
        <v>18</v>
      </c>
      <c r="P6" s="5" t="s">
        <v>7</v>
      </c>
      <c r="Q6" s="5" t="s">
        <v>18</v>
      </c>
      <c r="R6" s="5" t="s">
        <v>7</v>
      </c>
      <c r="S6" s="5" t="s">
        <v>7</v>
      </c>
      <c r="T6" s="5" t="s">
        <v>7</v>
      </c>
      <c r="U6" s="5" t="s">
        <v>7</v>
      </c>
    </row>
    <row r="7" spans="1:22" s="13" customFormat="1" ht="15" customHeight="1" x14ac:dyDescent="0.25">
      <c r="A7" s="36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2"/>
    </row>
    <row r="8" spans="1:22" ht="24.95" customHeight="1" x14ac:dyDescent="0.25">
      <c r="A8" s="73" t="s">
        <v>26</v>
      </c>
      <c r="B8" s="73"/>
      <c r="C8" s="2">
        <f t="shared" ref="C8:U8" si="0">C10+C285+C789</f>
        <v>3966738240.3699999</v>
      </c>
      <c r="D8" s="2">
        <f t="shared" si="0"/>
        <v>844968253.68000007</v>
      </c>
      <c r="E8" s="2">
        <f t="shared" si="0"/>
        <v>141735658.37</v>
      </c>
      <c r="F8" s="2">
        <f t="shared" si="0"/>
        <v>410883447.65999997</v>
      </c>
      <c r="G8" s="2">
        <f t="shared" si="0"/>
        <v>103791711.33</v>
      </c>
      <c r="H8" s="2">
        <f t="shared" si="0"/>
        <v>91475917.49000001</v>
      </c>
      <c r="I8" s="2">
        <f t="shared" si="0"/>
        <v>97081518.829999998</v>
      </c>
      <c r="J8" s="2">
        <f t="shared" si="0"/>
        <v>0</v>
      </c>
      <c r="K8" s="14">
        <f t="shared" si="0"/>
        <v>51</v>
      </c>
      <c r="L8" s="2">
        <f t="shared" si="0"/>
        <v>107969630.31</v>
      </c>
      <c r="M8" s="2">
        <f t="shared" si="0"/>
        <v>409346.14</v>
      </c>
      <c r="N8" s="2">
        <f t="shared" si="0"/>
        <v>2060317628.1900001</v>
      </c>
      <c r="O8" s="2">
        <f t="shared" si="0"/>
        <v>8022.75</v>
      </c>
      <c r="P8" s="2">
        <f t="shared" si="0"/>
        <v>10684134.59</v>
      </c>
      <c r="Q8" s="2">
        <f t="shared" si="0"/>
        <v>294179.92000000004</v>
      </c>
      <c r="R8" s="2">
        <f t="shared" si="0"/>
        <v>827048631.65999997</v>
      </c>
      <c r="S8" s="2">
        <f t="shared" si="0"/>
        <v>16365586.720000001</v>
      </c>
      <c r="T8" s="2">
        <f t="shared" si="0"/>
        <v>678303.6</v>
      </c>
      <c r="U8" s="2">
        <f t="shared" si="0"/>
        <v>83331198.129999995</v>
      </c>
    </row>
    <row r="9" spans="1:22" s="16" customFormat="1" ht="24.95" customHeight="1" x14ac:dyDescent="0.25">
      <c r="A9" s="58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15"/>
    </row>
    <row r="10" spans="1:22" ht="24.95" customHeight="1" x14ac:dyDescent="0.25">
      <c r="A10" s="57" t="s">
        <v>208</v>
      </c>
      <c r="B10" s="57"/>
      <c r="C10" s="2">
        <f t="shared" ref="C10:U10" si="1">C11+C24+C26+C28+C30+C33+C35+C38+C43+C45+C47+C49+C53+C55+C57+C59+C61+C64+C66+C68+C86+C89+C96+C104+C114+C116+C118+C120+C237+C242+C244+C247+C251+C255+C257+C259+C262+C264+C266+C268+C270</f>
        <v>634485512.4000001</v>
      </c>
      <c r="D10" s="2">
        <f t="shared" si="1"/>
        <v>150106856.18000001</v>
      </c>
      <c r="E10" s="2">
        <f t="shared" si="1"/>
        <v>23976077.930000003</v>
      </c>
      <c r="F10" s="2">
        <f t="shared" si="1"/>
        <v>88931423.189999998</v>
      </c>
      <c r="G10" s="2">
        <f t="shared" si="1"/>
        <v>11215202.619999999</v>
      </c>
      <c r="H10" s="2">
        <f t="shared" si="1"/>
        <v>15634733.750000002</v>
      </c>
      <c r="I10" s="2">
        <f t="shared" si="1"/>
        <v>10349418.690000001</v>
      </c>
      <c r="J10" s="2">
        <f t="shared" si="1"/>
        <v>0</v>
      </c>
      <c r="K10" s="14">
        <f t="shared" si="1"/>
        <v>6</v>
      </c>
      <c r="L10" s="2">
        <f t="shared" si="1"/>
        <v>10169630.310000001</v>
      </c>
      <c r="M10" s="2">
        <f t="shared" si="1"/>
        <v>70630.210000000021</v>
      </c>
      <c r="N10" s="2">
        <f t="shared" si="1"/>
        <v>290745664.28000003</v>
      </c>
      <c r="O10" s="2">
        <f t="shared" si="1"/>
        <v>2699.5</v>
      </c>
      <c r="P10" s="2">
        <f t="shared" si="1"/>
        <v>2621451.1799999997</v>
      </c>
      <c r="Q10" s="2">
        <f t="shared" si="1"/>
        <v>63254.450000000004</v>
      </c>
      <c r="R10" s="2">
        <f t="shared" si="1"/>
        <v>139338815.28</v>
      </c>
      <c r="S10" s="2">
        <f t="shared" si="1"/>
        <v>919174.4</v>
      </c>
      <c r="T10" s="2">
        <f t="shared" si="1"/>
        <v>678303.6</v>
      </c>
      <c r="U10" s="2">
        <f t="shared" si="1"/>
        <v>24530743.68</v>
      </c>
    </row>
    <row r="11" spans="1:22" ht="45" customHeight="1" x14ac:dyDescent="0.25">
      <c r="A11" s="56" t="s">
        <v>0</v>
      </c>
      <c r="B11" s="56"/>
      <c r="C11" s="2">
        <f>SUM(C12:C23)</f>
        <v>37755868.190000005</v>
      </c>
      <c r="D11" s="2">
        <f t="shared" ref="D11:U11" si="2">SUM(D12:D23)</f>
        <v>1152494.28</v>
      </c>
      <c r="E11" s="2">
        <f t="shared" si="2"/>
        <v>201942.22</v>
      </c>
      <c r="F11" s="2">
        <f t="shared" si="2"/>
        <v>720579.05</v>
      </c>
      <c r="G11" s="2">
        <f t="shared" si="2"/>
        <v>106353.49</v>
      </c>
      <c r="H11" s="2">
        <f t="shared" si="2"/>
        <v>0</v>
      </c>
      <c r="I11" s="2">
        <f t="shared" si="2"/>
        <v>123619.52</v>
      </c>
      <c r="J11" s="2">
        <f t="shared" si="2"/>
        <v>0</v>
      </c>
      <c r="K11" s="14">
        <f t="shared" si="2"/>
        <v>0</v>
      </c>
      <c r="L11" s="2">
        <f t="shared" si="2"/>
        <v>0</v>
      </c>
      <c r="M11" s="2">
        <f t="shared" si="2"/>
        <v>6172.05</v>
      </c>
      <c r="N11" s="2">
        <f t="shared" si="2"/>
        <v>30174716.719999995</v>
      </c>
      <c r="O11" s="2">
        <f t="shared" si="2"/>
        <v>386</v>
      </c>
      <c r="P11" s="2">
        <f t="shared" si="2"/>
        <v>147555.32999999999</v>
      </c>
      <c r="Q11" s="2">
        <f t="shared" si="2"/>
        <v>2192.5700000000002</v>
      </c>
      <c r="R11" s="2">
        <f t="shared" si="2"/>
        <v>4955385.55</v>
      </c>
      <c r="S11" s="2">
        <f t="shared" si="2"/>
        <v>79180.97</v>
      </c>
      <c r="T11" s="2">
        <f t="shared" si="2"/>
        <v>0</v>
      </c>
      <c r="U11" s="2">
        <f t="shared" si="2"/>
        <v>1246535.3399999999</v>
      </c>
      <c r="V11" s="18">
        <f>C11+C291+C793</f>
        <v>309534529.89999998</v>
      </c>
    </row>
    <row r="12" spans="1:22" ht="21.95" customHeight="1" x14ac:dyDescent="0.25">
      <c r="A12" s="37" t="s">
        <v>837</v>
      </c>
      <c r="B12" s="19" t="s">
        <v>39</v>
      </c>
      <c r="C12" s="2">
        <f t="shared" ref="C12:C58" si="3">D12+L12+N12+P12+R12+S12+T12+U12</f>
        <v>5291494.4899999993</v>
      </c>
      <c r="D12" s="3">
        <f>SUM(E12:J12)</f>
        <v>1152494.28</v>
      </c>
      <c r="E12" s="3">
        <v>201942.22</v>
      </c>
      <c r="F12" s="3">
        <v>720579.05</v>
      </c>
      <c r="G12" s="3">
        <v>106353.49</v>
      </c>
      <c r="H12" s="3">
        <v>0</v>
      </c>
      <c r="I12" s="3">
        <v>123619.52</v>
      </c>
      <c r="J12" s="3">
        <f>350*0</f>
        <v>0</v>
      </c>
      <c r="K12" s="4">
        <v>0</v>
      </c>
      <c r="L12" s="3">
        <v>0</v>
      </c>
      <c r="M12" s="3">
        <v>488</v>
      </c>
      <c r="N12" s="20">
        <v>2618837.36</v>
      </c>
      <c r="O12" s="3">
        <v>386</v>
      </c>
      <c r="P12" s="3">
        <v>147555.32999999999</v>
      </c>
      <c r="Q12" s="3">
        <v>742.87</v>
      </c>
      <c r="R12" s="3">
        <v>1094426.55</v>
      </c>
      <c r="S12" s="3">
        <v>79180.97</v>
      </c>
      <c r="T12" s="3">
        <v>0</v>
      </c>
      <c r="U12" s="3">
        <v>199000</v>
      </c>
      <c r="V12" s="6">
        <f t="shared" ref="V12:V23" si="4">N12/M12</f>
        <v>5366.4699999999993</v>
      </c>
    </row>
    <row r="13" spans="1:22" ht="21.95" customHeight="1" x14ac:dyDescent="0.25">
      <c r="A13" s="37" t="s">
        <v>838</v>
      </c>
      <c r="B13" s="19" t="s">
        <v>41</v>
      </c>
      <c r="C13" s="2">
        <f t="shared" si="3"/>
        <v>8261688.6799999997</v>
      </c>
      <c r="D13" s="3">
        <f>SUM(E13:J13)</f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4">
        <v>0</v>
      </c>
      <c r="L13" s="3">
        <v>0</v>
      </c>
      <c r="M13" s="3">
        <v>835.4</v>
      </c>
      <c r="N13" s="20">
        <v>4208619.5999999996</v>
      </c>
      <c r="O13" s="3">
        <v>0</v>
      </c>
      <c r="P13" s="3">
        <v>0</v>
      </c>
      <c r="Q13" s="3">
        <v>1449.7</v>
      </c>
      <c r="R13" s="3">
        <v>3860959</v>
      </c>
      <c r="S13" s="3">
        <v>0</v>
      </c>
      <c r="T13" s="3">
        <v>0</v>
      </c>
      <c r="U13" s="3">
        <v>192110.07999999999</v>
      </c>
      <c r="V13" s="18">
        <f t="shared" si="4"/>
        <v>5037.8496528609048</v>
      </c>
    </row>
    <row r="14" spans="1:22" ht="21.95" customHeight="1" x14ac:dyDescent="0.25">
      <c r="A14" s="37" t="s">
        <v>1578</v>
      </c>
      <c r="B14" s="8" t="s">
        <v>43</v>
      </c>
      <c r="C14" s="2">
        <f>D14+L14+N14+P14+R14+S14+T14+U14</f>
        <v>4437593.3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4">
        <v>0</v>
      </c>
      <c r="L14" s="3">
        <v>0</v>
      </c>
      <c r="M14" s="3">
        <v>861.3</v>
      </c>
      <c r="N14" s="20">
        <v>4328404.8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109188.5</v>
      </c>
      <c r="V14" s="6">
        <f>N14/M14</f>
        <v>5025.4322535701849</v>
      </c>
    </row>
    <row r="15" spans="1:22" ht="21.95" customHeight="1" x14ac:dyDescent="0.25">
      <c r="A15" s="37" t="s">
        <v>1579</v>
      </c>
      <c r="B15" s="8" t="s">
        <v>44</v>
      </c>
      <c r="C15" s="2">
        <f>D15+L15+N15+P15+R15+S15+T15+U15</f>
        <v>95605.06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4">
        <v>0</v>
      </c>
      <c r="L15" s="3">
        <v>0</v>
      </c>
      <c r="M15" s="3">
        <v>0</v>
      </c>
      <c r="N15" s="20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95605.06</v>
      </c>
      <c r="V15" s="6" t="e">
        <f>N15/M15</f>
        <v>#DIV/0!</v>
      </c>
    </row>
    <row r="16" spans="1:22" ht="21.95" customHeight="1" x14ac:dyDescent="0.25">
      <c r="A16" s="37" t="s">
        <v>1580</v>
      </c>
      <c r="B16" s="8" t="s">
        <v>45</v>
      </c>
      <c r="C16" s="2">
        <f>D16+L16+N16+P16+R16+S16+T16+U16</f>
        <v>2539303.1100000003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4">
        <v>0</v>
      </c>
      <c r="L16" s="3">
        <v>0</v>
      </c>
      <c r="M16" s="3">
        <v>467.35</v>
      </c>
      <c r="N16" s="20">
        <v>2476859.87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62443.24</v>
      </c>
      <c r="V16" s="6">
        <f>N16/M16</f>
        <v>5299.7964480582004</v>
      </c>
    </row>
    <row r="17" spans="1:22" ht="21.95" customHeight="1" x14ac:dyDescent="0.25">
      <c r="A17" s="37" t="s">
        <v>1581</v>
      </c>
      <c r="B17" s="8" t="s">
        <v>42</v>
      </c>
      <c r="C17" s="2">
        <f t="shared" si="3"/>
        <v>2645045.41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4">
        <v>0</v>
      </c>
      <c r="L17" s="3">
        <v>0</v>
      </c>
      <c r="M17" s="3">
        <v>497</v>
      </c>
      <c r="N17" s="20">
        <v>2561057.37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83988.04</v>
      </c>
      <c r="V17" s="6">
        <f t="shared" si="4"/>
        <v>5153.032937625755</v>
      </c>
    </row>
    <row r="18" spans="1:22" ht="21.95" customHeight="1" x14ac:dyDescent="0.25">
      <c r="A18" s="37" t="s">
        <v>1582</v>
      </c>
      <c r="B18" s="8" t="s">
        <v>48</v>
      </c>
      <c r="C18" s="2">
        <f t="shared" si="3"/>
        <v>3039549.67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4">
        <v>0</v>
      </c>
      <c r="L18" s="3">
        <v>0</v>
      </c>
      <c r="M18" s="3">
        <v>547.4</v>
      </c>
      <c r="N18" s="20">
        <v>2901110.4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138439.26999999999</v>
      </c>
      <c r="V18" s="6">
        <f t="shared" si="4"/>
        <v>5299.7997807818783</v>
      </c>
    </row>
    <row r="19" spans="1:22" ht="21.95" customHeight="1" x14ac:dyDescent="0.25">
      <c r="A19" s="37" t="s">
        <v>1583</v>
      </c>
      <c r="B19" s="8" t="s">
        <v>50</v>
      </c>
      <c r="C19" s="2">
        <f t="shared" si="3"/>
        <v>1620190.78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4">
        <v>0</v>
      </c>
      <c r="L19" s="3">
        <v>0</v>
      </c>
      <c r="M19" s="3">
        <v>482</v>
      </c>
      <c r="N19" s="20">
        <v>1590599.04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29591.74</v>
      </c>
      <c r="V19" s="6">
        <f t="shared" si="4"/>
        <v>3299.9980082987554</v>
      </c>
    </row>
    <row r="20" spans="1:22" ht="21.95" customHeight="1" x14ac:dyDescent="0.25">
      <c r="A20" s="37" t="s">
        <v>1584</v>
      </c>
      <c r="B20" s="8" t="s">
        <v>53</v>
      </c>
      <c r="C20" s="2">
        <f t="shared" si="3"/>
        <v>1518810.69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4">
        <v>0</v>
      </c>
      <c r="L20" s="3">
        <v>0</v>
      </c>
      <c r="M20" s="3">
        <v>283.60000000000002</v>
      </c>
      <c r="N20" s="20">
        <v>1434500.4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84310.29</v>
      </c>
      <c r="V20" s="6">
        <f t="shared" si="4"/>
        <v>5058.1819464033842</v>
      </c>
    </row>
    <row r="21" spans="1:22" ht="21.95" customHeight="1" x14ac:dyDescent="0.25">
      <c r="A21" s="37" t="s">
        <v>1585</v>
      </c>
      <c r="B21" s="19" t="s">
        <v>56</v>
      </c>
      <c r="C21" s="2">
        <f>D21+L21+N21+P21+R21+S21+T21+U21</f>
        <v>2818103.6199999996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4">
        <v>0</v>
      </c>
      <c r="L21" s="3">
        <v>0</v>
      </c>
      <c r="M21" s="3">
        <v>620</v>
      </c>
      <c r="N21" s="20">
        <v>2734627.8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83475.820000000007</v>
      </c>
      <c r="V21" s="6">
        <f>N21/M21</f>
        <v>4410.6899999999996</v>
      </c>
    </row>
    <row r="22" spans="1:22" ht="21.95" customHeight="1" x14ac:dyDescent="0.25">
      <c r="A22" s="37" t="s">
        <v>1586</v>
      </c>
      <c r="B22" s="19" t="s">
        <v>57</v>
      </c>
      <c r="C22" s="2">
        <f>D22+L22+N22+P22+R22+S22+T22+U22</f>
        <v>2684363.89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4">
        <v>0</v>
      </c>
      <c r="L22" s="3">
        <v>0</v>
      </c>
      <c r="M22" s="3">
        <v>545.6</v>
      </c>
      <c r="N22" s="20">
        <v>2600172.2400000002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84191.65</v>
      </c>
      <c r="V22" s="6">
        <f>N22/M22</f>
        <v>4765.7115835777131</v>
      </c>
    </row>
    <row r="23" spans="1:22" ht="21.95" customHeight="1" x14ac:dyDescent="0.25">
      <c r="A23" s="37" t="s">
        <v>1587</v>
      </c>
      <c r="B23" s="19" t="s">
        <v>55</v>
      </c>
      <c r="C23" s="2">
        <f t="shared" si="3"/>
        <v>2804119.4899999998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4">
        <v>0</v>
      </c>
      <c r="L23" s="3">
        <v>0</v>
      </c>
      <c r="M23" s="3">
        <v>544.4</v>
      </c>
      <c r="N23" s="20">
        <v>2719927.84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84191.65</v>
      </c>
      <c r="V23" s="6">
        <f t="shared" si="4"/>
        <v>4996.1936811168262</v>
      </c>
    </row>
    <row r="24" spans="1:22" ht="45" customHeight="1" x14ac:dyDescent="0.25">
      <c r="A24" s="56" t="s">
        <v>1162</v>
      </c>
      <c r="B24" s="56"/>
      <c r="C24" s="2">
        <f>SUM(C25)</f>
        <v>2310609.41</v>
      </c>
      <c r="D24" s="2">
        <f t="shared" ref="D24:U24" si="5">SUM(D25)</f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5"/>
        <v>0</v>
      </c>
      <c r="I24" s="2">
        <f t="shared" si="5"/>
        <v>0</v>
      </c>
      <c r="J24" s="2">
        <f t="shared" si="5"/>
        <v>0</v>
      </c>
      <c r="K24" s="14">
        <f t="shared" si="5"/>
        <v>0</v>
      </c>
      <c r="L24" s="2">
        <f t="shared" si="5"/>
        <v>0</v>
      </c>
      <c r="M24" s="2">
        <f t="shared" si="5"/>
        <v>545.4</v>
      </c>
      <c r="N24" s="2">
        <f t="shared" si="5"/>
        <v>2256173.66</v>
      </c>
      <c r="O24" s="2">
        <f t="shared" si="5"/>
        <v>0</v>
      </c>
      <c r="P24" s="2">
        <f t="shared" si="5"/>
        <v>0</v>
      </c>
      <c r="Q24" s="2">
        <f t="shared" si="5"/>
        <v>0</v>
      </c>
      <c r="R24" s="2">
        <f t="shared" si="5"/>
        <v>0</v>
      </c>
      <c r="S24" s="2">
        <f t="shared" si="5"/>
        <v>0</v>
      </c>
      <c r="T24" s="2">
        <f t="shared" si="5"/>
        <v>0</v>
      </c>
      <c r="U24" s="2">
        <f t="shared" si="5"/>
        <v>54435.75</v>
      </c>
      <c r="V24" s="18">
        <f>C24</f>
        <v>2310609.41</v>
      </c>
    </row>
    <row r="25" spans="1:22" ht="21.95" customHeight="1" x14ac:dyDescent="0.25">
      <c r="A25" s="37" t="s">
        <v>1588</v>
      </c>
      <c r="B25" s="8" t="s">
        <v>27</v>
      </c>
      <c r="C25" s="2">
        <f t="shared" si="3"/>
        <v>2310609.41</v>
      </c>
      <c r="D25" s="3">
        <f>SUM(E25:J25)</f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4">
        <v>0</v>
      </c>
      <c r="L25" s="3">
        <v>0</v>
      </c>
      <c r="M25" s="3">
        <v>545.4</v>
      </c>
      <c r="N25" s="20">
        <v>2256173.66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54435.75</v>
      </c>
      <c r="V25" s="6">
        <f>N25/M25</f>
        <v>4136.7320498716545</v>
      </c>
    </row>
    <row r="26" spans="1:22" ht="45" customHeight="1" x14ac:dyDescent="0.25">
      <c r="A26" s="56" t="s">
        <v>1343</v>
      </c>
      <c r="B26" s="56"/>
      <c r="C26" s="2">
        <f>SUM(C27)</f>
        <v>3798369.6</v>
      </c>
      <c r="D26" s="2">
        <f t="shared" ref="D26:U26" si="6">SUM(D27)</f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0</v>
      </c>
      <c r="I26" s="2">
        <f t="shared" si="6"/>
        <v>0</v>
      </c>
      <c r="J26" s="2">
        <f t="shared" si="6"/>
        <v>0</v>
      </c>
      <c r="K26" s="14">
        <f t="shared" si="6"/>
        <v>0</v>
      </c>
      <c r="L26" s="2">
        <f t="shared" si="6"/>
        <v>0</v>
      </c>
      <c r="M26" s="2">
        <f t="shared" si="6"/>
        <v>1341.35</v>
      </c>
      <c r="N26" s="2">
        <f t="shared" si="6"/>
        <v>3798369.6</v>
      </c>
      <c r="O26" s="2">
        <f t="shared" si="6"/>
        <v>0</v>
      </c>
      <c r="P26" s="2">
        <f t="shared" si="6"/>
        <v>0</v>
      </c>
      <c r="Q26" s="2">
        <f t="shared" si="6"/>
        <v>0</v>
      </c>
      <c r="R26" s="2">
        <f t="shared" si="6"/>
        <v>0</v>
      </c>
      <c r="S26" s="2">
        <f t="shared" si="6"/>
        <v>0</v>
      </c>
      <c r="T26" s="2">
        <f t="shared" si="6"/>
        <v>0</v>
      </c>
      <c r="U26" s="2">
        <f t="shared" si="6"/>
        <v>0</v>
      </c>
      <c r="V26" s="18">
        <f>C26</f>
        <v>3798369.6</v>
      </c>
    </row>
    <row r="27" spans="1:22" ht="21.95" customHeight="1" x14ac:dyDescent="0.25">
      <c r="A27" s="37" t="s">
        <v>1589</v>
      </c>
      <c r="B27" s="8" t="s">
        <v>1344</v>
      </c>
      <c r="C27" s="2">
        <f t="shared" si="3"/>
        <v>3798369.6</v>
      </c>
      <c r="D27" s="3">
        <f>SUM(E27:J27)</f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4">
        <v>0</v>
      </c>
      <c r="L27" s="3">
        <v>0</v>
      </c>
      <c r="M27" s="3">
        <v>1341.35</v>
      </c>
      <c r="N27" s="20">
        <v>3798369.6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6">
        <f>N27/M27</f>
        <v>2831.7512953367877</v>
      </c>
    </row>
    <row r="28" spans="1:22" ht="45" customHeight="1" x14ac:dyDescent="0.25">
      <c r="A28" s="56" t="s">
        <v>74</v>
      </c>
      <c r="B28" s="56"/>
      <c r="C28" s="2">
        <f>SUM(C29)</f>
        <v>1334845.79</v>
      </c>
      <c r="D28" s="2">
        <f t="shared" ref="D28:U28" si="7">SUM(D29)</f>
        <v>98442.83</v>
      </c>
      <c r="E28" s="2">
        <f t="shared" si="7"/>
        <v>98442.83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14">
        <f t="shared" si="7"/>
        <v>0</v>
      </c>
      <c r="L28" s="2">
        <f t="shared" si="7"/>
        <v>0</v>
      </c>
      <c r="M28" s="2">
        <f t="shared" si="7"/>
        <v>254.8</v>
      </c>
      <c r="N28" s="2">
        <f t="shared" si="7"/>
        <v>1159135.44</v>
      </c>
      <c r="O28" s="2">
        <f t="shared" si="7"/>
        <v>0</v>
      </c>
      <c r="P28" s="2">
        <f t="shared" si="7"/>
        <v>0</v>
      </c>
      <c r="Q28" s="2">
        <f t="shared" si="7"/>
        <v>0</v>
      </c>
      <c r="R28" s="2">
        <f t="shared" si="7"/>
        <v>0</v>
      </c>
      <c r="S28" s="2">
        <f t="shared" si="7"/>
        <v>0</v>
      </c>
      <c r="T28" s="2">
        <f t="shared" si="7"/>
        <v>0</v>
      </c>
      <c r="U28" s="2">
        <f t="shared" si="7"/>
        <v>77267.520000000004</v>
      </c>
      <c r="V28" s="18">
        <f>C28+C315+C820</f>
        <v>24255740.789999999</v>
      </c>
    </row>
    <row r="29" spans="1:22" ht="23.1" customHeight="1" x14ac:dyDescent="0.25">
      <c r="A29" s="36" t="s">
        <v>1590</v>
      </c>
      <c r="B29" s="8" t="s">
        <v>73</v>
      </c>
      <c r="C29" s="2">
        <f t="shared" si="3"/>
        <v>1334845.79</v>
      </c>
      <c r="D29" s="3">
        <f>SUM(E29:J29)</f>
        <v>98442.83</v>
      </c>
      <c r="E29" s="3">
        <v>98442.83</v>
      </c>
      <c r="F29" s="3">
        <f>800*0</f>
        <v>0</v>
      </c>
      <c r="G29" s="3">
        <f>300*0</f>
        <v>0</v>
      </c>
      <c r="H29" s="3">
        <f>500*0</f>
        <v>0</v>
      </c>
      <c r="I29" s="3">
        <f>400*0</f>
        <v>0</v>
      </c>
      <c r="J29" s="3">
        <f>350*0</f>
        <v>0</v>
      </c>
      <c r="K29" s="11">
        <v>0</v>
      </c>
      <c r="L29" s="5">
        <v>0</v>
      </c>
      <c r="M29" s="5">
        <v>254.8</v>
      </c>
      <c r="N29" s="20">
        <v>1159135.44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77267.520000000004</v>
      </c>
      <c r="V29" s="6">
        <f>N29/M29</f>
        <v>4549.1971742543165</v>
      </c>
    </row>
    <row r="30" spans="1:22" ht="45" customHeight="1" x14ac:dyDescent="0.25">
      <c r="A30" s="56" t="s">
        <v>2</v>
      </c>
      <c r="B30" s="56"/>
      <c r="C30" s="2">
        <f>SUM(C31:C32)</f>
        <v>1938064.1099999999</v>
      </c>
      <c r="D30" s="2">
        <f t="shared" ref="D30:U30" si="8">SUM(D31:D32)</f>
        <v>0</v>
      </c>
      <c r="E30" s="2">
        <f t="shared" si="8"/>
        <v>0</v>
      </c>
      <c r="F30" s="2">
        <f t="shared" si="8"/>
        <v>0</v>
      </c>
      <c r="G30" s="2">
        <f t="shared" si="8"/>
        <v>0</v>
      </c>
      <c r="H30" s="2">
        <f t="shared" si="8"/>
        <v>0</v>
      </c>
      <c r="I30" s="2">
        <f t="shared" si="8"/>
        <v>0</v>
      </c>
      <c r="J30" s="2">
        <f t="shared" si="8"/>
        <v>0</v>
      </c>
      <c r="K30" s="14">
        <f t="shared" si="8"/>
        <v>0</v>
      </c>
      <c r="L30" s="2">
        <f t="shared" si="8"/>
        <v>0</v>
      </c>
      <c r="M30" s="2">
        <f t="shared" si="8"/>
        <v>496</v>
      </c>
      <c r="N30" s="2">
        <f t="shared" si="8"/>
        <v>1830260.64</v>
      </c>
      <c r="O30" s="2">
        <f t="shared" si="8"/>
        <v>0</v>
      </c>
      <c r="P30" s="2">
        <f t="shared" si="8"/>
        <v>0</v>
      </c>
      <c r="Q30" s="2">
        <f t="shared" si="8"/>
        <v>0</v>
      </c>
      <c r="R30" s="2">
        <f t="shared" si="8"/>
        <v>0</v>
      </c>
      <c r="S30" s="2">
        <f t="shared" si="8"/>
        <v>0</v>
      </c>
      <c r="T30" s="2">
        <f t="shared" si="8"/>
        <v>0</v>
      </c>
      <c r="U30" s="2">
        <f t="shared" si="8"/>
        <v>107803.47</v>
      </c>
      <c r="V30" s="18">
        <f>C30+C321+C824</f>
        <v>16738889.109999999</v>
      </c>
    </row>
    <row r="31" spans="1:22" ht="20.100000000000001" customHeight="1" x14ac:dyDescent="0.25">
      <c r="A31" s="37" t="s">
        <v>1591</v>
      </c>
      <c r="B31" s="8" t="s">
        <v>77</v>
      </c>
      <c r="C31" s="2">
        <f t="shared" si="3"/>
        <v>53254.81</v>
      </c>
      <c r="D31" s="3">
        <f t="shared" ref="D31:D32" si="9">SUM(E31:J31)</f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4">
        <v>0</v>
      </c>
      <c r="L31" s="3">
        <v>0</v>
      </c>
      <c r="M31" s="5">
        <v>0</v>
      </c>
      <c r="N31" s="5">
        <v>0</v>
      </c>
      <c r="O31" s="3">
        <v>0</v>
      </c>
      <c r="P31" s="3">
        <v>0</v>
      </c>
      <c r="Q31" s="3">
        <v>0</v>
      </c>
      <c r="R31" s="3">
        <v>0</v>
      </c>
      <c r="S31" s="5">
        <v>0</v>
      </c>
      <c r="T31" s="3">
        <v>0</v>
      </c>
      <c r="U31" s="3">
        <v>53254.81</v>
      </c>
      <c r="V31" s="6" t="e">
        <f t="shared" ref="V31:V32" si="10">N31/M31</f>
        <v>#DIV/0!</v>
      </c>
    </row>
    <row r="32" spans="1:22" s="6" customFormat="1" ht="20.100000000000001" customHeight="1" x14ac:dyDescent="0.25">
      <c r="A32" s="37" t="s">
        <v>1592</v>
      </c>
      <c r="B32" s="8" t="s">
        <v>78</v>
      </c>
      <c r="C32" s="2">
        <f>D32+L32+N32+P32+R32+S32+T32+U32</f>
        <v>1884809.2999999998</v>
      </c>
      <c r="D32" s="3">
        <f t="shared" si="9"/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11">
        <v>0</v>
      </c>
      <c r="L32" s="5">
        <v>0</v>
      </c>
      <c r="M32" s="5">
        <v>496</v>
      </c>
      <c r="N32" s="5">
        <v>1830260.64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3">
        <v>0</v>
      </c>
      <c r="U32" s="5">
        <v>54548.66</v>
      </c>
      <c r="V32" s="6">
        <f t="shared" si="10"/>
        <v>3690.0416129032255</v>
      </c>
    </row>
    <row r="33" spans="1:22" ht="45" customHeight="1" x14ac:dyDescent="0.25">
      <c r="A33" s="56" t="s">
        <v>832</v>
      </c>
      <c r="B33" s="56"/>
      <c r="C33" s="2">
        <f>SUM(C34)</f>
        <v>239642.18</v>
      </c>
      <c r="D33" s="2">
        <f t="shared" ref="D33:U33" si="11">SUM(D34)</f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14">
        <f t="shared" si="11"/>
        <v>0</v>
      </c>
      <c r="L33" s="2">
        <f t="shared" si="11"/>
        <v>0</v>
      </c>
      <c r="M33" s="2">
        <f t="shared" si="11"/>
        <v>95</v>
      </c>
      <c r="N33" s="2">
        <f t="shared" si="11"/>
        <v>223078.81</v>
      </c>
      <c r="O33" s="2">
        <f t="shared" si="11"/>
        <v>0</v>
      </c>
      <c r="P33" s="2">
        <f t="shared" si="11"/>
        <v>0</v>
      </c>
      <c r="Q33" s="2">
        <f t="shared" si="11"/>
        <v>0</v>
      </c>
      <c r="R33" s="2">
        <f t="shared" si="11"/>
        <v>0</v>
      </c>
      <c r="S33" s="2">
        <f t="shared" si="11"/>
        <v>0</v>
      </c>
      <c r="T33" s="2">
        <f t="shared" si="11"/>
        <v>0</v>
      </c>
      <c r="U33" s="2">
        <f t="shared" si="11"/>
        <v>16563.37</v>
      </c>
      <c r="V33" s="18">
        <f>C33+C327+C830</f>
        <v>21708493.579999998</v>
      </c>
    </row>
    <row r="34" spans="1:22" ht="20.100000000000001" customHeight="1" x14ac:dyDescent="0.25">
      <c r="A34" s="37" t="s">
        <v>1593</v>
      </c>
      <c r="B34" s="8" t="s">
        <v>87</v>
      </c>
      <c r="C34" s="2">
        <f t="shared" si="3"/>
        <v>239642.18</v>
      </c>
      <c r="D34" s="3">
        <f t="shared" ref="D34" si="12">SUM(E34:J34)</f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4">
        <v>0</v>
      </c>
      <c r="L34" s="3">
        <v>0</v>
      </c>
      <c r="M34" s="3">
        <v>95</v>
      </c>
      <c r="N34" s="20">
        <v>223078.81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16563.37</v>
      </c>
      <c r="V34" s="6">
        <f t="shared" ref="V34" si="13">N34/M34</f>
        <v>2348.1979999999999</v>
      </c>
    </row>
    <row r="35" spans="1:22" ht="45" customHeight="1" x14ac:dyDescent="0.25">
      <c r="A35" s="56" t="s">
        <v>93</v>
      </c>
      <c r="B35" s="56"/>
      <c r="C35" s="2">
        <f>SUM(C36:C37)</f>
        <v>6845927.2100000009</v>
      </c>
      <c r="D35" s="2">
        <f t="shared" ref="D35:U35" si="14">SUM(D36:D37)</f>
        <v>0</v>
      </c>
      <c r="E35" s="2">
        <f t="shared" si="14"/>
        <v>0</v>
      </c>
      <c r="F35" s="2">
        <f t="shared" si="14"/>
        <v>0</v>
      </c>
      <c r="G35" s="2">
        <f t="shared" si="14"/>
        <v>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14">
        <f t="shared" si="14"/>
        <v>4</v>
      </c>
      <c r="L35" s="2">
        <f t="shared" si="14"/>
        <v>6701917.2800000003</v>
      </c>
      <c r="M35" s="2">
        <f t="shared" si="14"/>
        <v>0</v>
      </c>
      <c r="N35" s="2">
        <f t="shared" si="14"/>
        <v>0</v>
      </c>
      <c r="O35" s="2">
        <f t="shared" si="14"/>
        <v>0</v>
      </c>
      <c r="P35" s="2">
        <f t="shared" si="14"/>
        <v>0</v>
      </c>
      <c r="Q35" s="2">
        <f t="shared" si="14"/>
        <v>0</v>
      </c>
      <c r="R35" s="2">
        <f t="shared" si="14"/>
        <v>0</v>
      </c>
      <c r="S35" s="2">
        <f t="shared" si="14"/>
        <v>0</v>
      </c>
      <c r="T35" s="2">
        <f t="shared" si="14"/>
        <v>0</v>
      </c>
      <c r="U35" s="2">
        <f t="shared" si="14"/>
        <v>144009.93</v>
      </c>
      <c r="V35" s="18">
        <f>C35+C333+C836</f>
        <v>27993011.330000002</v>
      </c>
    </row>
    <row r="36" spans="1:22" ht="21.95" customHeight="1" x14ac:dyDescent="0.25">
      <c r="A36" s="36" t="s">
        <v>1594</v>
      </c>
      <c r="B36" s="8" t="s">
        <v>96</v>
      </c>
      <c r="C36" s="2">
        <f t="shared" si="3"/>
        <v>3423021.89</v>
      </c>
      <c r="D36" s="3">
        <f t="shared" ref="D36:D37" si="15">SUM(E36:J36)</f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4">
        <v>2</v>
      </c>
      <c r="L36" s="3">
        <v>3351026.41</v>
      </c>
      <c r="M36" s="5">
        <v>0</v>
      </c>
      <c r="N36" s="5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71995.48</v>
      </c>
      <c r="V36" s="6" t="e">
        <f t="shared" ref="V36:V37" si="16">N36/M36</f>
        <v>#DIV/0!</v>
      </c>
    </row>
    <row r="37" spans="1:22" ht="21.95" customHeight="1" x14ac:dyDescent="0.25">
      <c r="A37" s="36" t="s">
        <v>1595</v>
      </c>
      <c r="B37" s="8" t="s">
        <v>99</v>
      </c>
      <c r="C37" s="2">
        <f t="shared" si="3"/>
        <v>3422905.3200000003</v>
      </c>
      <c r="D37" s="3">
        <f t="shared" si="15"/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4">
        <v>2</v>
      </c>
      <c r="L37" s="3">
        <v>3350890.87</v>
      </c>
      <c r="M37" s="5">
        <v>0</v>
      </c>
      <c r="N37" s="5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72014.45</v>
      </c>
      <c r="V37" s="6" t="e">
        <f t="shared" si="16"/>
        <v>#DIV/0!</v>
      </c>
    </row>
    <row r="38" spans="1:22" ht="45" customHeight="1" x14ac:dyDescent="0.25">
      <c r="A38" s="56" t="s">
        <v>102</v>
      </c>
      <c r="B38" s="56"/>
      <c r="C38" s="2">
        <f>SUM(C39:C42)</f>
        <v>14891706.060000001</v>
      </c>
      <c r="D38" s="2">
        <f t="shared" ref="D38:U38" si="17">SUM(D39:D42)</f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14">
        <f t="shared" si="17"/>
        <v>0</v>
      </c>
      <c r="L38" s="2">
        <f t="shared" si="17"/>
        <v>0</v>
      </c>
      <c r="M38" s="2">
        <f t="shared" si="17"/>
        <v>3039.35</v>
      </c>
      <c r="N38" s="2">
        <f t="shared" si="17"/>
        <v>14685718.259999998</v>
      </c>
      <c r="O38" s="2">
        <f t="shared" si="17"/>
        <v>0</v>
      </c>
      <c r="P38" s="2">
        <f t="shared" si="17"/>
        <v>0</v>
      </c>
      <c r="Q38" s="2">
        <f t="shared" si="17"/>
        <v>0</v>
      </c>
      <c r="R38" s="2">
        <f t="shared" si="17"/>
        <v>0</v>
      </c>
      <c r="S38" s="2">
        <f t="shared" si="17"/>
        <v>0</v>
      </c>
      <c r="T38" s="2">
        <f t="shared" si="17"/>
        <v>0</v>
      </c>
      <c r="U38" s="2">
        <f t="shared" si="17"/>
        <v>205987.8</v>
      </c>
      <c r="V38" s="18">
        <f>C38+C339+C839</f>
        <v>54260016.060000002</v>
      </c>
    </row>
    <row r="39" spans="1:22" ht="21" customHeight="1" x14ac:dyDescent="0.25">
      <c r="A39" s="37" t="s">
        <v>1596</v>
      </c>
      <c r="B39" s="8" t="s">
        <v>108</v>
      </c>
      <c r="C39" s="2">
        <f t="shared" si="3"/>
        <v>4562400</v>
      </c>
      <c r="D39" s="3">
        <f t="shared" ref="D39:D42" si="18">SUM(E39:J39)</f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4">
        <v>0</v>
      </c>
      <c r="L39" s="3">
        <v>0</v>
      </c>
      <c r="M39" s="5">
        <v>828.4</v>
      </c>
      <c r="N39" s="5">
        <v>4562400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6">
        <f t="shared" ref="V39:V42" si="19">N39/M39</f>
        <v>5507.4843070980205</v>
      </c>
    </row>
    <row r="40" spans="1:22" ht="21.95" customHeight="1" x14ac:dyDescent="0.25">
      <c r="A40" s="37" t="s">
        <v>1597</v>
      </c>
      <c r="B40" s="8" t="s">
        <v>110</v>
      </c>
      <c r="C40" s="2">
        <f t="shared" si="3"/>
        <v>3717862.4099999997</v>
      </c>
      <c r="D40" s="3">
        <f t="shared" si="18"/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4">
        <v>0</v>
      </c>
      <c r="L40" s="3">
        <v>0</v>
      </c>
      <c r="M40" s="5">
        <v>775.81</v>
      </c>
      <c r="N40" s="20">
        <v>3649021.61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68840.800000000003</v>
      </c>
      <c r="V40" s="6">
        <f t="shared" si="19"/>
        <v>4703.4990654928397</v>
      </c>
    </row>
    <row r="41" spans="1:22" ht="21.95" customHeight="1" x14ac:dyDescent="0.25">
      <c r="A41" s="37" t="s">
        <v>1598</v>
      </c>
      <c r="B41" s="8" t="s">
        <v>111</v>
      </c>
      <c r="C41" s="2">
        <f t="shared" si="3"/>
        <v>3672396.42</v>
      </c>
      <c r="D41" s="3">
        <f t="shared" si="18"/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4">
        <v>0</v>
      </c>
      <c r="L41" s="3">
        <v>0</v>
      </c>
      <c r="M41" s="5">
        <v>821.23</v>
      </c>
      <c r="N41" s="20">
        <v>3602604.86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69791.56</v>
      </c>
      <c r="V41" s="6">
        <f t="shared" si="19"/>
        <v>4386.8403005248219</v>
      </c>
    </row>
    <row r="42" spans="1:22" ht="21.95" customHeight="1" x14ac:dyDescent="0.25">
      <c r="A42" s="37" t="s">
        <v>1599</v>
      </c>
      <c r="B42" s="8" t="s">
        <v>112</v>
      </c>
      <c r="C42" s="2">
        <f t="shared" si="3"/>
        <v>2939047.23</v>
      </c>
      <c r="D42" s="3">
        <f t="shared" si="18"/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4">
        <v>0</v>
      </c>
      <c r="L42" s="3">
        <v>0</v>
      </c>
      <c r="M42" s="3">
        <v>613.91</v>
      </c>
      <c r="N42" s="20">
        <v>2871691.79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67355.44</v>
      </c>
      <c r="V42" s="6">
        <f t="shared" si="19"/>
        <v>4677.7081168249424</v>
      </c>
    </row>
    <row r="43" spans="1:22" ht="45" customHeight="1" x14ac:dyDescent="0.25">
      <c r="A43" s="56" t="s">
        <v>1405</v>
      </c>
      <c r="B43" s="56"/>
      <c r="C43" s="2">
        <f>SUM(C44)</f>
        <v>2818731.24</v>
      </c>
      <c r="D43" s="2">
        <f t="shared" ref="D43:U43" si="20">SUM(D44)</f>
        <v>0</v>
      </c>
      <c r="E43" s="2">
        <f t="shared" si="20"/>
        <v>0</v>
      </c>
      <c r="F43" s="2">
        <f t="shared" si="20"/>
        <v>0</v>
      </c>
      <c r="G43" s="2">
        <f t="shared" si="20"/>
        <v>0</v>
      </c>
      <c r="H43" s="2">
        <f t="shared" si="20"/>
        <v>0</v>
      </c>
      <c r="I43" s="2">
        <f t="shared" si="20"/>
        <v>0</v>
      </c>
      <c r="J43" s="2">
        <f t="shared" si="20"/>
        <v>0</v>
      </c>
      <c r="K43" s="14">
        <f t="shared" si="20"/>
        <v>0</v>
      </c>
      <c r="L43" s="2">
        <f t="shared" si="20"/>
        <v>0</v>
      </c>
      <c r="M43" s="2">
        <f t="shared" si="20"/>
        <v>585.66</v>
      </c>
      <c r="N43" s="2">
        <f t="shared" si="20"/>
        <v>2818731.24</v>
      </c>
      <c r="O43" s="2">
        <f t="shared" si="20"/>
        <v>0</v>
      </c>
      <c r="P43" s="2">
        <f t="shared" si="20"/>
        <v>0</v>
      </c>
      <c r="Q43" s="2">
        <f t="shared" si="20"/>
        <v>0</v>
      </c>
      <c r="R43" s="2">
        <f t="shared" si="20"/>
        <v>0</v>
      </c>
      <c r="S43" s="2">
        <f t="shared" si="20"/>
        <v>0</v>
      </c>
      <c r="T43" s="2">
        <f t="shared" si="20"/>
        <v>0</v>
      </c>
      <c r="U43" s="2">
        <f t="shared" si="20"/>
        <v>0</v>
      </c>
      <c r="V43" s="18">
        <f>C43</f>
        <v>2818731.24</v>
      </c>
    </row>
    <row r="44" spans="1:22" ht="21.95" customHeight="1" x14ac:dyDescent="0.25">
      <c r="A44" s="36" t="s">
        <v>1600</v>
      </c>
      <c r="B44" s="8" t="s">
        <v>1406</v>
      </c>
      <c r="C44" s="2">
        <f t="shared" si="3"/>
        <v>2818731.24</v>
      </c>
      <c r="D44" s="3">
        <f>SUM(E44:J44)</f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11">
        <v>0</v>
      </c>
      <c r="L44" s="5">
        <v>0</v>
      </c>
      <c r="M44" s="5">
        <v>585.66</v>
      </c>
      <c r="N44" s="5">
        <v>2818731.24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6">
        <f>N44/M44</f>
        <v>4812.9140456920404</v>
      </c>
    </row>
    <row r="45" spans="1:22" ht="45" customHeight="1" x14ac:dyDescent="0.25">
      <c r="A45" s="56" t="s">
        <v>124</v>
      </c>
      <c r="B45" s="56"/>
      <c r="C45" s="2">
        <f>SUM(C46)</f>
        <v>3111460.64</v>
      </c>
      <c r="D45" s="2">
        <f t="shared" ref="D45:U45" si="21">SUM(D46)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14">
        <f t="shared" si="21"/>
        <v>0</v>
      </c>
      <c r="L45" s="2">
        <f t="shared" si="21"/>
        <v>0</v>
      </c>
      <c r="M45" s="2">
        <f t="shared" si="21"/>
        <v>550</v>
      </c>
      <c r="N45" s="2">
        <f t="shared" si="21"/>
        <v>1812377.05</v>
      </c>
      <c r="O45" s="2">
        <f t="shared" si="21"/>
        <v>0</v>
      </c>
      <c r="P45" s="2">
        <f t="shared" si="21"/>
        <v>0</v>
      </c>
      <c r="Q45" s="2">
        <f t="shared" si="21"/>
        <v>600</v>
      </c>
      <c r="R45" s="2">
        <f t="shared" si="21"/>
        <v>1248132.32</v>
      </c>
      <c r="S45" s="2">
        <f t="shared" si="21"/>
        <v>0</v>
      </c>
      <c r="T45" s="2">
        <f t="shared" si="21"/>
        <v>0</v>
      </c>
      <c r="U45" s="2">
        <f t="shared" si="21"/>
        <v>50951.27</v>
      </c>
      <c r="V45" s="18">
        <f>C45+C351+C854</f>
        <v>13779185.640000001</v>
      </c>
    </row>
    <row r="46" spans="1:22" ht="21.95" customHeight="1" x14ac:dyDescent="0.25">
      <c r="A46" s="36" t="s">
        <v>1601</v>
      </c>
      <c r="B46" s="8" t="s">
        <v>1185</v>
      </c>
      <c r="C46" s="2">
        <f t="shared" si="3"/>
        <v>3111460.64</v>
      </c>
      <c r="D46" s="3">
        <f t="shared" ref="D46" si="22">SUM(E46:J46)</f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11">
        <v>0</v>
      </c>
      <c r="L46" s="5">
        <v>0</v>
      </c>
      <c r="M46" s="5">
        <v>550</v>
      </c>
      <c r="N46" s="5">
        <v>1812377.05</v>
      </c>
      <c r="O46" s="5">
        <v>0</v>
      </c>
      <c r="P46" s="5">
        <v>0</v>
      </c>
      <c r="Q46" s="5">
        <v>600</v>
      </c>
      <c r="R46" s="5">
        <v>1248132.32</v>
      </c>
      <c r="S46" s="5">
        <v>0</v>
      </c>
      <c r="T46" s="5">
        <v>0</v>
      </c>
      <c r="U46" s="5">
        <v>50951.27</v>
      </c>
      <c r="V46" s="6">
        <f t="shared" ref="V46" si="23">N46/M46</f>
        <v>3295.2310000000002</v>
      </c>
    </row>
    <row r="47" spans="1:22" ht="45" customHeight="1" x14ac:dyDescent="0.25">
      <c r="A47" s="56" t="s">
        <v>131</v>
      </c>
      <c r="B47" s="56"/>
      <c r="C47" s="2">
        <f>SUM(C48)</f>
        <v>43691.17</v>
      </c>
      <c r="D47" s="2">
        <f t="shared" ref="D47:U47" si="24">SUM(D48)</f>
        <v>0</v>
      </c>
      <c r="E47" s="2">
        <f t="shared" si="24"/>
        <v>0</v>
      </c>
      <c r="F47" s="2">
        <f t="shared" si="24"/>
        <v>0</v>
      </c>
      <c r="G47" s="2">
        <f t="shared" si="24"/>
        <v>0</v>
      </c>
      <c r="H47" s="2">
        <f t="shared" si="24"/>
        <v>0</v>
      </c>
      <c r="I47" s="2">
        <f t="shared" si="24"/>
        <v>0</v>
      </c>
      <c r="J47" s="2">
        <f t="shared" si="24"/>
        <v>0</v>
      </c>
      <c r="K47" s="14">
        <f t="shared" si="24"/>
        <v>0</v>
      </c>
      <c r="L47" s="2">
        <f t="shared" si="24"/>
        <v>0</v>
      </c>
      <c r="M47" s="2">
        <f t="shared" si="24"/>
        <v>0</v>
      </c>
      <c r="N47" s="2">
        <f t="shared" si="24"/>
        <v>0</v>
      </c>
      <c r="O47" s="2">
        <f t="shared" si="24"/>
        <v>0</v>
      </c>
      <c r="P47" s="2">
        <f t="shared" si="24"/>
        <v>0</v>
      </c>
      <c r="Q47" s="2">
        <f t="shared" si="24"/>
        <v>0</v>
      </c>
      <c r="R47" s="2">
        <f t="shared" si="24"/>
        <v>0</v>
      </c>
      <c r="S47" s="2">
        <f t="shared" si="24"/>
        <v>0</v>
      </c>
      <c r="T47" s="2">
        <f t="shared" si="24"/>
        <v>0</v>
      </c>
      <c r="U47" s="2">
        <f t="shared" si="24"/>
        <v>43691.17</v>
      </c>
      <c r="V47" s="18">
        <f>C47+C357</f>
        <v>7615991.1699999999</v>
      </c>
    </row>
    <row r="48" spans="1:22" ht="21.95" customHeight="1" x14ac:dyDescent="0.25">
      <c r="A48" s="37" t="s">
        <v>1602</v>
      </c>
      <c r="B48" s="8" t="s">
        <v>128</v>
      </c>
      <c r="C48" s="2">
        <f t="shared" si="3"/>
        <v>43691.17</v>
      </c>
      <c r="D48" s="3">
        <f>SUM(E48:J48)</f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4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5">
        <v>0</v>
      </c>
      <c r="S48" s="3">
        <v>0</v>
      </c>
      <c r="T48" s="3">
        <v>0</v>
      </c>
      <c r="U48" s="3">
        <v>43691.17</v>
      </c>
      <c r="V48" s="6" t="e">
        <f>N48/M48</f>
        <v>#DIV/0!</v>
      </c>
    </row>
    <row r="49" spans="1:22" ht="45" customHeight="1" x14ac:dyDescent="0.25">
      <c r="A49" s="56" t="s">
        <v>133</v>
      </c>
      <c r="B49" s="56"/>
      <c r="C49" s="2">
        <f>SUM(C50:C52)</f>
        <v>16217698.190000001</v>
      </c>
      <c r="D49" s="2">
        <f t="shared" ref="D49:U49" si="25">SUM(D50:D52)</f>
        <v>0</v>
      </c>
      <c r="E49" s="2">
        <f t="shared" si="25"/>
        <v>0</v>
      </c>
      <c r="F49" s="2">
        <f t="shared" si="25"/>
        <v>0</v>
      </c>
      <c r="G49" s="2">
        <f t="shared" si="25"/>
        <v>0</v>
      </c>
      <c r="H49" s="2">
        <f t="shared" si="25"/>
        <v>0</v>
      </c>
      <c r="I49" s="2">
        <f t="shared" si="25"/>
        <v>0</v>
      </c>
      <c r="J49" s="2">
        <f t="shared" si="25"/>
        <v>0</v>
      </c>
      <c r="K49" s="14">
        <f t="shared" si="25"/>
        <v>0</v>
      </c>
      <c r="L49" s="2">
        <f t="shared" si="25"/>
        <v>0</v>
      </c>
      <c r="M49" s="2">
        <f t="shared" si="25"/>
        <v>3389.0600000000004</v>
      </c>
      <c r="N49" s="2">
        <f t="shared" si="25"/>
        <v>9709603.2300000004</v>
      </c>
      <c r="O49" s="2">
        <f t="shared" si="25"/>
        <v>0</v>
      </c>
      <c r="P49" s="2">
        <f t="shared" si="25"/>
        <v>0</v>
      </c>
      <c r="Q49" s="2">
        <f t="shared" si="25"/>
        <v>2934</v>
      </c>
      <c r="R49" s="2">
        <f t="shared" si="25"/>
        <v>6223562.8200000003</v>
      </c>
      <c r="S49" s="2">
        <f t="shared" si="25"/>
        <v>0</v>
      </c>
      <c r="T49" s="2">
        <f t="shared" si="25"/>
        <v>0</v>
      </c>
      <c r="U49" s="2">
        <f t="shared" si="25"/>
        <v>284532.14</v>
      </c>
      <c r="V49" s="18">
        <f>C49+C364</f>
        <v>19811548.190000001</v>
      </c>
    </row>
    <row r="50" spans="1:22" ht="21.95" customHeight="1" x14ac:dyDescent="0.25">
      <c r="A50" s="37" t="s">
        <v>1603</v>
      </c>
      <c r="B50" s="8" t="s">
        <v>134</v>
      </c>
      <c r="C50" s="2">
        <f t="shared" si="3"/>
        <v>3640602.32</v>
      </c>
      <c r="D50" s="3">
        <f t="shared" ref="D50:D52" si="26">SUM(E50:J50)</f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4">
        <v>0</v>
      </c>
      <c r="L50" s="3">
        <v>0</v>
      </c>
      <c r="M50" s="3">
        <v>1140.68</v>
      </c>
      <c r="N50" s="3">
        <v>3580928.98</v>
      </c>
      <c r="O50" s="3">
        <v>0</v>
      </c>
      <c r="P50" s="3">
        <v>0</v>
      </c>
      <c r="Q50" s="3">
        <v>0</v>
      </c>
      <c r="R50" s="5">
        <v>0</v>
      </c>
      <c r="S50" s="3">
        <v>0</v>
      </c>
      <c r="T50" s="3">
        <v>0</v>
      </c>
      <c r="U50" s="3">
        <v>59673.34</v>
      </c>
      <c r="V50" s="6">
        <f t="shared" ref="V50:V52" si="27">N50/M50</f>
        <v>3139.2932110670827</v>
      </c>
    </row>
    <row r="51" spans="1:22" ht="21.95" customHeight="1" x14ac:dyDescent="0.25">
      <c r="A51" s="37" t="s">
        <v>1604</v>
      </c>
      <c r="B51" s="8" t="s">
        <v>135</v>
      </c>
      <c r="C51" s="2">
        <f t="shared" si="3"/>
        <v>3997560.56</v>
      </c>
      <c r="D51" s="3">
        <f t="shared" si="26"/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4">
        <v>0</v>
      </c>
      <c r="L51" s="3">
        <v>0</v>
      </c>
      <c r="M51" s="3">
        <v>1296.6400000000001</v>
      </c>
      <c r="N51" s="3">
        <v>3937291.42</v>
      </c>
      <c r="O51" s="3">
        <v>0</v>
      </c>
      <c r="P51" s="3">
        <v>0</v>
      </c>
      <c r="Q51" s="3">
        <v>0</v>
      </c>
      <c r="R51" s="5">
        <v>0</v>
      </c>
      <c r="S51" s="3">
        <v>0</v>
      </c>
      <c r="T51" s="3">
        <v>0</v>
      </c>
      <c r="U51" s="3">
        <v>60269.14</v>
      </c>
      <c r="V51" s="6">
        <f t="shared" si="27"/>
        <v>3036.5339801332671</v>
      </c>
    </row>
    <row r="52" spans="1:22" ht="21.95" customHeight="1" x14ac:dyDescent="0.25">
      <c r="A52" s="37" t="s">
        <v>1605</v>
      </c>
      <c r="B52" s="8" t="s">
        <v>136</v>
      </c>
      <c r="C52" s="2">
        <f t="shared" si="3"/>
        <v>8579535.3100000005</v>
      </c>
      <c r="D52" s="3">
        <f t="shared" si="26"/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4">
        <v>0</v>
      </c>
      <c r="L52" s="3">
        <v>0</v>
      </c>
      <c r="M52" s="3">
        <v>951.74</v>
      </c>
      <c r="N52" s="3">
        <v>2191382.83</v>
      </c>
      <c r="O52" s="3">
        <v>0</v>
      </c>
      <c r="P52" s="3">
        <v>0</v>
      </c>
      <c r="Q52" s="3">
        <v>2934</v>
      </c>
      <c r="R52" s="5">
        <v>6223562.8200000003</v>
      </c>
      <c r="S52" s="3">
        <v>0</v>
      </c>
      <c r="T52" s="3">
        <v>0</v>
      </c>
      <c r="U52" s="3">
        <v>164589.66</v>
      </c>
      <c r="V52" s="6">
        <f t="shared" si="27"/>
        <v>2302.5015550465464</v>
      </c>
    </row>
    <row r="53" spans="1:22" ht="45" customHeight="1" x14ac:dyDescent="0.25">
      <c r="A53" s="56" t="s">
        <v>1168</v>
      </c>
      <c r="B53" s="56"/>
      <c r="C53" s="2">
        <f>SUM(C54)</f>
        <v>1199702.6400000001</v>
      </c>
      <c r="D53" s="2">
        <f t="shared" ref="D53:U53" si="28">SUM(D54)</f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8"/>
        <v>0</v>
      </c>
      <c r="I53" s="2">
        <f t="shared" si="28"/>
        <v>0</v>
      </c>
      <c r="J53" s="2">
        <f t="shared" si="28"/>
        <v>0</v>
      </c>
      <c r="K53" s="14">
        <f t="shared" si="28"/>
        <v>0</v>
      </c>
      <c r="L53" s="2">
        <f t="shared" si="28"/>
        <v>0</v>
      </c>
      <c r="M53" s="2">
        <f t="shared" si="28"/>
        <v>367.1</v>
      </c>
      <c r="N53" s="2">
        <f t="shared" si="28"/>
        <v>1172693.07</v>
      </c>
      <c r="O53" s="2">
        <f t="shared" si="28"/>
        <v>0</v>
      </c>
      <c r="P53" s="2">
        <f t="shared" si="28"/>
        <v>0</v>
      </c>
      <c r="Q53" s="2">
        <f t="shared" si="28"/>
        <v>0</v>
      </c>
      <c r="R53" s="2">
        <f t="shared" si="28"/>
        <v>0</v>
      </c>
      <c r="S53" s="2">
        <f t="shared" si="28"/>
        <v>0</v>
      </c>
      <c r="T53" s="2">
        <f t="shared" si="28"/>
        <v>0</v>
      </c>
      <c r="U53" s="2">
        <f t="shared" si="28"/>
        <v>27009.57</v>
      </c>
      <c r="V53" s="18">
        <f>C53</f>
        <v>1199702.6400000001</v>
      </c>
    </row>
    <row r="54" spans="1:22" ht="21.95" customHeight="1" x14ac:dyDescent="0.25">
      <c r="A54" s="37" t="s">
        <v>1606</v>
      </c>
      <c r="B54" s="8" t="s">
        <v>1169</v>
      </c>
      <c r="C54" s="2">
        <f t="shared" si="3"/>
        <v>1199702.6400000001</v>
      </c>
      <c r="D54" s="3">
        <f>SUM(E54:J54)</f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4">
        <v>0</v>
      </c>
      <c r="L54" s="3">
        <v>0</v>
      </c>
      <c r="M54" s="3">
        <v>367.1</v>
      </c>
      <c r="N54" s="3">
        <v>1172693.07</v>
      </c>
      <c r="O54" s="3">
        <v>0</v>
      </c>
      <c r="P54" s="3">
        <v>0</v>
      </c>
      <c r="Q54" s="3">
        <v>0</v>
      </c>
      <c r="R54" s="5">
        <v>0</v>
      </c>
      <c r="S54" s="3">
        <v>0</v>
      </c>
      <c r="T54" s="3">
        <v>0</v>
      </c>
      <c r="U54" s="3">
        <v>27009.57</v>
      </c>
      <c r="V54" s="6">
        <f>N54/M54</f>
        <v>3194.4785344592756</v>
      </c>
    </row>
    <row r="55" spans="1:22" ht="45" customHeight="1" x14ac:dyDescent="0.25">
      <c r="A55" s="74" t="s">
        <v>132</v>
      </c>
      <c r="B55" s="75"/>
      <c r="C55" s="2">
        <f>SUM(C56)</f>
        <v>1474519.93</v>
      </c>
      <c r="D55" s="2">
        <f t="shared" ref="D55:U55" si="29">SUM(D56)</f>
        <v>0</v>
      </c>
      <c r="E55" s="2">
        <f t="shared" si="29"/>
        <v>0</v>
      </c>
      <c r="F55" s="2">
        <f t="shared" si="29"/>
        <v>0</v>
      </c>
      <c r="G55" s="2">
        <f t="shared" si="29"/>
        <v>0</v>
      </c>
      <c r="H55" s="2">
        <f t="shared" si="29"/>
        <v>0</v>
      </c>
      <c r="I55" s="2">
        <f t="shared" si="29"/>
        <v>0</v>
      </c>
      <c r="J55" s="2">
        <f t="shared" si="29"/>
        <v>0</v>
      </c>
      <c r="K55" s="14">
        <f t="shared" si="29"/>
        <v>0</v>
      </c>
      <c r="L55" s="2">
        <f t="shared" si="29"/>
        <v>0</v>
      </c>
      <c r="M55" s="2">
        <f t="shared" si="29"/>
        <v>336.44</v>
      </c>
      <c r="N55" s="2">
        <f t="shared" si="29"/>
        <v>1474519.93</v>
      </c>
      <c r="O55" s="2">
        <f t="shared" si="29"/>
        <v>0</v>
      </c>
      <c r="P55" s="2">
        <f t="shared" si="29"/>
        <v>0</v>
      </c>
      <c r="Q55" s="2">
        <f t="shared" si="29"/>
        <v>0</v>
      </c>
      <c r="R55" s="2">
        <f t="shared" si="29"/>
        <v>0</v>
      </c>
      <c r="S55" s="2">
        <f t="shared" si="29"/>
        <v>0</v>
      </c>
      <c r="T55" s="2">
        <f t="shared" si="29"/>
        <v>0</v>
      </c>
      <c r="U55" s="2">
        <f t="shared" si="29"/>
        <v>0</v>
      </c>
      <c r="V55" s="18" t="e">
        <f>C55+#REF!</f>
        <v>#REF!</v>
      </c>
    </row>
    <row r="56" spans="1:22" ht="21" customHeight="1" x14ac:dyDescent="0.25">
      <c r="A56" s="37" t="s">
        <v>1607</v>
      </c>
      <c r="B56" s="8" t="s">
        <v>1395</v>
      </c>
      <c r="C56" s="2">
        <f t="shared" si="3"/>
        <v>1474519.93</v>
      </c>
      <c r="D56" s="3">
        <f>SUM(E56:J56)</f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4">
        <v>0</v>
      </c>
      <c r="L56" s="3">
        <v>0</v>
      </c>
      <c r="M56" s="3">
        <v>336.44</v>
      </c>
      <c r="N56" s="3">
        <v>1474519.93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6">
        <f>N56/M56</f>
        <v>4382.7129057187012</v>
      </c>
    </row>
    <row r="57" spans="1:22" ht="45" customHeight="1" x14ac:dyDescent="0.25">
      <c r="A57" s="56" t="s">
        <v>139</v>
      </c>
      <c r="B57" s="56"/>
      <c r="C57" s="2">
        <f t="shared" ref="C57:U57" si="30">SUM(C58:C58)</f>
        <v>642013.23</v>
      </c>
      <c r="D57" s="2">
        <f t="shared" si="30"/>
        <v>0</v>
      </c>
      <c r="E57" s="2">
        <f t="shared" si="30"/>
        <v>0</v>
      </c>
      <c r="F57" s="2">
        <f t="shared" si="30"/>
        <v>0</v>
      </c>
      <c r="G57" s="2">
        <f t="shared" si="30"/>
        <v>0</v>
      </c>
      <c r="H57" s="2">
        <f t="shared" si="30"/>
        <v>0</v>
      </c>
      <c r="I57" s="2">
        <f t="shared" si="30"/>
        <v>0</v>
      </c>
      <c r="J57" s="2">
        <f t="shared" si="30"/>
        <v>0</v>
      </c>
      <c r="K57" s="14">
        <f t="shared" si="30"/>
        <v>0</v>
      </c>
      <c r="L57" s="2">
        <f t="shared" si="30"/>
        <v>0</v>
      </c>
      <c r="M57" s="2">
        <f t="shared" si="30"/>
        <v>374.54</v>
      </c>
      <c r="N57" s="2">
        <f t="shared" si="30"/>
        <v>592997.37</v>
      </c>
      <c r="O57" s="2">
        <f t="shared" si="30"/>
        <v>0</v>
      </c>
      <c r="P57" s="2">
        <f t="shared" si="30"/>
        <v>0</v>
      </c>
      <c r="Q57" s="2">
        <f t="shared" si="30"/>
        <v>0</v>
      </c>
      <c r="R57" s="2">
        <f t="shared" si="30"/>
        <v>0</v>
      </c>
      <c r="S57" s="2">
        <f t="shared" si="30"/>
        <v>0</v>
      </c>
      <c r="T57" s="2">
        <f t="shared" si="30"/>
        <v>0</v>
      </c>
      <c r="U57" s="2">
        <f t="shared" si="30"/>
        <v>49015.86</v>
      </c>
      <c r="V57" s="18">
        <f>C57+C368</f>
        <v>5722185.7100000009</v>
      </c>
    </row>
    <row r="58" spans="1:22" ht="20.100000000000001" customHeight="1" x14ac:dyDescent="0.25">
      <c r="A58" s="37" t="s">
        <v>1608</v>
      </c>
      <c r="B58" s="8" t="s">
        <v>141</v>
      </c>
      <c r="C58" s="2">
        <f t="shared" si="3"/>
        <v>642013.23</v>
      </c>
      <c r="D58" s="3">
        <f t="shared" ref="D58" si="31">SUM(E58:J58)</f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4">
        <v>0</v>
      </c>
      <c r="L58" s="3">
        <v>0</v>
      </c>
      <c r="M58" s="3">
        <v>374.54</v>
      </c>
      <c r="N58" s="5">
        <v>592997.37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49015.86</v>
      </c>
      <c r="V58" s="6">
        <f t="shared" ref="V58" si="32">N58/M58</f>
        <v>1583.2684626475143</v>
      </c>
    </row>
    <row r="59" spans="1:22" ht="45" customHeight="1" x14ac:dyDescent="0.25">
      <c r="A59" s="56" t="s">
        <v>145</v>
      </c>
      <c r="B59" s="56"/>
      <c r="C59" s="2">
        <f>SUM(C60)</f>
        <v>4680715.3900000006</v>
      </c>
      <c r="D59" s="2">
        <f t="shared" ref="D59:U59" si="33">SUM(D60)</f>
        <v>1109206.1199999999</v>
      </c>
      <c r="E59" s="2">
        <f t="shared" si="33"/>
        <v>343775.49</v>
      </c>
      <c r="F59" s="2">
        <f t="shared" si="33"/>
        <v>579500.93999999994</v>
      </c>
      <c r="G59" s="2">
        <f t="shared" si="33"/>
        <v>111741.49</v>
      </c>
      <c r="H59" s="2">
        <f t="shared" si="33"/>
        <v>0</v>
      </c>
      <c r="I59" s="2">
        <f t="shared" si="33"/>
        <v>74188.2</v>
      </c>
      <c r="J59" s="2">
        <f t="shared" si="33"/>
        <v>0</v>
      </c>
      <c r="K59" s="14">
        <f t="shared" si="33"/>
        <v>0</v>
      </c>
      <c r="L59" s="2">
        <f t="shared" si="33"/>
        <v>0</v>
      </c>
      <c r="M59" s="2">
        <f t="shared" si="33"/>
        <v>684</v>
      </c>
      <c r="N59" s="2">
        <f t="shared" si="33"/>
        <v>3414950.45</v>
      </c>
      <c r="O59" s="2">
        <f t="shared" si="33"/>
        <v>0</v>
      </c>
      <c r="P59" s="2">
        <f t="shared" si="33"/>
        <v>0</v>
      </c>
      <c r="Q59" s="2">
        <f t="shared" si="33"/>
        <v>0</v>
      </c>
      <c r="R59" s="2">
        <f t="shared" si="33"/>
        <v>0</v>
      </c>
      <c r="S59" s="2">
        <f t="shared" si="33"/>
        <v>0</v>
      </c>
      <c r="T59" s="2">
        <f t="shared" si="33"/>
        <v>0</v>
      </c>
      <c r="U59" s="2">
        <f t="shared" si="33"/>
        <v>156558.82</v>
      </c>
      <c r="V59" s="18">
        <f>C59</f>
        <v>4680715.3900000006</v>
      </c>
    </row>
    <row r="60" spans="1:22" ht="21.95" customHeight="1" x14ac:dyDescent="0.25">
      <c r="A60" s="37" t="s">
        <v>1609</v>
      </c>
      <c r="B60" s="8" t="s">
        <v>1184</v>
      </c>
      <c r="C60" s="2">
        <f t="shared" ref="C60:C121" si="34">D60+L60+N60+P60+R60+S60+T60+U60</f>
        <v>4680715.3900000006</v>
      </c>
      <c r="D60" s="3">
        <f>SUM(E60:J60)</f>
        <v>1109206.1199999999</v>
      </c>
      <c r="E60" s="3">
        <v>343775.49</v>
      </c>
      <c r="F60" s="3">
        <v>579500.93999999994</v>
      </c>
      <c r="G60" s="3">
        <v>111741.49</v>
      </c>
      <c r="H60" s="3">
        <f>500*0</f>
        <v>0</v>
      </c>
      <c r="I60" s="3">
        <v>74188.2</v>
      </c>
      <c r="J60" s="3">
        <f>350*0</f>
        <v>0</v>
      </c>
      <c r="K60" s="4">
        <v>0</v>
      </c>
      <c r="L60" s="3">
        <v>0</v>
      </c>
      <c r="M60" s="3">
        <v>684</v>
      </c>
      <c r="N60" s="3">
        <v>3414950.45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156558.82</v>
      </c>
      <c r="V60" s="6">
        <f>N60/M60</f>
        <v>4992.6176169590644</v>
      </c>
    </row>
    <row r="61" spans="1:22" ht="45" customHeight="1" x14ac:dyDescent="0.25">
      <c r="A61" s="56" t="s">
        <v>148</v>
      </c>
      <c r="B61" s="56"/>
      <c r="C61" s="2">
        <f>SUM(C62:C63)</f>
        <v>4603498.0599999996</v>
      </c>
      <c r="D61" s="2">
        <f t="shared" ref="D61:U61" si="35">SUM(D62:D63)</f>
        <v>0</v>
      </c>
      <c r="E61" s="2">
        <f t="shared" si="35"/>
        <v>0</v>
      </c>
      <c r="F61" s="2">
        <f t="shared" si="35"/>
        <v>0</v>
      </c>
      <c r="G61" s="2">
        <f t="shared" si="35"/>
        <v>0</v>
      </c>
      <c r="H61" s="2">
        <f t="shared" si="35"/>
        <v>0</v>
      </c>
      <c r="I61" s="2">
        <f t="shared" si="35"/>
        <v>0</v>
      </c>
      <c r="J61" s="2">
        <f t="shared" si="35"/>
        <v>0</v>
      </c>
      <c r="K61" s="14">
        <f t="shared" si="35"/>
        <v>0</v>
      </c>
      <c r="L61" s="2">
        <f t="shared" si="35"/>
        <v>0</v>
      </c>
      <c r="M61" s="2">
        <f t="shared" si="35"/>
        <v>1228.1500000000001</v>
      </c>
      <c r="N61" s="2">
        <f t="shared" si="35"/>
        <v>4458689.3599999994</v>
      </c>
      <c r="O61" s="2">
        <f t="shared" si="35"/>
        <v>0</v>
      </c>
      <c r="P61" s="2">
        <f t="shared" si="35"/>
        <v>0</v>
      </c>
      <c r="Q61" s="2">
        <f t="shared" si="35"/>
        <v>0</v>
      </c>
      <c r="R61" s="2">
        <f t="shared" si="35"/>
        <v>0</v>
      </c>
      <c r="S61" s="2">
        <f t="shared" si="35"/>
        <v>0</v>
      </c>
      <c r="T61" s="2">
        <f t="shared" si="35"/>
        <v>0</v>
      </c>
      <c r="U61" s="2">
        <f t="shared" si="35"/>
        <v>144808.70000000001</v>
      </c>
      <c r="V61" s="18">
        <f>C61+C376+C868</f>
        <v>33619848.060000002</v>
      </c>
    </row>
    <row r="62" spans="1:22" ht="21.95" customHeight="1" x14ac:dyDescent="0.25">
      <c r="A62" s="37" t="s">
        <v>1610</v>
      </c>
      <c r="B62" s="8" t="s">
        <v>153</v>
      </c>
      <c r="C62" s="2">
        <f t="shared" si="34"/>
        <v>3593361.92</v>
      </c>
      <c r="D62" s="3">
        <f t="shared" ref="D62:D63" si="36">SUM(E62:J62)</f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4">
        <v>0</v>
      </c>
      <c r="L62" s="3">
        <v>0</v>
      </c>
      <c r="M62" s="3">
        <v>833.65</v>
      </c>
      <c r="N62" s="3">
        <v>3472004.82</v>
      </c>
      <c r="O62" s="3">
        <v>0</v>
      </c>
      <c r="P62" s="3">
        <v>0</v>
      </c>
      <c r="Q62" s="3">
        <v>0</v>
      </c>
      <c r="R62" s="5">
        <v>0</v>
      </c>
      <c r="S62" s="3">
        <v>0</v>
      </c>
      <c r="T62" s="3">
        <v>0</v>
      </c>
      <c r="U62" s="3">
        <v>121357.1</v>
      </c>
      <c r="V62" s="6">
        <f t="shared" ref="V62:V63" si="37">N62/M62</f>
        <v>4164.8231512025432</v>
      </c>
    </row>
    <row r="63" spans="1:22" ht="21.95" customHeight="1" x14ac:dyDescent="0.25">
      <c r="A63" s="37" t="s">
        <v>1611</v>
      </c>
      <c r="B63" s="8" t="s">
        <v>157</v>
      </c>
      <c r="C63" s="2">
        <f t="shared" si="34"/>
        <v>1010136.14</v>
      </c>
      <c r="D63" s="3">
        <f t="shared" si="36"/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4">
        <v>0</v>
      </c>
      <c r="L63" s="3">
        <v>0</v>
      </c>
      <c r="M63" s="3">
        <v>394.5</v>
      </c>
      <c r="N63" s="3">
        <v>986684.54</v>
      </c>
      <c r="O63" s="3">
        <v>0</v>
      </c>
      <c r="P63" s="3">
        <v>0</v>
      </c>
      <c r="Q63" s="3">
        <v>0</v>
      </c>
      <c r="R63" s="5">
        <v>0</v>
      </c>
      <c r="S63" s="3">
        <v>0</v>
      </c>
      <c r="T63" s="3">
        <v>0</v>
      </c>
      <c r="U63" s="3">
        <v>23451.599999999999</v>
      </c>
      <c r="V63" s="6">
        <f t="shared" si="37"/>
        <v>2501.1014955640053</v>
      </c>
    </row>
    <row r="64" spans="1:22" ht="45" customHeight="1" x14ac:dyDescent="0.25">
      <c r="A64" s="56" t="s">
        <v>1561</v>
      </c>
      <c r="B64" s="56"/>
      <c r="C64" s="2">
        <f>SUM(C65)</f>
        <v>1038347.45</v>
      </c>
      <c r="D64" s="2">
        <f t="shared" ref="D64:U64" si="38">SUM(D65)</f>
        <v>0</v>
      </c>
      <c r="E64" s="2">
        <f t="shared" si="38"/>
        <v>0</v>
      </c>
      <c r="F64" s="2">
        <f t="shared" si="38"/>
        <v>0</v>
      </c>
      <c r="G64" s="2">
        <f t="shared" si="38"/>
        <v>0</v>
      </c>
      <c r="H64" s="2">
        <f t="shared" si="38"/>
        <v>0</v>
      </c>
      <c r="I64" s="2">
        <f t="shared" si="38"/>
        <v>0</v>
      </c>
      <c r="J64" s="2">
        <f t="shared" si="38"/>
        <v>0</v>
      </c>
      <c r="K64" s="14">
        <f t="shared" si="38"/>
        <v>0</v>
      </c>
      <c r="L64" s="2">
        <f t="shared" si="38"/>
        <v>0</v>
      </c>
      <c r="M64" s="2">
        <f t="shared" si="38"/>
        <v>297</v>
      </c>
      <c r="N64" s="2">
        <f t="shared" si="38"/>
        <v>989234.72</v>
      </c>
      <c r="O64" s="2">
        <f t="shared" si="38"/>
        <v>0</v>
      </c>
      <c r="P64" s="2">
        <f t="shared" si="38"/>
        <v>0</v>
      </c>
      <c r="Q64" s="2">
        <f t="shared" si="38"/>
        <v>0</v>
      </c>
      <c r="R64" s="2">
        <f t="shared" si="38"/>
        <v>0</v>
      </c>
      <c r="S64" s="2">
        <f t="shared" si="38"/>
        <v>0</v>
      </c>
      <c r="T64" s="2">
        <f t="shared" si="38"/>
        <v>0</v>
      </c>
      <c r="U64" s="2">
        <f t="shared" si="38"/>
        <v>49112.73</v>
      </c>
      <c r="V64" s="18">
        <f>C64+C383+C873</f>
        <v>3668887.45</v>
      </c>
    </row>
    <row r="65" spans="1:22" ht="21.95" customHeight="1" x14ac:dyDescent="0.25">
      <c r="A65" s="37" t="s">
        <v>1612</v>
      </c>
      <c r="B65" s="8" t="s">
        <v>158</v>
      </c>
      <c r="C65" s="2">
        <f t="shared" si="34"/>
        <v>1038347.45</v>
      </c>
      <c r="D65" s="3">
        <f>SUM(E65:J65)</f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4">
        <v>0</v>
      </c>
      <c r="L65" s="3">
        <v>0</v>
      </c>
      <c r="M65" s="3">
        <v>297</v>
      </c>
      <c r="N65" s="3">
        <v>989234.72</v>
      </c>
      <c r="O65" s="3">
        <v>0</v>
      </c>
      <c r="P65" s="3">
        <v>0</v>
      </c>
      <c r="Q65" s="3">
        <v>0</v>
      </c>
      <c r="R65" s="5">
        <v>0</v>
      </c>
      <c r="S65" s="3">
        <v>0</v>
      </c>
      <c r="T65" s="3">
        <v>0</v>
      </c>
      <c r="U65" s="3">
        <v>49112.73</v>
      </c>
      <c r="V65" s="6">
        <f>N65/M65</f>
        <v>3330.756632996633</v>
      </c>
    </row>
    <row r="66" spans="1:22" ht="45" customHeight="1" x14ac:dyDescent="0.25">
      <c r="A66" s="56" t="s">
        <v>161</v>
      </c>
      <c r="B66" s="56"/>
      <c r="C66" s="2">
        <f>SUM(C67)</f>
        <v>2269053.58</v>
      </c>
      <c r="D66" s="2">
        <f t="shared" ref="D66:U66" si="39">SUM(D67)</f>
        <v>0</v>
      </c>
      <c r="E66" s="2">
        <f t="shared" si="39"/>
        <v>0</v>
      </c>
      <c r="F66" s="2">
        <f t="shared" si="39"/>
        <v>0</v>
      </c>
      <c r="G66" s="2">
        <f t="shared" si="39"/>
        <v>0</v>
      </c>
      <c r="H66" s="2">
        <f t="shared" si="39"/>
        <v>0</v>
      </c>
      <c r="I66" s="2">
        <f t="shared" si="39"/>
        <v>0</v>
      </c>
      <c r="J66" s="2">
        <f t="shared" si="39"/>
        <v>0</v>
      </c>
      <c r="K66" s="14">
        <f t="shared" si="39"/>
        <v>0</v>
      </c>
      <c r="L66" s="2">
        <f t="shared" si="39"/>
        <v>0</v>
      </c>
      <c r="M66" s="2">
        <f t="shared" si="39"/>
        <v>710</v>
      </c>
      <c r="N66" s="2">
        <f t="shared" si="39"/>
        <v>2234087.79</v>
      </c>
      <c r="O66" s="2">
        <f t="shared" si="39"/>
        <v>0</v>
      </c>
      <c r="P66" s="2">
        <f t="shared" si="39"/>
        <v>0</v>
      </c>
      <c r="Q66" s="2">
        <f t="shared" si="39"/>
        <v>0</v>
      </c>
      <c r="R66" s="2">
        <f t="shared" si="39"/>
        <v>0</v>
      </c>
      <c r="S66" s="2">
        <f t="shared" si="39"/>
        <v>0</v>
      </c>
      <c r="T66" s="2">
        <f t="shared" si="39"/>
        <v>0</v>
      </c>
      <c r="U66" s="2">
        <f t="shared" si="39"/>
        <v>34965.79</v>
      </c>
      <c r="V66" s="18">
        <f>C66</f>
        <v>2269053.58</v>
      </c>
    </row>
    <row r="67" spans="1:22" ht="21.95" customHeight="1" x14ac:dyDescent="0.25">
      <c r="A67" s="37" t="s">
        <v>1613</v>
      </c>
      <c r="B67" s="8" t="s">
        <v>162</v>
      </c>
      <c r="C67" s="2">
        <f t="shared" si="34"/>
        <v>2269053.58</v>
      </c>
      <c r="D67" s="3">
        <f>SUM(E67:J67)</f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4">
        <v>0</v>
      </c>
      <c r="L67" s="3">
        <v>0</v>
      </c>
      <c r="M67" s="3">
        <v>710</v>
      </c>
      <c r="N67" s="3">
        <v>2234087.79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34965.79</v>
      </c>
      <c r="V67" s="6">
        <f>N67/M67</f>
        <v>3146.6025211267606</v>
      </c>
    </row>
    <row r="68" spans="1:22" ht="45" customHeight="1" x14ac:dyDescent="0.25">
      <c r="A68" s="56" t="s">
        <v>163</v>
      </c>
      <c r="B68" s="56"/>
      <c r="C68" s="2">
        <f>SUM(C69:C85)</f>
        <v>94628257.640000015</v>
      </c>
      <c r="D68" s="2">
        <f t="shared" ref="D68:U68" si="40">SUM(D70:D85)</f>
        <v>23558992.600000001</v>
      </c>
      <c r="E68" s="2">
        <f t="shared" si="40"/>
        <v>3114461.6900000004</v>
      </c>
      <c r="F68" s="2">
        <f t="shared" si="40"/>
        <v>12001018.830000002</v>
      </c>
      <c r="G68" s="2">
        <f t="shared" si="40"/>
        <v>1803595.94</v>
      </c>
      <c r="H68" s="2">
        <f t="shared" si="40"/>
        <v>4526478.5600000005</v>
      </c>
      <c r="I68" s="2">
        <f t="shared" si="40"/>
        <v>2113437.58</v>
      </c>
      <c r="J68" s="2">
        <f t="shared" si="40"/>
        <v>0</v>
      </c>
      <c r="K68" s="14">
        <f t="shared" si="40"/>
        <v>0</v>
      </c>
      <c r="L68" s="2">
        <f t="shared" si="40"/>
        <v>0</v>
      </c>
      <c r="M68" s="2">
        <f t="shared" si="40"/>
        <v>7767.29</v>
      </c>
      <c r="N68" s="2">
        <f t="shared" si="40"/>
        <v>27044728.239999998</v>
      </c>
      <c r="O68" s="2">
        <f t="shared" si="40"/>
        <v>0</v>
      </c>
      <c r="P68" s="2">
        <f t="shared" si="40"/>
        <v>0</v>
      </c>
      <c r="Q68" s="2">
        <f t="shared" si="40"/>
        <v>12887.32</v>
      </c>
      <c r="R68" s="2">
        <f t="shared" si="40"/>
        <v>26359769.379999999</v>
      </c>
      <c r="S68" s="2">
        <f t="shared" si="40"/>
        <v>0</v>
      </c>
      <c r="T68" s="2">
        <f t="shared" si="40"/>
        <v>0</v>
      </c>
      <c r="U68" s="2">
        <f t="shared" si="40"/>
        <v>2357825.8699999996</v>
      </c>
      <c r="V68" s="18">
        <f>C68+C385+C875</f>
        <v>342927889.84000003</v>
      </c>
    </row>
    <row r="69" spans="1:22" ht="21.95" customHeight="1" x14ac:dyDescent="0.25">
      <c r="A69" s="37" t="s">
        <v>1683</v>
      </c>
      <c r="B69" s="21" t="s">
        <v>165</v>
      </c>
      <c r="C69" s="2">
        <f>D69+L69+N69+P69+R69+S69+T69+U69</f>
        <v>15306941.550000001</v>
      </c>
      <c r="D69" s="3">
        <f>SUM(E69:J69)</f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4">
        <v>0</v>
      </c>
      <c r="L69" s="3">
        <v>0</v>
      </c>
      <c r="M69" s="3">
        <v>1739.49</v>
      </c>
      <c r="N69" s="3">
        <v>4959902.4000000004</v>
      </c>
      <c r="O69" s="3">
        <v>0</v>
      </c>
      <c r="P69" s="3">
        <v>0</v>
      </c>
      <c r="Q69" s="5">
        <v>3485</v>
      </c>
      <c r="R69" s="3">
        <v>10155964.800000001</v>
      </c>
      <c r="S69" s="3">
        <v>0</v>
      </c>
      <c r="T69" s="3">
        <v>0</v>
      </c>
      <c r="U69" s="3">
        <v>191074.35</v>
      </c>
      <c r="V69" s="6">
        <f>N69/M69</f>
        <v>2851.3543624855565</v>
      </c>
    </row>
    <row r="70" spans="1:22" ht="21.95" customHeight="1" x14ac:dyDescent="0.25">
      <c r="A70" s="37" t="s">
        <v>1684</v>
      </c>
      <c r="B70" s="21" t="s">
        <v>166</v>
      </c>
      <c r="C70" s="2">
        <f t="shared" si="34"/>
        <v>16536342.01</v>
      </c>
      <c r="D70" s="3">
        <f t="shared" ref="D70:D85" si="41">SUM(E70:J70)</f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4">
        <v>0</v>
      </c>
      <c r="L70" s="3">
        <v>0</v>
      </c>
      <c r="M70" s="3">
        <v>1338.87</v>
      </c>
      <c r="N70" s="3">
        <v>3764455.14</v>
      </c>
      <c r="O70" s="3">
        <v>0</v>
      </c>
      <c r="P70" s="3">
        <v>0</v>
      </c>
      <c r="Q70" s="5">
        <v>6041.48</v>
      </c>
      <c r="R70" s="3">
        <v>12572886.859999999</v>
      </c>
      <c r="S70" s="3">
        <v>0</v>
      </c>
      <c r="T70" s="3">
        <v>0</v>
      </c>
      <c r="U70" s="3">
        <v>199000.01</v>
      </c>
      <c r="V70" s="6">
        <f t="shared" ref="V70:V85" si="42">N70/M70</f>
        <v>2811.6659122991782</v>
      </c>
    </row>
    <row r="71" spans="1:22" ht="21.95" customHeight="1" x14ac:dyDescent="0.25">
      <c r="A71" s="37" t="s">
        <v>1685</v>
      </c>
      <c r="B71" s="21" t="s">
        <v>169</v>
      </c>
      <c r="C71" s="2">
        <f>D71+L71+N71+P71+R71+S71+T71+U71</f>
        <v>12696722.070000002</v>
      </c>
      <c r="D71" s="3">
        <f>SUM(E71:J71)</f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4">
        <v>0</v>
      </c>
      <c r="L71" s="3">
        <v>0</v>
      </c>
      <c r="M71" s="3">
        <v>1580.96</v>
      </c>
      <c r="N71" s="3">
        <v>4992225.04</v>
      </c>
      <c r="O71" s="3">
        <v>0</v>
      </c>
      <c r="P71" s="3">
        <v>0</v>
      </c>
      <c r="Q71" s="5">
        <v>3570.84</v>
      </c>
      <c r="R71" s="3">
        <v>7518300.4000000004</v>
      </c>
      <c r="S71" s="3">
        <v>0</v>
      </c>
      <c r="T71" s="3">
        <v>0</v>
      </c>
      <c r="U71" s="3">
        <v>186196.63</v>
      </c>
      <c r="V71" s="6">
        <f>N71/M71</f>
        <v>3157.7174881084911</v>
      </c>
    </row>
    <row r="72" spans="1:22" ht="21.95" customHeight="1" x14ac:dyDescent="0.25">
      <c r="A72" s="37" t="s">
        <v>1686</v>
      </c>
      <c r="B72" s="21" t="s">
        <v>170</v>
      </c>
      <c r="C72" s="2">
        <f>D72+L72+N72+P72+R72+S72+T72+U72</f>
        <v>15553270.66</v>
      </c>
      <c r="D72" s="3">
        <f>SUM(E72:J72)</f>
        <v>10651150.620000001</v>
      </c>
      <c r="E72" s="3">
        <v>2086057.91</v>
      </c>
      <c r="F72" s="3">
        <v>5166607.25</v>
      </c>
      <c r="G72" s="3">
        <v>705614.98</v>
      </c>
      <c r="H72" s="3">
        <v>1961688.56</v>
      </c>
      <c r="I72" s="3">
        <v>731181.92</v>
      </c>
      <c r="J72" s="3">
        <f t="shared" ref="J72" si="43">350*0</f>
        <v>0</v>
      </c>
      <c r="K72" s="4">
        <v>0</v>
      </c>
      <c r="L72" s="3">
        <v>0</v>
      </c>
      <c r="M72" s="3">
        <v>1476.41</v>
      </c>
      <c r="N72" s="3">
        <v>4704120.04</v>
      </c>
      <c r="O72" s="3">
        <v>0</v>
      </c>
      <c r="P72" s="3">
        <v>0</v>
      </c>
      <c r="Q72" s="5">
        <v>0</v>
      </c>
      <c r="R72" s="3">
        <v>0</v>
      </c>
      <c r="S72" s="3">
        <v>0</v>
      </c>
      <c r="T72" s="3">
        <v>0</v>
      </c>
      <c r="U72" s="3">
        <v>198000</v>
      </c>
      <c r="V72" s="6">
        <f>N72/M72</f>
        <v>3186.1881455693201</v>
      </c>
    </row>
    <row r="73" spans="1:22" ht="21.95" customHeight="1" x14ac:dyDescent="0.25">
      <c r="A73" s="37" t="s">
        <v>1687</v>
      </c>
      <c r="B73" s="21" t="s">
        <v>167</v>
      </c>
      <c r="C73" s="2">
        <f t="shared" si="34"/>
        <v>3384995.6</v>
      </c>
      <c r="D73" s="3">
        <f t="shared" si="41"/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4">
        <v>0</v>
      </c>
      <c r="L73" s="3">
        <v>0</v>
      </c>
      <c r="M73" s="3">
        <v>1032.0999999999999</v>
      </c>
      <c r="N73" s="3">
        <v>3289346.4</v>
      </c>
      <c r="O73" s="3">
        <v>0</v>
      </c>
      <c r="P73" s="3">
        <v>0</v>
      </c>
      <c r="Q73" s="5">
        <v>0</v>
      </c>
      <c r="R73" s="3">
        <v>0</v>
      </c>
      <c r="S73" s="3">
        <v>0</v>
      </c>
      <c r="T73" s="3">
        <v>0</v>
      </c>
      <c r="U73" s="3">
        <v>95649.2</v>
      </c>
      <c r="V73" s="6">
        <f t="shared" si="42"/>
        <v>3187.0423408584443</v>
      </c>
    </row>
    <row r="74" spans="1:22" ht="21.95" customHeight="1" x14ac:dyDescent="0.25">
      <c r="A74" s="37" t="s">
        <v>1688</v>
      </c>
      <c r="B74" s="21" t="s">
        <v>168</v>
      </c>
      <c r="C74" s="2">
        <f t="shared" si="34"/>
        <v>9965702</v>
      </c>
      <c r="D74" s="3">
        <f t="shared" si="41"/>
        <v>9765702</v>
      </c>
      <c r="E74" s="3">
        <v>0</v>
      </c>
      <c r="F74" s="3">
        <v>5235004.8</v>
      </c>
      <c r="G74" s="3">
        <v>919459.2</v>
      </c>
      <c r="H74" s="3">
        <v>2564790</v>
      </c>
      <c r="I74" s="3">
        <v>1046448</v>
      </c>
      <c r="J74" s="3">
        <f t="shared" ref="J74" si="44">350*0</f>
        <v>0</v>
      </c>
      <c r="K74" s="4">
        <v>0</v>
      </c>
      <c r="L74" s="3">
        <v>0</v>
      </c>
      <c r="M74" s="3">
        <v>0</v>
      </c>
      <c r="N74" s="3">
        <f t="shared" ref="N74" si="45">M74*3300</f>
        <v>0</v>
      </c>
      <c r="O74" s="3">
        <v>0</v>
      </c>
      <c r="P74" s="3">
        <v>0</v>
      </c>
      <c r="Q74" s="5">
        <v>0</v>
      </c>
      <c r="R74" s="3">
        <f>Q74*2605</f>
        <v>0</v>
      </c>
      <c r="S74" s="3">
        <v>0</v>
      </c>
      <c r="T74" s="3">
        <v>0</v>
      </c>
      <c r="U74" s="3">
        <v>200000</v>
      </c>
      <c r="V74" s="6" t="e">
        <f t="shared" si="42"/>
        <v>#DIV/0!</v>
      </c>
    </row>
    <row r="75" spans="1:22" ht="21.95" customHeight="1" x14ac:dyDescent="0.25">
      <c r="A75" s="37" t="s">
        <v>1689</v>
      </c>
      <c r="B75" s="1" t="s">
        <v>171</v>
      </c>
      <c r="C75" s="2">
        <f t="shared" si="34"/>
        <v>2190763.4900000002</v>
      </c>
      <c r="D75" s="3">
        <f t="shared" si="41"/>
        <v>246557.52</v>
      </c>
      <c r="E75" s="3">
        <v>113918.51</v>
      </c>
      <c r="F75" s="3">
        <v>103701.71</v>
      </c>
      <c r="G75" s="3">
        <v>18613.580000000002</v>
      </c>
      <c r="H75" s="3">
        <v>0</v>
      </c>
      <c r="I75" s="3">
        <v>10323.719999999999</v>
      </c>
      <c r="J75" s="3">
        <f t="shared" ref="J75:J76" si="46">350*0</f>
        <v>0</v>
      </c>
      <c r="K75" s="4">
        <v>0</v>
      </c>
      <c r="L75" s="3">
        <v>0</v>
      </c>
      <c r="M75" s="3">
        <v>268</v>
      </c>
      <c r="N75" s="3">
        <v>1108047.6000000001</v>
      </c>
      <c r="O75" s="3">
        <v>0</v>
      </c>
      <c r="P75" s="3">
        <v>0</v>
      </c>
      <c r="Q75" s="5">
        <v>520</v>
      </c>
      <c r="R75" s="3">
        <v>651824.71</v>
      </c>
      <c r="S75" s="3">
        <f>S932</f>
        <v>0</v>
      </c>
      <c r="T75" s="3">
        <v>0</v>
      </c>
      <c r="U75" s="3">
        <v>184333.66</v>
      </c>
      <c r="V75" s="6">
        <f t="shared" si="42"/>
        <v>4134.5059701492537</v>
      </c>
    </row>
    <row r="76" spans="1:22" ht="21.95" customHeight="1" x14ac:dyDescent="0.25">
      <c r="A76" s="37" t="s">
        <v>1690</v>
      </c>
      <c r="B76" s="1" t="s">
        <v>172</v>
      </c>
      <c r="C76" s="2">
        <f t="shared" si="34"/>
        <v>2306617.94</v>
      </c>
      <c r="D76" s="3">
        <f t="shared" si="41"/>
        <v>254595.78999999998</v>
      </c>
      <c r="E76" s="3">
        <v>188278.99</v>
      </c>
      <c r="F76" s="3">
        <f>800*0</f>
        <v>0</v>
      </c>
      <c r="G76" s="3">
        <v>17206.8</v>
      </c>
      <c r="H76" s="3">
        <f>500*0</f>
        <v>0</v>
      </c>
      <c r="I76" s="3">
        <v>49110</v>
      </c>
      <c r="J76" s="3">
        <f t="shared" si="46"/>
        <v>0</v>
      </c>
      <c r="K76" s="4">
        <v>0</v>
      </c>
      <c r="L76" s="3">
        <v>0</v>
      </c>
      <c r="M76" s="3">
        <v>276.5</v>
      </c>
      <c r="N76" s="3">
        <v>1059726</v>
      </c>
      <c r="O76" s="3">
        <v>0</v>
      </c>
      <c r="P76" s="3">
        <v>0</v>
      </c>
      <c r="Q76" s="3">
        <v>450</v>
      </c>
      <c r="R76" s="3">
        <v>827373.6</v>
      </c>
      <c r="S76" s="3">
        <f>S962</f>
        <v>0</v>
      </c>
      <c r="T76" s="3">
        <v>0</v>
      </c>
      <c r="U76" s="3">
        <v>164922.54999999999</v>
      </c>
      <c r="V76" s="6">
        <f t="shared" si="42"/>
        <v>3832.6437613019893</v>
      </c>
    </row>
    <row r="77" spans="1:22" ht="26.25" customHeight="1" x14ac:dyDescent="0.25">
      <c r="A77" s="37" t="s">
        <v>1691</v>
      </c>
      <c r="B77" s="1" t="s">
        <v>836</v>
      </c>
      <c r="C77" s="2">
        <f t="shared" si="34"/>
        <v>58827.5</v>
      </c>
      <c r="D77" s="3">
        <f t="shared" si="41"/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4">
        <v>0</v>
      </c>
      <c r="L77" s="3">
        <v>0</v>
      </c>
      <c r="M77" s="3">
        <v>0</v>
      </c>
      <c r="N77" s="3">
        <f t="shared" ref="N77:N84" si="47">M77*5300</f>
        <v>0</v>
      </c>
      <c r="O77" s="3">
        <v>0</v>
      </c>
      <c r="P77" s="3">
        <f>O77*410</f>
        <v>0</v>
      </c>
      <c r="Q77" s="3">
        <v>0</v>
      </c>
      <c r="R77" s="3">
        <f t="shared" ref="R77:R84" si="48">Q77*2605</f>
        <v>0</v>
      </c>
      <c r="S77" s="3">
        <v>0</v>
      </c>
      <c r="T77" s="3">
        <v>0</v>
      </c>
      <c r="U77" s="3">
        <v>58827.5</v>
      </c>
      <c r="V77" s="6" t="e">
        <f t="shared" si="42"/>
        <v>#DIV/0!</v>
      </c>
    </row>
    <row r="78" spans="1:22" ht="21.95" customHeight="1" x14ac:dyDescent="0.25">
      <c r="A78" s="37" t="s">
        <v>1692</v>
      </c>
      <c r="B78" s="1" t="s">
        <v>173</v>
      </c>
      <c r="C78" s="2">
        <f t="shared" si="34"/>
        <v>5261291.6399999997</v>
      </c>
      <c r="D78" s="3">
        <f t="shared" si="41"/>
        <v>765959.44</v>
      </c>
      <c r="E78" s="3">
        <v>182430.47</v>
      </c>
      <c r="F78" s="3">
        <v>411937.81</v>
      </c>
      <c r="G78" s="3">
        <v>70034.98</v>
      </c>
      <c r="H78" s="3">
        <f>500*0</f>
        <v>0</v>
      </c>
      <c r="I78" s="3">
        <v>101556.18</v>
      </c>
      <c r="J78" s="3">
        <f t="shared" ref="J78:J79" si="49">350*0</f>
        <v>0</v>
      </c>
      <c r="K78" s="4">
        <v>0</v>
      </c>
      <c r="L78" s="3">
        <v>0</v>
      </c>
      <c r="M78" s="3">
        <v>595</v>
      </c>
      <c r="N78" s="3">
        <v>2692274.11</v>
      </c>
      <c r="O78" s="3">
        <v>0</v>
      </c>
      <c r="P78" s="3">
        <v>0</v>
      </c>
      <c r="Q78" s="3">
        <v>761</v>
      </c>
      <c r="R78" s="3">
        <v>1605058.09</v>
      </c>
      <c r="S78" s="3">
        <f>S963</f>
        <v>0</v>
      </c>
      <c r="T78" s="3">
        <v>0</v>
      </c>
      <c r="U78" s="3">
        <v>198000</v>
      </c>
      <c r="V78" s="6">
        <f t="shared" si="42"/>
        <v>4524.8304369747893</v>
      </c>
    </row>
    <row r="79" spans="1:22" ht="21.95" customHeight="1" x14ac:dyDescent="0.25">
      <c r="A79" s="37" t="s">
        <v>1693</v>
      </c>
      <c r="B79" s="1" t="s">
        <v>174</v>
      </c>
      <c r="C79" s="2">
        <f t="shared" si="34"/>
        <v>7324935.5599999996</v>
      </c>
      <c r="D79" s="3">
        <f t="shared" si="41"/>
        <v>1668226.43</v>
      </c>
      <c r="E79" s="3">
        <v>336975.01</v>
      </c>
      <c r="F79" s="3">
        <v>1083767.26</v>
      </c>
      <c r="G79" s="3">
        <v>72666.399999999994</v>
      </c>
      <c r="H79" s="3">
        <f>500*0</f>
        <v>0</v>
      </c>
      <c r="I79" s="3">
        <v>174817.76</v>
      </c>
      <c r="J79" s="3">
        <f t="shared" si="49"/>
        <v>0</v>
      </c>
      <c r="K79" s="4">
        <v>0</v>
      </c>
      <c r="L79" s="3">
        <v>0</v>
      </c>
      <c r="M79" s="3">
        <v>820</v>
      </c>
      <c r="N79" s="3">
        <v>3423448.91</v>
      </c>
      <c r="O79" s="3">
        <v>0</v>
      </c>
      <c r="P79" s="3">
        <f>O79*410</f>
        <v>0</v>
      </c>
      <c r="Q79" s="3">
        <v>1040</v>
      </c>
      <c r="R79" s="3">
        <v>2035260.22</v>
      </c>
      <c r="S79" s="3">
        <f>S964</f>
        <v>0</v>
      </c>
      <c r="T79" s="3">
        <v>0</v>
      </c>
      <c r="U79" s="3">
        <v>198000</v>
      </c>
      <c r="V79" s="6">
        <f t="shared" si="42"/>
        <v>4174.937695121951</v>
      </c>
    </row>
    <row r="80" spans="1:22" ht="21.95" customHeight="1" x14ac:dyDescent="0.25">
      <c r="A80" s="37" t="s">
        <v>1694</v>
      </c>
      <c r="B80" s="1" t="s">
        <v>175</v>
      </c>
      <c r="C80" s="2">
        <f t="shared" si="34"/>
        <v>124764.64</v>
      </c>
      <c r="D80" s="3">
        <f t="shared" si="41"/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4">
        <v>0</v>
      </c>
      <c r="L80" s="3">
        <v>0</v>
      </c>
      <c r="M80" s="3">
        <v>0</v>
      </c>
      <c r="N80" s="3">
        <v>0</v>
      </c>
      <c r="O80" s="3">
        <v>0</v>
      </c>
      <c r="P80" s="3">
        <f>O80*410</f>
        <v>0</v>
      </c>
      <c r="Q80" s="3">
        <v>0</v>
      </c>
      <c r="R80" s="3">
        <f t="shared" si="48"/>
        <v>0</v>
      </c>
      <c r="S80" s="3">
        <v>0</v>
      </c>
      <c r="T80" s="3">
        <v>0</v>
      </c>
      <c r="U80" s="3">
        <v>124764.64</v>
      </c>
      <c r="V80" s="6" t="e">
        <f t="shared" si="42"/>
        <v>#DIV/0!</v>
      </c>
    </row>
    <row r="81" spans="1:22" ht="21.95" customHeight="1" x14ac:dyDescent="0.25">
      <c r="A81" s="37" t="s">
        <v>1695</v>
      </c>
      <c r="B81" s="1" t="s">
        <v>176</v>
      </c>
      <c r="C81" s="2">
        <f t="shared" si="34"/>
        <v>3505682.2199999997</v>
      </c>
      <c r="D81" s="3">
        <f t="shared" si="41"/>
        <v>206800.8</v>
      </c>
      <c r="E81" s="3">
        <v>206800.8</v>
      </c>
      <c r="F81" s="3">
        <v>0</v>
      </c>
      <c r="G81" s="3">
        <v>0</v>
      </c>
      <c r="H81" s="3">
        <f>500*0</f>
        <v>0</v>
      </c>
      <c r="I81" s="3">
        <v>0</v>
      </c>
      <c r="J81" s="3">
        <f t="shared" ref="J81:J82" si="50">350*0</f>
        <v>0</v>
      </c>
      <c r="K81" s="4">
        <v>0</v>
      </c>
      <c r="L81" s="3">
        <v>0</v>
      </c>
      <c r="M81" s="3">
        <v>379.45</v>
      </c>
      <c r="N81" s="3">
        <f t="shared" si="47"/>
        <v>2011085</v>
      </c>
      <c r="O81" s="3">
        <v>0</v>
      </c>
      <c r="P81" s="3">
        <v>0</v>
      </c>
      <c r="Q81" s="3">
        <v>504</v>
      </c>
      <c r="R81" s="3">
        <v>1149065.5</v>
      </c>
      <c r="S81" s="3">
        <v>0</v>
      </c>
      <c r="T81" s="3">
        <v>0</v>
      </c>
      <c r="U81" s="3">
        <v>138730.92000000001</v>
      </c>
      <c r="V81" s="6">
        <f t="shared" si="42"/>
        <v>5300</v>
      </c>
    </row>
    <row r="82" spans="1:22" ht="21.95" customHeight="1" x14ac:dyDescent="0.25">
      <c r="A82" s="37" t="s">
        <v>1696</v>
      </c>
      <c r="B82" s="1" t="s">
        <v>177</v>
      </c>
      <c r="C82" s="2">
        <f t="shared" si="34"/>
        <v>140954.04</v>
      </c>
      <c r="D82" s="3">
        <f t="shared" si="41"/>
        <v>0</v>
      </c>
      <c r="E82" s="3">
        <v>0</v>
      </c>
      <c r="F82" s="3">
        <v>0</v>
      </c>
      <c r="G82" s="3">
        <v>0</v>
      </c>
      <c r="H82" s="3">
        <f>500*0</f>
        <v>0</v>
      </c>
      <c r="I82" s="3">
        <v>0</v>
      </c>
      <c r="J82" s="3">
        <f t="shared" si="50"/>
        <v>0</v>
      </c>
      <c r="K82" s="4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f>S920</f>
        <v>0</v>
      </c>
      <c r="T82" s="3">
        <v>0</v>
      </c>
      <c r="U82" s="3">
        <v>140954.04</v>
      </c>
      <c r="V82" s="6" t="e">
        <f t="shared" si="42"/>
        <v>#DIV/0!</v>
      </c>
    </row>
    <row r="83" spans="1:22" ht="21.95" customHeight="1" x14ac:dyDescent="0.25">
      <c r="A83" s="37" t="s">
        <v>1697</v>
      </c>
      <c r="B83" s="21" t="s">
        <v>178</v>
      </c>
      <c r="C83" s="2">
        <f t="shared" si="34"/>
        <v>52206.080000000002</v>
      </c>
      <c r="D83" s="3">
        <f t="shared" si="41"/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4">
        <v>0</v>
      </c>
      <c r="L83" s="3">
        <v>0</v>
      </c>
      <c r="M83" s="3">
        <v>0</v>
      </c>
      <c r="N83" s="3">
        <f t="shared" si="47"/>
        <v>0</v>
      </c>
      <c r="O83" s="3">
        <v>0</v>
      </c>
      <c r="P83" s="3">
        <v>0</v>
      </c>
      <c r="Q83" s="3">
        <v>0</v>
      </c>
      <c r="R83" s="3">
        <f t="shared" si="48"/>
        <v>0</v>
      </c>
      <c r="S83" s="3">
        <f>S921</f>
        <v>0</v>
      </c>
      <c r="T83" s="3">
        <v>0</v>
      </c>
      <c r="U83" s="3">
        <v>52206.080000000002</v>
      </c>
      <c r="V83" s="6" t="e">
        <f t="shared" si="42"/>
        <v>#DIV/0!</v>
      </c>
    </row>
    <row r="84" spans="1:22" ht="21.95" customHeight="1" x14ac:dyDescent="0.25">
      <c r="A84" s="37" t="s">
        <v>1698</v>
      </c>
      <c r="B84" s="21" t="s">
        <v>179</v>
      </c>
      <c r="C84" s="2">
        <f t="shared" si="34"/>
        <v>49933.51</v>
      </c>
      <c r="D84" s="3">
        <f t="shared" si="41"/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4">
        <v>0</v>
      </c>
      <c r="L84" s="3">
        <v>0</v>
      </c>
      <c r="M84" s="3">
        <v>0</v>
      </c>
      <c r="N84" s="3">
        <f t="shared" si="47"/>
        <v>0</v>
      </c>
      <c r="O84" s="3">
        <v>0</v>
      </c>
      <c r="P84" s="3">
        <v>0</v>
      </c>
      <c r="Q84" s="3">
        <v>0</v>
      </c>
      <c r="R84" s="3">
        <f t="shared" si="48"/>
        <v>0</v>
      </c>
      <c r="S84" s="3">
        <f>S922</f>
        <v>0</v>
      </c>
      <c r="T84" s="3">
        <v>0</v>
      </c>
      <c r="U84" s="3">
        <v>49933.51</v>
      </c>
      <c r="V84" s="6" t="e">
        <f t="shared" si="42"/>
        <v>#DIV/0!</v>
      </c>
    </row>
    <row r="85" spans="1:22" ht="21.95" customHeight="1" x14ac:dyDescent="0.25">
      <c r="A85" s="37" t="s">
        <v>1699</v>
      </c>
      <c r="B85" s="8" t="s">
        <v>1376</v>
      </c>
      <c r="C85" s="2">
        <f t="shared" si="34"/>
        <v>168307.13</v>
      </c>
      <c r="D85" s="3">
        <f t="shared" si="41"/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4">
        <v>0</v>
      </c>
      <c r="L85" s="3">
        <v>0</v>
      </c>
      <c r="M85" s="5">
        <v>0</v>
      </c>
      <c r="N85" s="5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168307.13</v>
      </c>
      <c r="V85" s="6" t="e">
        <f t="shared" si="42"/>
        <v>#DIV/0!</v>
      </c>
    </row>
    <row r="86" spans="1:22" ht="45" customHeight="1" x14ac:dyDescent="0.25">
      <c r="A86" s="56" t="s">
        <v>223</v>
      </c>
      <c r="B86" s="56"/>
      <c r="C86" s="2">
        <f>SUM(C87:C88)</f>
        <v>2602069.1</v>
      </c>
      <c r="D86" s="2">
        <f t="shared" ref="D86:U86" si="51">SUM(D87:D88)</f>
        <v>454084.26000000007</v>
      </c>
      <c r="E86" s="2">
        <f t="shared" si="51"/>
        <v>145809.64000000001</v>
      </c>
      <c r="F86" s="2">
        <f t="shared" si="51"/>
        <v>202522</v>
      </c>
      <c r="G86" s="2">
        <f t="shared" si="51"/>
        <v>48192.91</v>
      </c>
      <c r="H86" s="2">
        <f t="shared" si="51"/>
        <v>0</v>
      </c>
      <c r="I86" s="2">
        <f t="shared" si="51"/>
        <v>57559.71</v>
      </c>
      <c r="J86" s="2">
        <f t="shared" si="51"/>
        <v>0</v>
      </c>
      <c r="K86" s="14">
        <f t="shared" si="51"/>
        <v>0</v>
      </c>
      <c r="L86" s="2">
        <f t="shared" si="51"/>
        <v>0</v>
      </c>
      <c r="M86" s="2">
        <f t="shared" si="51"/>
        <v>240</v>
      </c>
      <c r="N86" s="2">
        <f t="shared" si="51"/>
        <v>1032050.92</v>
      </c>
      <c r="O86" s="2">
        <f t="shared" si="51"/>
        <v>0</v>
      </c>
      <c r="P86" s="2">
        <f t="shared" si="51"/>
        <v>0</v>
      </c>
      <c r="Q86" s="2">
        <f t="shared" si="51"/>
        <v>408.6</v>
      </c>
      <c r="R86" s="2">
        <f t="shared" si="51"/>
        <v>1063447.25</v>
      </c>
      <c r="S86" s="2">
        <f t="shared" si="51"/>
        <v>0</v>
      </c>
      <c r="T86" s="2">
        <f t="shared" si="51"/>
        <v>0</v>
      </c>
      <c r="U86" s="2">
        <f t="shared" si="51"/>
        <v>52486.67</v>
      </c>
      <c r="V86" s="18">
        <f>C86+C408</f>
        <v>6804109.5999999996</v>
      </c>
    </row>
    <row r="87" spans="1:22" ht="20.100000000000001" customHeight="1" x14ac:dyDescent="0.25">
      <c r="A87" s="37" t="s">
        <v>1700</v>
      </c>
      <c r="B87" s="8" t="s">
        <v>224</v>
      </c>
      <c r="C87" s="2">
        <f t="shared" si="34"/>
        <v>2549582.4300000002</v>
      </c>
      <c r="D87" s="3">
        <f t="shared" ref="D87:D88" si="52">SUM(E87:J87)</f>
        <v>454084.26000000007</v>
      </c>
      <c r="E87" s="3">
        <v>145809.64000000001</v>
      </c>
      <c r="F87" s="3">
        <v>202522</v>
      </c>
      <c r="G87" s="3">
        <v>48192.91</v>
      </c>
      <c r="H87" s="3">
        <v>0</v>
      </c>
      <c r="I87" s="3">
        <v>57559.71</v>
      </c>
      <c r="J87" s="3">
        <f>350*0</f>
        <v>0</v>
      </c>
      <c r="K87" s="4">
        <v>0</v>
      </c>
      <c r="L87" s="3">
        <v>0</v>
      </c>
      <c r="M87" s="3">
        <v>240</v>
      </c>
      <c r="N87" s="3">
        <v>1032050.92</v>
      </c>
      <c r="O87" s="3">
        <v>0</v>
      </c>
      <c r="P87" s="3">
        <v>0</v>
      </c>
      <c r="Q87" s="3">
        <v>408.6</v>
      </c>
      <c r="R87" s="3">
        <v>1063447.25</v>
      </c>
      <c r="S87" s="3">
        <v>0</v>
      </c>
      <c r="T87" s="3">
        <v>0</v>
      </c>
      <c r="U87" s="3">
        <v>0</v>
      </c>
      <c r="V87" s="6">
        <f t="shared" ref="V87:V88" si="53">N87/M87</f>
        <v>4300.2121666666671</v>
      </c>
    </row>
    <row r="88" spans="1:22" ht="20.100000000000001" customHeight="1" x14ac:dyDescent="0.25">
      <c r="A88" s="37" t="s">
        <v>1701</v>
      </c>
      <c r="B88" s="8" t="s">
        <v>225</v>
      </c>
      <c r="C88" s="2">
        <f t="shared" si="34"/>
        <v>52486.67</v>
      </c>
      <c r="D88" s="3">
        <f t="shared" si="52"/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4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52486.67</v>
      </c>
      <c r="V88" s="6" t="e">
        <f t="shared" si="53"/>
        <v>#DIV/0!</v>
      </c>
    </row>
    <row r="89" spans="1:22" ht="45" customHeight="1" x14ac:dyDescent="0.25">
      <c r="A89" s="56" t="s">
        <v>222</v>
      </c>
      <c r="B89" s="56"/>
      <c r="C89" s="2">
        <f>SUM(C90:C95)</f>
        <v>5065932.63</v>
      </c>
      <c r="D89" s="2">
        <f t="shared" ref="D89:U89" si="54">SUM(D90:D95)</f>
        <v>203812.47</v>
      </c>
      <c r="E89" s="2">
        <f t="shared" si="54"/>
        <v>203812.47</v>
      </c>
      <c r="F89" s="2">
        <f t="shared" si="54"/>
        <v>0</v>
      </c>
      <c r="G89" s="2">
        <f t="shared" si="54"/>
        <v>0</v>
      </c>
      <c r="H89" s="2">
        <f t="shared" si="54"/>
        <v>0</v>
      </c>
      <c r="I89" s="2">
        <f t="shared" si="54"/>
        <v>0</v>
      </c>
      <c r="J89" s="2">
        <f t="shared" si="54"/>
        <v>0</v>
      </c>
      <c r="K89" s="14">
        <f t="shared" si="54"/>
        <v>0</v>
      </c>
      <c r="L89" s="2">
        <f t="shared" si="54"/>
        <v>0</v>
      </c>
      <c r="M89" s="2">
        <f t="shared" si="54"/>
        <v>370</v>
      </c>
      <c r="N89" s="2">
        <f t="shared" si="54"/>
        <v>1939364.18</v>
      </c>
      <c r="O89" s="2">
        <f t="shared" si="54"/>
        <v>0</v>
      </c>
      <c r="P89" s="2">
        <f t="shared" si="54"/>
        <v>0</v>
      </c>
      <c r="Q89" s="2">
        <f t="shared" si="54"/>
        <v>1390.05</v>
      </c>
      <c r="R89" s="2">
        <f t="shared" si="54"/>
        <v>2774118.74</v>
      </c>
      <c r="S89" s="2">
        <f t="shared" si="54"/>
        <v>0</v>
      </c>
      <c r="T89" s="2">
        <f t="shared" si="54"/>
        <v>0</v>
      </c>
      <c r="U89" s="2">
        <f t="shared" si="54"/>
        <v>148637.24</v>
      </c>
      <c r="V89" s="18">
        <f>C89+C410+C891</f>
        <v>46700563.399999999</v>
      </c>
    </row>
    <row r="90" spans="1:22" ht="21.95" customHeight="1" x14ac:dyDescent="0.25">
      <c r="A90" s="37" t="s">
        <v>1702</v>
      </c>
      <c r="B90" s="8" t="s">
        <v>213</v>
      </c>
      <c r="C90" s="2">
        <f t="shared" si="34"/>
        <v>61829.57</v>
      </c>
      <c r="D90" s="3">
        <f t="shared" ref="D90:D95" si="55">SUM(E90:J90)</f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4">
        <v>0</v>
      </c>
      <c r="L90" s="3">
        <v>0</v>
      </c>
      <c r="M90" s="5">
        <v>0</v>
      </c>
      <c r="N90" s="5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61829.57</v>
      </c>
      <c r="V90" s="6" t="e">
        <f t="shared" ref="V90:V95" si="56">N90/M90</f>
        <v>#DIV/0!</v>
      </c>
    </row>
    <row r="91" spans="1:22" ht="21.95" customHeight="1" x14ac:dyDescent="0.25">
      <c r="A91" s="37" t="s">
        <v>1703</v>
      </c>
      <c r="B91" s="8" t="s">
        <v>216</v>
      </c>
      <c r="C91" s="2">
        <f t="shared" si="34"/>
        <v>32637.59</v>
      </c>
      <c r="D91" s="3">
        <f t="shared" si="55"/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4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32637.59</v>
      </c>
      <c r="V91" s="6" t="e">
        <f t="shared" si="56"/>
        <v>#DIV/0!</v>
      </c>
    </row>
    <row r="92" spans="1:22" ht="21.95" customHeight="1" x14ac:dyDescent="0.25">
      <c r="A92" s="37" t="s">
        <v>1704</v>
      </c>
      <c r="B92" s="8" t="s">
        <v>1390</v>
      </c>
      <c r="C92" s="2">
        <f t="shared" si="34"/>
        <v>1326633.6000000001</v>
      </c>
      <c r="D92" s="3">
        <f t="shared" si="55"/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4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526.04999999999995</v>
      </c>
      <c r="R92" s="3">
        <v>1326633.6000000001</v>
      </c>
      <c r="S92" s="3">
        <v>0</v>
      </c>
      <c r="T92" s="3">
        <v>0</v>
      </c>
      <c r="U92" s="3">
        <v>0</v>
      </c>
      <c r="V92" s="6" t="e">
        <f t="shared" si="56"/>
        <v>#DIV/0!</v>
      </c>
    </row>
    <row r="93" spans="1:22" ht="21.95" customHeight="1" x14ac:dyDescent="0.25">
      <c r="A93" s="37" t="s">
        <v>1705</v>
      </c>
      <c r="B93" s="8" t="s">
        <v>217</v>
      </c>
      <c r="C93" s="2">
        <f t="shared" si="34"/>
        <v>54170.080000000002</v>
      </c>
      <c r="D93" s="3">
        <f t="shared" si="55"/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4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54170.080000000002</v>
      </c>
      <c r="V93" s="6" t="e">
        <f t="shared" si="56"/>
        <v>#DIV/0!</v>
      </c>
    </row>
    <row r="94" spans="1:22" ht="21.95" customHeight="1" x14ac:dyDescent="0.25">
      <c r="A94" s="37" t="s">
        <v>1706</v>
      </c>
      <c r="B94" s="8" t="s">
        <v>1391</v>
      </c>
      <c r="C94" s="2">
        <f t="shared" si="34"/>
        <v>2637062.5499999998</v>
      </c>
      <c r="D94" s="3">
        <f t="shared" si="55"/>
        <v>102147.08</v>
      </c>
      <c r="E94" s="3">
        <v>102147.08</v>
      </c>
      <c r="F94" s="3">
        <f>800*0</f>
        <v>0</v>
      </c>
      <c r="G94" s="3">
        <f>300*0</f>
        <v>0</v>
      </c>
      <c r="H94" s="3">
        <f>500*0</f>
        <v>0</v>
      </c>
      <c r="I94" s="3">
        <f>400*0</f>
        <v>0</v>
      </c>
      <c r="J94" s="3">
        <f>350*0</f>
        <v>0</v>
      </c>
      <c r="K94" s="4">
        <v>0</v>
      </c>
      <c r="L94" s="3">
        <v>0</v>
      </c>
      <c r="M94" s="5">
        <v>370</v>
      </c>
      <c r="N94" s="5">
        <v>1939364.18</v>
      </c>
      <c r="O94" s="3">
        <v>0</v>
      </c>
      <c r="P94" s="3">
        <v>0</v>
      </c>
      <c r="Q94" s="3">
        <v>432</v>
      </c>
      <c r="R94" s="3">
        <v>595551.29</v>
      </c>
      <c r="S94" s="3">
        <v>0</v>
      </c>
      <c r="T94" s="3">
        <v>0</v>
      </c>
      <c r="U94" s="3">
        <v>0</v>
      </c>
      <c r="V94" s="6">
        <f t="shared" si="56"/>
        <v>5241.5248108108108</v>
      </c>
    </row>
    <row r="95" spans="1:22" ht="21.95" customHeight="1" x14ac:dyDescent="0.25">
      <c r="A95" s="37" t="s">
        <v>1707</v>
      </c>
      <c r="B95" s="8" t="s">
        <v>1392</v>
      </c>
      <c r="C95" s="2">
        <f t="shared" si="34"/>
        <v>953599.24</v>
      </c>
      <c r="D95" s="3">
        <f t="shared" si="55"/>
        <v>101665.39</v>
      </c>
      <c r="E95" s="3">
        <v>101665.39</v>
      </c>
      <c r="F95" s="3">
        <f>800*0</f>
        <v>0</v>
      </c>
      <c r="G95" s="3">
        <f>300*0</f>
        <v>0</v>
      </c>
      <c r="H95" s="3">
        <f>500*0</f>
        <v>0</v>
      </c>
      <c r="I95" s="3">
        <f>400*0</f>
        <v>0</v>
      </c>
      <c r="J95" s="3">
        <f>350*0</f>
        <v>0</v>
      </c>
      <c r="K95" s="4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5">
        <v>432</v>
      </c>
      <c r="R95" s="5">
        <v>851933.85</v>
      </c>
      <c r="S95" s="3">
        <v>0</v>
      </c>
      <c r="T95" s="3">
        <v>0</v>
      </c>
      <c r="U95" s="3">
        <v>0</v>
      </c>
      <c r="V95" s="6" t="e">
        <f t="shared" si="56"/>
        <v>#DIV/0!</v>
      </c>
    </row>
    <row r="96" spans="1:22" ht="45" customHeight="1" x14ac:dyDescent="0.25">
      <c r="A96" s="56" t="s">
        <v>226</v>
      </c>
      <c r="B96" s="56"/>
      <c r="C96" s="2">
        <f>SUM(C97:C103)</f>
        <v>10285380.459999999</v>
      </c>
      <c r="D96" s="2">
        <f t="shared" ref="D96:U96" si="57">SUM(D98:D103)</f>
        <v>3102953.3</v>
      </c>
      <c r="E96" s="2">
        <f t="shared" si="57"/>
        <v>359199.98</v>
      </c>
      <c r="F96" s="2">
        <f t="shared" si="57"/>
        <v>1930196.5299999998</v>
      </c>
      <c r="G96" s="2">
        <f t="shared" si="57"/>
        <v>165331.20000000001</v>
      </c>
      <c r="H96" s="2">
        <f t="shared" si="57"/>
        <v>648225.59000000008</v>
      </c>
      <c r="I96" s="2">
        <f t="shared" si="57"/>
        <v>0</v>
      </c>
      <c r="J96" s="2">
        <f t="shared" si="57"/>
        <v>0</v>
      </c>
      <c r="K96" s="14">
        <f t="shared" si="57"/>
        <v>0</v>
      </c>
      <c r="L96" s="2">
        <f t="shared" si="57"/>
        <v>0</v>
      </c>
      <c r="M96" s="2">
        <f t="shared" si="57"/>
        <v>1610</v>
      </c>
      <c r="N96" s="2">
        <f t="shared" si="57"/>
        <v>5424455.4399999995</v>
      </c>
      <c r="O96" s="2">
        <f t="shared" si="57"/>
        <v>0</v>
      </c>
      <c r="P96" s="2">
        <f t="shared" si="57"/>
        <v>0</v>
      </c>
      <c r="Q96" s="2">
        <f t="shared" si="57"/>
        <v>660</v>
      </c>
      <c r="R96" s="2">
        <f t="shared" si="57"/>
        <v>1240574.96</v>
      </c>
      <c r="S96" s="2">
        <f t="shared" si="57"/>
        <v>0</v>
      </c>
      <c r="T96" s="2">
        <f t="shared" si="57"/>
        <v>0</v>
      </c>
      <c r="U96" s="2">
        <f t="shared" si="57"/>
        <v>449464.82</v>
      </c>
      <c r="V96" s="18">
        <f>C96+C420+C898</f>
        <v>55828807.960000001</v>
      </c>
    </row>
    <row r="97" spans="1:22" ht="21.95" customHeight="1" x14ac:dyDescent="0.25">
      <c r="A97" s="37" t="s">
        <v>1708</v>
      </c>
      <c r="B97" s="8" t="s">
        <v>232</v>
      </c>
      <c r="C97" s="2">
        <f>D97+L97+N97+P97+R97+S97+T97+U97</f>
        <v>67931.94</v>
      </c>
      <c r="D97" s="3">
        <f>SUM(E97:J97)</f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4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67931.94</v>
      </c>
      <c r="V97" s="6" t="e">
        <f>N97/M97</f>
        <v>#DIV/0!</v>
      </c>
    </row>
    <row r="98" spans="1:22" ht="21.95" customHeight="1" x14ac:dyDescent="0.25">
      <c r="A98" s="37" t="s">
        <v>1709</v>
      </c>
      <c r="B98" s="8" t="s">
        <v>229</v>
      </c>
      <c r="C98" s="2">
        <f t="shared" si="34"/>
        <v>1896196.86</v>
      </c>
      <c r="D98" s="3">
        <f t="shared" ref="D98:D103" si="58">SUM(E98:J98)</f>
        <v>1767781.6900000002</v>
      </c>
      <c r="E98" s="3">
        <v>190863.89</v>
      </c>
      <c r="F98" s="3">
        <v>1171927.92</v>
      </c>
      <c r="G98" s="3">
        <v>85513.29</v>
      </c>
      <c r="H98" s="3">
        <v>319476.59000000003</v>
      </c>
      <c r="I98" s="3">
        <v>0</v>
      </c>
      <c r="J98" s="3">
        <f>350*0</f>
        <v>0</v>
      </c>
      <c r="K98" s="4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128415.17</v>
      </c>
      <c r="V98" s="6" t="e">
        <f t="shared" ref="V98:V103" si="59">N98/M98</f>
        <v>#DIV/0!</v>
      </c>
    </row>
    <row r="99" spans="1:22" ht="21.95" customHeight="1" x14ac:dyDescent="0.25">
      <c r="A99" s="37" t="s">
        <v>1710</v>
      </c>
      <c r="B99" s="8" t="s">
        <v>230</v>
      </c>
      <c r="C99" s="2">
        <f t="shared" si="34"/>
        <v>3214200.37</v>
      </c>
      <c r="D99" s="3">
        <f t="shared" si="58"/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4">
        <v>0</v>
      </c>
      <c r="L99" s="3">
        <v>0</v>
      </c>
      <c r="M99" s="3">
        <v>1108</v>
      </c>
      <c r="N99" s="3">
        <v>3158911.08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55289.29</v>
      </c>
      <c r="V99" s="6">
        <f t="shared" si="59"/>
        <v>2851.0027797833936</v>
      </c>
    </row>
    <row r="100" spans="1:22" ht="21.95" customHeight="1" x14ac:dyDescent="0.25">
      <c r="A100" s="37" t="s">
        <v>1711</v>
      </c>
      <c r="B100" s="8" t="s">
        <v>231</v>
      </c>
      <c r="C100" s="2">
        <f t="shared" si="34"/>
        <v>1436634.3299999998</v>
      </c>
      <c r="D100" s="3">
        <f t="shared" si="58"/>
        <v>1335171.6099999999</v>
      </c>
      <c r="E100" s="3">
        <v>168336.09</v>
      </c>
      <c r="F100" s="3">
        <v>758268.61</v>
      </c>
      <c r="G100" s="3">
        <v>79817.91</v>
      </c>
      <c r="H100" s="3">
        <v>328749</v>
      </c>
      <c r="I100" s="3">
        <v>0</v>
      </c>
      <c r="J100" s="3">
        <f>350*0</f>
        <v>0</v>
      </c>
      <c r="K100" s="4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101462.72</v>
      </c>
      <c r="V100" s="6" t="e">
        <f t="shared" si="59"/>
        <v>#DIV/0!</v>
      </c>
    </row>
    <row r="101" spans="1:22" ht="21.95" customHeight="1" x14ac:dyDescent="0.25">
      <c r="A101" s="37" t="s">
        <v>1712</v>
      </c>
      <c r="B101" s="8" t="s">
        <v>238</v>
      </c>
      <c r="C101" s="2">
        <f t="shared" si="34"/>
        <v>43502.720000000001</v>
      </c>
      <c r="D101" s="3">
        <f t="shared" si="58"/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4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43502.720000000001</v>
      </c>
      <c r="V101" s="6" t="e">
        <f t="shared" si="59"/>
        <v>#DIV/0!</v>
      </c>
    </row>
    <row r="102" spans="1:22" ht="21.95" customHeight="1" x14ac:dyDescent="0.25">
      <c r="A102" s="37" t="s">
        <v>1713</v>
      </c>
      <c r="B102" s="8" t="s">
        <v>239</v>
      </c>
      <c r="C102" s="2">
        <f t="shared" si="34"/>
        <v>3590879.9499999997</v>
      </c>
      <c r="D102" s="3">
        <f t="shared" si="58"/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4">
        <v>0</v>
      </c>
      <c r="L102" s="3">
        <v>0</v>
      </c>
      <c r="M102" s="3">
        <v>502</v>
      </c>
      <c r="N102" s="3">
        <v>2265544.36</v>
      </c>
      <c r="O102" s="3">
        <v>0</v>
      </c>
      <c r="P102" s="3">
        <v>0</v>
      </c>
      <c r="Q102" s="3">
        <v>660</v>
      </c>
      <c r="R102" s="3">
        <v>1240574.96</v>
      </c>
      <c r="S102" s="3">
        <v>0</v>
      </c>
      <c r="T102" s="3">
        <v>0</v>
      </c>
      <c r="U102" s="3">
        <v>84760.63</v>
      </c>
      <c r="V102" s="6">
        <f t="shared" si="59"/>
        <v>4513.0365737051789</v>
      </c>
    </row>
    <row r="103" spans="1:22" ht="21.95" customHeight="1" x14ac:dyDescent="0.25">
      <c r="A103" s="37" t="s">
        <v>1714</v>
      </c>
      <c r="B103" s="8" t="s">
        <v>240</v>
      </c>
      <c r="C103" s="2">
        <f t="shared" si="34"/>
        <v>36034.29</v>
      </c>
      <c r="D103" s="3">
        <f t="shared" si="58"/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4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36034.29</v>
      </c>
      <c r="V103" s="6" t="e">
        <f t="shared" si="59"/>
        <v>#DIV/0!</v>
      </c>
    </row>
    <row r="104" spans="1:22" ht="45" customHeight="1" x14ac:dyDescent="0.25">
      <c r="A104" s="56" t="s">
        <v>268</v>
      </c>
      <c r="B104" s="56"/>
      <c r="C104" s="2">
        <f>SUM(C105:C113)</f>
        <v>21052476.790000003</v>
      </c>
      <c r="D104" s="2">
        <f t="shared" ref="D104:U104" si="60">SUM(D105:D113)</f>
        <v>2996229.58</v>
      </c>
      <c r="E104" s="2">
        <f t="shared" si="60"/>
        <v>776561.23</v>
      </c>
      <c r="F104" s="2">
        <f t="shared" si="60"/>
        <v>1654258.34</v>
      </c>
      <c r="G104" s="2">
        <f t="shared" si="60"/>
        <v>228876.97000000003</v>
      </c>
      <c r="H104" s="2">
        <f t="shared" si="60"/>
        <v>0</v>
      </c>
      <c r="I104" s="2">
        <f t="shared" si="60"/>
        <v>336533.04</v>
      </c>
      <c r="J104" s="2">
        <f t="shared" si="60"/>
        <v>0</v>
      </c>
      <c r="K104" s="14">
        <f t="shared" si="60"/>
        <v>0</v>
      </c>
      <c r="L104" s="2">
        <f t="shared" si="60"/>
        <v>0</v>
      </c>
      <c r="M104" s="2">
        <f t="shared" si="60"/>
        <v>1739.9</v>
      </c>
      <c r="N104" s="2">
        <f t="shared" si="60"/>
        <v>8597281.5099999998</v>
      </c>
      <c r="O104" s="2">
        <f t="shared" si="60"/>
        <v>1281.5</v>
      </c>
      <c r="P104" s="2">
        <f t="shared" si="60"/>
        <v>1244201.9099999999</v>
      </c>
      <c r="Q104" s="2">
        <f t="shared" si="60"/>
        <v>3032</v>
      </c>
      <c r="R104" s="2">
        <f t="shared" si="60"/>
        <v>6762381.1899999995</v>
      </c>
      <c r="S104" s="2">
        <f t="shared" si="60"/>
        <v>0</v>
      </c>
      <c r="T104" s="2">
        <f t="shared" si="60"/>
        <v>0</v>
      </c>
      <c r="U104" s="2">
        <f t="shared" si="60"/>
        <v>1452382.5999999999</v>
      </c>
      <c r="V104" s="18">
        <f>C104+C432+C905</f>
        <v>222797374.91</v>
      </c>
    </row>
    <row r="105" spans="1:22" ht="21.95" customHeight="1" x14ac:dyDescent="0.25">
      <c r="A105" s="37" t="s">
        <v>1715</v>
      </c>
      <c r="B105" s="22" t="s">
        <v>244</v>
      </c>
      <c r="C105" s="2">
        <f t="shared" si="34"/>
        <v>11569870.460000001</v>
      </c>
      <c r="D105" s="3">
        <f t="shared" ref="D105:D113" si="61">SUM(E105:J105)</f>
        <v>2087863.34</v>
      </c>
      <c r="E105" s="3">
        <v>401451.44</v>
      </c>
      <c r="F105" s="3">
        <v>1229649.27</v>
      </c>
      <c r="G105" s="3">
        <v>172503.14</v>
      </c>
      <c r="H105" s="3">
        <f>500*0</f>
        <v>0</v>
      </c>
      <c r="I105" s="3">
        <v>284259.49</v>
      </c>
      <c r="J105" s="3">
        <f>350*0</f>
        <v>0</v>
      </c>
      <c r="K105" s="4">
        <v>0</v>
      </c>
      <c r="L105" s="3">
        <v>0</v>
      </c>
      <c r="M105" s="3">
        <v>965.9</v>
      </c>
      <c r="N105" s="3">
        <v>4920285.6500000004</v>
      </c>
      <c r="O105" s="3">
        <v>776.1</v>
      </c>
      <c r="P105" s="3">
        <v>887651.47</v>
      </c>
      <c r="Q105" s="3">
        <v>1540</v>
      </c>
      <c r="R105" s="3">
        <v>3475070</v>
      </c>
      <c r="S105" s="3">
        <v>0</v>
      </c>
      <c r="T105" s="3">
        <v>0</v>
      </c>
      <c r="U105" s="3">
        <v>199000</v>
      </c>
      <c r="V105" s="6">
        <f t="shared" ref="V105:V113" si="62">N105/M105</f>
        <v>5093.990734030438</v>
      </c>
    </row>
    <row r="106" spans="1:22" ht="21.95" customHeight="1" x14ac:dyDescent="0.25">
      <c r="A106" s="37" t="s">
        <v>1716</v>
      </c>
      <c r="B106" s="22" t="s">
        <v>245</v>
      </c>
      <c r="C106" s="2">
        <f t="shared" si="34"/>
        <v>8428223.7300000004</v>
      </c>
      <c r="D106" s="3">
        <f t="shared" si="61"/>
        <v>908366.24</v>
      </c>
      <c r="E106" s="3">
        <v>375109.79</v>
      </c>
      <c r="F106" s="3">
        <v>424609.07</v>
      </c>
      <c r="G106" s="3">
        <v>56373.83</v>
      </c>
      <c r="H106" s="3">
        <f>500*0</f>
        <v>0</v>
      </c>
      <c r="I106" s="3">
        <v>52273.55</v>
      </c>
      <c r="J106" s="3">
        <f>350*0</f>
        <v>0</v>
      </c>
      <c r="K106" s="4">
        <v>0</v>
      </c>
      <c r="L106" s="3">
        <v>0</v>
      </c>
      <c r="M106" s="3">
        <v>774</v>
      </c>
      <c r="N106" s="3">
        <v>3676995.86</v>
      </c>
      <c r="O106" s="3">
        <v>505.4</v>
      </c>
      <c r="P106" s="3">
        <v>356550.44</v>
      </c>
      <c r="Q106" s="3">
        <v>1492</v>
      </c>
      <c r="R106" s="3">
        <v>3287311.19</v>
      </c>
      <c r="S106" s="3">
        <v>0</v>
      </c>
      <c r="T106" s="3">
        <v>0</v>
      </c>
      <c r="U106" s="3">
        <v>199000</v>
      </c>
      <c r="V106" s="6">
        <f t="shared" si="62"/>
        <v>4750.6406459948321</v>
      </c>
    </row>
    <row r="107" spans="1:22" ht="21.95" customHeight="1" x14ac:dyDescent="0.25">
      <c r="A107" s="37" t="s">
        <v>1717</v>
      </c>
      <c r="B107" s="22" t="s">
        <v>246</v>
      </c>
      <c r="C107" s="2">
        <f t="shared" si="34"/>
        <v>199000</v>
      </c>
      <c r="D107" s="3">
        <f t="shared" si="61"/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f>350*0</f>
        <v>0</v>
      </c>
      <c r="K107" s="4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199000</v>
      </c>
      <c r="V107" s="6" t="e">
        <f t="shared" si="62"/>
        <v>#DIV/0!</v>
      </c>
    </row>
    <row r="108" spans="1:22" ht="21.95" customHeight="1" x14ac:dyDescent="0.25">
      <c r="A108" s="37" t="s">
        <v>1614</v>
      </c>
      <c r="B108" s="8" t="s">
        <v>248</v>
      </c>
      <c r="C108" s="2">
        <f t="shared" si="34"/>
        <v>317122.92</v>
      </c>
      <c r="D108" s="3">
        <f t="shared" si="61"/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4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317122.92</v>
      </c>
      <c r="V108" s="6" t="e">
        <f t="shared" si="62"/>
        <v>#DIV/0!</v>
      </c>
    </row>
    <row r="109" spans="1:22" ht="21.95" customHeight="1" x14ac:dyDescent="0.25">
      <c r="A109" s="37" t="s">
        <v>1718</v>
      </c>
      <c r="B109" s="22" t="s">
        <v>247</v>
      </c>
      <c r="C109" s="2">
        <f t="shared" si="34"/>
        <v>62427.49</v>
      </c>
      <c r="D109" s="3">
        <f t="shared" si="61"/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4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62427.49</v>
      </c>
      <c r="V109" s="6" t="e">
        <f t="shared" si="62"/>
        <v>#DIV/0!</v>
      </c>
    </row>
    <row r="110" spans="1:22" ht="21.95" customHeight="1" x14ac:dyDescent="0.25">
      <c r="A110" s="37" t="s">
        <v>1719</v>
      </c>
      <c r="B110" s="22" t="s">
        <v>249</v>
      </c>
      <c r="C110" s="2">
        <f t="shared" si="34"/>
        <v>76336.39</v>
      </c>
      <c r="D110" s="3">
        <f t="shared" si="61"/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4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76336.39</v>
      </c>
      <c r="V110" s="6" t="e">
        <f t="shared" si="62"/>
        <v>#DIV/0!</v>
      </c>
    </row>
    <row r="111" spans="1:22" ht="21.95" customHeight="1" x14ac:dyDescent="0.25">
      <c r="A111" s="37" t="s">
        <v>1720</v>
      </c>
      <c r="B111" s="22" t="s">
        <v>250</v>
      </c>
      <c r="C111" s="2">
        <f t="shared" si="34"/>
        <v>199000</v>
      </c>
      <c r="D111" s="3">
        <f t="shared" si="61"/>
        <v>0</v>
      </c>
      <c r="E111" s="3">
        <v>0</v>
      </c>
      <c r="F111" s="3">
        <v>0</v>
      </c>
      <c r="G111" s="3">
        <v>0</v>
      </c>
      <c r="H111" s="3">
        <f>500*0</f>
        <v>0</v>
      </c>
      <c r="I111" s="3">
        <v>0</v>
      </c>
      <c r="J111" s="3">
        <f>350*0</f>
        <v>0</v>
      </c>
      <c r="K111" s="4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199000</v>
      </c>
      <c r="V111" s="6" t="e">
        <f t="shared" si="62"/>
        <v>#DIV/0!</v>
      </c>
    </row>
    <row r="112" spans="1:22" ht="21.95" customHeight="1" x14ac:dyDescent="0.25">
      <c r="A112" s="37" t="s">
        <v>1615</v>
      </c>
      <c r="B112" s="22" t="s">
        <v>259</v>
      </c>
      <c r="C112" s="2">
        <f t="shared" si="34"/>
        <v>81875.320000000007</v>
      </c>
      <c r="D112" s="3">
        <f t="shared" si="61"/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4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81875.320000000007</v>
      </c>
      <c r="V112" s="6" t="e">
        <f t="shared" si="62"/>
        <v>#DIV/0!</v>
      </c>
    </row>
    <row r="113" spans="1:22" ht="21.95" customHeight="1" x14ac:dyDescent="0.25">
      <c r="A113" s="37" t="s">
        <v>1721</v>
      </c>
      <c r="B113" s="22" t="s">
        <v>262</v>
      </c>
      <c r="C113" s="2">
        <f t="shared" si="34"/>
        <v>118620.48</v>
      </c>
      <c r="D113" s="3">
        <f t="shared" si="61"/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4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118620.48</v>
      </c>
      <c r="V113" s="6" t="e">
        <f t="shared" si="62"/>
        <v>#DIV/0!</v>
      </c>
    </row>
    <row r="114" spans="1:22" ht="45" customHeight="1" x14ac:dyDescent="0.25">
      <c r="A114" s="56" t="s">
        <v>1180</v>
      </c>
      <c r="B114" s="56"/>
      <c r="C114" s="2">
        <f>SUM(C115)</f>
        <v>1686325.08</v>
      </c>
      <c r="D114" s="2">
        <f t="shared" ref="D114:U114" si="63">SUM(D115)</f>
        <v>0</v>
      </c>
      <c r="E114" s="2">
        <f t="shared" si="63"/>
        <v>0</v>
      </c>
      <c r="F114" s="2">
        <f t="shared" si="63"/>
        <v>0</v>
      </c>
      <c r="G114" s="2">
        <f t="shared" si="63"/>
        <v>0</v>
      </c>
      <c r="H114" s="2">
        <f t="shared" si="63"/>
        <v>0</v>
      </c>
      <c r="I114" s="2">
        <f t="shared" si="63"/>
        <v>0</v>
      </c>
      <c r="J114" s="2">
        <f t="shared" si="63"/>
        <v>0</v>
      </c>
      <c r="K114" s="14">
        <f t="shared" si="63"/>
        <v>0</v>
      </c>
      <c r="L114" s="2">
        <f t="shared" si="63"/>
        <v>0</v>
      </c>
      <c r="M114" s="2">
        <f t="shared" si="63"/>
        <v>536.4</v>
      </c>
      <c r="N114" s="2">
        <f t="shared" si="63"/>
        <v>1654017.3</v>
      </c>
      <c r="O114" s="2">
        <f t="shared" si="63"/>
        <v>0</v>
      </c>
      <c r="P114" s="2">
        <f t="shared" si="63"/>
        <v>0</v>
      </c>
      <c r="Q114" s="2">
        <f t="shared" si="63"/>
        <v>0</v>
      </c>
      <c r="R114" s="2">
        <f t="shared" si="63"/>
        <v>0</v>
      </c>
      <c r="S114" s="2">
        <f t="shared" si="63"/>
        <v>0</v>
      </c>
      <c r="T114" s="2">
        <f t="shared" si="63"/>
        <v>0</v>
      </c>
      <c r="U114" s="2">
        <f t="shared" si="63"/>
        <v>32307.78</v>
      </c>
      <c r="V114" s="18">
        <f>C114+C451</f>
        <v>3666325.08</v>
      </c>
    </row>
    <row r="115" spans="1:22" ht="21.95" customHeight="1" x14ac:dyDescent="0.25">
      <c r="A115" s="37" t="s">
        <v>1722</v>
      </c>
      <c r="B115" s="22" t="s">
        <v>1181</v>
      </c>
      <c r="C115" s="2">
        <f t="shared" si="34"/>
        <v>1686325.08</v>
      </c>
      <c r="D115" s="3">
        <f>SUM(E115:J115)</f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4">
        <v>0</v>
      </c>
      <c r="L115" s="3">
        <v>0</v>
      </c>
      <c r="M115" s="3">
        <v>536.4</v>
      </c>
      <c r="N115" s="3">
        <v>1654017.3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32307.78</v>
      </c>
      <c r="V115" s="6">
        <f>N115/M115</f>
        <v>3083.5520134228191</v>
      </c>
    </row>
    <row r="116" spans="1:22" ht="45" customHeight="1" x14ac:dyDescent="0.25">
      <c r="A116" s="56" t="s">
        <v>269</v>
      </c>
      <c r="B116" s="56"/>
      <c r="C116" s="2">
        <f>SUM(C117)</f>
        <v>166377.20000000001</v>
      </c>
      <c r="D116" s="2">
        <f t="shared" ref="D116:U116" si="64">SUM(D117)</f>
        <v>0</v>
      </c>
      <c r="E116" s="2">
        <f t="shared" si="64"/>
        <v>0</v>
      </c>
      <c r="F116" s="2">
        <f t="shared" si="64"/>
        <v>0</v>
      </c>
      <c r="G116" s="2">
        <f t="shared" si="64"/>
        <v>0</v>
      </c>
      <c r="H116" s="2">
        <f t="shared" si="64"/>
        <v>0</v>
      </c>
      <c r="I116" s="2">
        <f t="shared" si="64"/>
        <v>0</v>
      </c>
      <c r="J116" s="2">
        <f t="shared" si="64"/>
        <v>0</v>
      </c>
      <c r="K116" s="14">
        <f t="shared" si="64"/>
        <v>0</v>
      </c>
      <c r="L116" s="2">
        <f t="shared" si="64"/>
        <v>0</v>
      </c>
      <c r="M116" s="2">
        <f t="shared" si="64"/>
        <v>0</v>
      </c>
      <c r="N116" s="2">
        <f t="shared" si="64"/>
        <v>0</v>
      </c>
      <c r="O116" s="2">
        <f t="shared" si="64"/>
        <v>0</v>
      </c>
      <c r="P116" s="2">
        <f t="shared" si="64"/>
        <v>0</v>
      </c>
      <c r="Q116" s="2">
        <f t="shared" si="64"/>
        <v>0</v>
      </c>
      <c r="R116" s="2">
        <f t="shared" si="64"/>
        <v>0</v>
      </c>
      <c r="S116" s="2">
        <f t="shared" si="64"/>
        <v>0</v>
      </c>
      <c r="T116" s="2">
        <f t="shared" si="64"/>
        <v>0</v>
      </c>
      <c r="U116" s="2">
        <f t="shared" si="64"/>
        <v>166377.20000000001</v>
      </c>
      <c r="V116" s="18">
        <f>C116</f>
        <v>166377.20000000001</v>
      </c>
    </row>
    <row r="117" spans="1:22" ht="21.95" customHeight="1" x14ac:dyDescent="0.25">
      <c r="A117" s="37" t="s">
        <v>1723</v>
      </c>
      <c r="B117" s="22" t="s">
        <v>270</v>
      </c>
      <c r="C117" s="2">
        <f t="shared" si="34"/>
        <v>166377.20000000001</v>
      </c>
      <c r="D117" s="3">
        <f>SUM(E117:J117)</f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f>350*0</f>
        <v>0</v>
      </c>
      <c r="K117" s="4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166377.20000000001</v>
      </c>
      <c r="V117" s="6" t="e">
        <f>N117/M117</f>
        <v>#DIV/0!</v>
      </c>
    </row>
    <row r="118" spans="1:22" ht="45" customHeight="1" x14ac:dyDescent="0.25">
      <c r="A118" s="56" t="s">
        <v>1393</v>
      </c>
      <c r="B118" s="56"/>
      <c r="C118" s="2">
        <f>SUM(C119)</f>
        <v>2170164.9699999997</v>
      </c>
      <c r="D118" s="2">
        <f t="shared" ref="D118:U118" si="65">SUM(D119)</f>
        <v>280113.19</v>
      </c>
      <c r="E118" s="2">
        <f t="shared" si="65"/>
        <v>198739.27</v>
      </c>
      <c r="F118" s="2">
        <f t="shared" si="65"/>
        <v>0</v>
      </c>
      <c r="G118" s="2">
        <f t="shared" si="65"/>
        <v>0</v>
      </c>
      <c r="H118" s="2">
        <f t="shared" si="65"/>
        <v>0</v>
      </c>
      <c r="I118" s="2">
        <f t="shared" si="65"/>
        <v>81373.919999999998</v>
      </c>
      <c r="J118" s="2">
        <f t="shared" si="65"/>
        <v>0</v>
      </c>
      <c r="K118" s="14">
        <f t="shared" si="65"/>
        <v>0</v>
      </c>
      <c r="L118" s="2">
        <f t="shared" si="65"/>
        <v>0</v>
      </c>
      <c r="M118" s="2">
        <f t="shared" si="65"/>
        <v>0</v>
      </c>
      <c r="N118" s="2">
        <f t="shared" si="65"/>
        <v>0</v>
      </c>
      <c r="O118" s="2">
        <f t="shared" si="65"/>
        <v>0</v>
      </c>
      <c r="P118" s="2">
        <f t="shared" si="65"/>
        <v>0</v>
      </c>
      <c r="Q118" s="2">
        <f t="shared" si="65"/>
        <v>710</v>
      </c>
      <c r="R118" s="2">
        <f t="shared" si="65"/>
        <v>1743230.17</v>
      </c>
      <c r="S118" s="2">
        <f t="shared" si="65"/>
        <v>0</v>
      </c>
      <c r="T118" s="2">
        <f t="shared" si="65"/>
        <v>0</v>
      </c>
      <c r="U118" s="2">
        <f t="shared" si="65"/>
        <v>146821.60999999999</v>
      </c>
      <c r="V118" s="18">
        <f>C118</f>
        <v>2170164.9699999997</v>
      </c>
    </row>
    <row r="119" spans="1:22" ht="21.95" customHeight="1" x14ac:dyDescent="0.25">
      <c r="A119" s="37" t="s">
        <v>1616</v>
      </c>
      <c r="B119" s="22" t="s">
        <v>1394</v>
      </c>
      <c r="C119" s="2">
        <f t="shared" si="34"/>
        <v>2170164.9699999997</v>
      </c>
      <c r="D119" s="3">
        <f>SUM(E119:J119)</f>
        <v>280113.19</v>
      </c>
      <c r="E119" s="3">
        <v>198739.27</v>
      </c>
      <c r="F119" s="3">
        <f>670.53*0</f>
        <v>0</v>
      </c>
      <c r="G119" s="3">
        <v>0</v>
      </c>
      <c r="H119" s="3">
        <f>500*0</f>
        <v>0</v>
      </c>
      <c r="I119" s="3">
        <v>81373.919999999998</v>
      </c>
      <c r="J119" s="3">
        <f>350*0</f>
        <v>0</v>
      </c>
      <c r="K119" s="4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710</v>
      </c>
      <c r="R119" s="3">
        <v>1743230.17</v>
      </c>
      <c r="S119" s="3">
        <v>0</v>
      </c>
      <c r="T119" s="3">
        <v>0</v>
      </c>
      <c r="U119" s="3">
        <v>146821.60999999999</v>
      </c>
      <c r="V119" s="6" t="e">
        <f>N119/M119</f>
        <v>#DIV/0!</v>
      </c>
    </row>
    <row r="120" spans="1:22" ht="45" customHeight="1" x14ac:dyDescent="0.25">
      <c r="A120" s="56" t="s">
        <v>381</v>
      </c>
      <c r="B120" s="56"/>
      <c r="C120" s="2">
        <f>SUM(C121:C236)</f>
        <v>305918620.67000008</v>
      </c>
      <c r="D120" s="2">
        <f t="shared" ref="D120:U120" si="66">SUM(D121:D236)</f>
        <v>113103388.14000002</v>
      </c>
      <c r="E120" s="2">
        <f t="shared" si="66"/>
        <v>17706561.520000003</v>
      </c>
      <c r="F120" s="2">
        <f t="shared" si="66"/>
        <v>69731826.920000002</v>
      </c>
      <c r="G120" s="2">
        <f t="shared" si="66"/>
        <v>8199732.6899999995</v>
      </c>
      <c r="H120" s="2">
        <f t="shared" si="66"/>
        <v>10460029.600000001</v>
      </c>
      <c r="I120" s="2">
        <f t="shared" si="66"/>
        <v>7005237.4100000001</v>
      </c>
      <c r="J120" s="2">
        <f t="shared" si="66"/>
        <v>0</v>
      </c>
      <c r="K120" s="14">
        <f t="shared" si="66"/>
        <v>2</v>
      </c>
      <c r="L120" s="2">
        <f t="shared" si="66"/>
        <v>3467713.03</v>
      </c>
      <c r="M120" s="2">
        <f t="shared" si="66"/>
        <v>25419.300000000007</v>
      </c>
      <c r="N120" s="2">
        <f t="shared" si="66"/>
        <v>116337857.07000002</v>
      </c>
      <c r="O120" s="2">
        <f t="shared" si="66"/>
        <v>1032</v>
      </c>
      <c r="P120" s="2">
        <f t="shared" si="66"/>
        <v>1229693.94</v>
      </c>
      <c r="Q120" s="2">
        <f t="shared" si="66"/>
        <v>25327.71</v>
      </c>
      <c r="R120" s="2">
        <f t="shared" si="66"/>
        <v>57600037.990000002</v>
      </c>
      <c r="S120" s="2">
        <f t="shared" si="66"/>
        <v>60982.93</v>
      </c>
      <c r="T120" s="2">
        <f t="shared" si="66"/>
        <v>678303.6</v>
      </c>
      <c r="U120" s="2">
        <f t="shared" si="66"/>
        <v>13440643.969999997</v>
      </c>
      <c r="V120" s="18">
        <f>C120+C462+C923</f>
        <v>2021557683.3099997</v>
      </c>
    </row>
    <row r="121" spans="1:22" ht="21.95" customHeight="1" x14ac:dyDescent="0.25">
      <c r="A121" s="37" t="s">
        <v>1724</v>
      </c>
      <c r="B121" s="8" t="s">
        <v>476</v>
      </c>
      <c r="C121" s="2">
        <f t="shared" si="34"/>
        <v>3323627.13</v>
      </c>
      <c r="D121" s="3">
        <f t="shared" ref="D121:D174" si="67">SUM(E121:J121)</f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4">
        <v>0</v>
      </c>
      <c r="L121" s="3">
        <v>0</v>
      </c>
      <c r="M121" s="3">
        <v>661</v>
      </c>
      <c r="N121" s="3">
        <v>3215902.69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107724.44</v>
      </c>
      <c r="V121" s="6">
        <f t="shared" ref="V121:V174" si="68">N121/M121</f>
        <v>4865.2083055975791</v>
      </c>
    </row>
    <row r="122" spans="1:22" ht="21.95" customHeight="1" x14ac:dyDescent="0.25">
      <c r="A122" s="37" t="s">
        <v>1725</v>
      </c>
      <c r="B122" s="8" t="s">
        <v>477</v>
      </c>
      <c r="C122" s="2">
        <f t="shared" ref="C122:C174" si="69">D122+L122+N122+P122+R122+S122+T122+U122</f>
        <v>3234332.3800000004</v>
      </c>
      <c r="D122" s="3">
        <f t="shared" si="67"/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4">
        <v>0</v>
      </c>
      <c r="L122" s="3">
        <v>0</v>
      </c>
      <c r="M122" s="3">
        <v>627</v>
      </c>
      <c r="N122" s="3">
        <v>3134023.14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100309.24</v>
      </c>
      <c r="V122" s="6">
        <f t="shared" si="68"/>
        <v>4998.4420095693786</v>
      </c>
    </row>
    <row r="123" spans="1:22" ht="21.95" customHeight="1" x14ac:dyDescent="0.25">
      <c r="A123" s="37" t="s">
        <v>1726</v>
      </c>
      <c r="B123" s="8" t="s">
        <v>492</v>
      </c>
      <c r="C123" s="2">
        <f t="shared" si="69"/>
        <v>4313501.8099999996</v>
      </c>
      <c r="D123" s="3">
        <f t="shared" si="67"/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4">
        <v>0</v>
      </c>
      <c r="L123" s="3">
        <v>0</v>
      </c>
      <c r="M123" s="3">
        <v>813.2</v>
      </c>
      <c r="N123" s="3">
        <v>4225936.1399999997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87565.67</v>
      </c>
      <c r="V123" s="6">
        <f t="shared" si="68"/>
        <v>5196.6750368912926</v>
      </c>
    </row>
    <row r="124" spans="1:22" ht="21.95" customHeight="1" x14ac:dyDescent="0.25">
      <c r="A124" s="37" t="s">
        <v>1727</v>
      </c>
      <c r="B124" s="8" t="s">
        <v>434</v>
      </c>
      <c r="C124" s="2">
        <f t="shared" si="69"/>
        <v>163490.91</v>
      </c>
      <c r="D124" s="3">
        <f t="shared" si="67"/>
        <v>126601.81</v>
      </c>
      <c r="E124" s="3">
        <v>126601.81</v>
      </c>
      <c r="F124" s="3">
        <f>800*0</f>
        <v>0</v>
      </c>
      <c r="G124" s="3">
        <v>0</v>
      </c>
      <c r="H124" s="3">
        <f>500*0</f>
        <v>0</v>
      </c>
      <c r="I124" s="3">
        <f>400*0</f>
        <v>0</v>
      </c>
      <c r="J124" s="3">
        <f>350*0</f>
        <v>0</v>
      </c>
      <c r="K124" s="4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36889.1</v>
      </c>
      <c r="V124" s="6" t="e">
        <f t="shared" si="68"/>
        <v>#DIV/0!</v>
      </c>
    </row>
    <row r="125" spans="1:22" ht="21.95" customHeight="1" x14ac:dyDescent="0.25">
      <c r="A125" s="37" t="s">
        <v>1728</v>
      </c>
      <c r="B125" s="8" t="s">
        <v>493</v>
      </c>
      <c r="C125" s="2">
        <f t="shared" si="69"/>
        <v>5015105.75</v>
      </c>
      <c r="D125" s="3">
        <f t="shared" si="67"/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4">
        <v>0</v>
      </c>
      <c r="L125" s="3">
        <v>0</v>
      </c>
      <c r="M125" s="3">
        <v>574</v>
      </c>
      <c r="N125" s="3">
        <v>3042199.57</v>
      </c>
      <c r="O125" s="3">
        <v>0</v>
      </c>
      <c r="P125" s="3">
        <v>0</v>
      </c>
      <c r="Q125" s="3">
        <v>824</v>
      </c>
      <c r="R125" s="3">
        <v>1873871.56</v>
      </c>
      <c r="S125" s="3">
        <v>0</v>
      </c>
      <c r="T125" s="3">
        <v>0</v>
      </c>
      <c r="U125" s="3">
        <v>99034.62</v>
      </c>
      <c r="V125" s="6">
        <f t="shared" si="68"/>
        <v>5299.9992508710802</v>
      </c>
    </row>
    <row r="126" spans="1:22" ht="21.95" customHeight="1" x14ac:dyDescent="0.25">
      <c r="A126" s="37" t="s">
        <v>1729</v>
      </c>
      <c r="B126" s="8" t="s">
        <v>427</v>
      </c>
      <c r="C126" s="2">
        <f t="shared" si="69"/>
        <v>173076.4</v>
      </c>
      <c r="D126" s="3">
        <f t="shared" si="67"/>
        <v>134089.19</v>
      </c>
      <c r="E126" s="3">
        <v>134089.19</v>
      </c>
      <c r="F126" s="3">
        <f>800*0</f>
        <v>0</v>
      </c>
      <c r="G126" s="3">
        <v>0</v>
      </c>
      <c r="H126" s="3">
        <f>500*0</f>
        <v>0</v>
      </c>
      <c r="I126" s="3">
        <f>400*0</f>
        <v>0</v>
      </c>
      <c r="J126" s="3">
        <f>350*0</f>
        <v>0</v>
      </c>
      <c r="K126" s="4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38987.21</v>
      </c>
      <c r="V126" s="6" t="e">
        <f t="shared" si="68"/>
        <v>#DIV/0!</v>
      </c>
    </row>
    <row r="127" spans="1:22" ht="21.95" customHeight="1" x14ac:dyDescent="0.25">
      <c r="A127" s="37" t="s">
        <v>1730</v>
      </c>
      <c r="B127" s="23" t="s">
        <v>382</v>
      </c>
      <c r="C127" s="2">
        <f t="shared" si="69"/>
        <v>1822584.59</v>
      </c>
      <c r="D127" s="3">
        <f t="shared" si="67"/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4">
        <v>0</v>
      </c>
      <c r="L127" s="3">
        <v>0</v>
      </c>
      <c r="M127" s="3">
        <v>451.8</v>
      </c>
      <c r="N127" s="3">
        <v>1768292.11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54292.480000000003</v>
      </c>
      <c r="V127" s="6">
        <f t="shared" si="68"/>
        <v>3913.8824922532094</v>
      </c>
    </row>
    <row r="128" spans="1:22" ht="21.95" customHeight="1" x14ac:dyDescent="0.25">
      <c r="A128" s="37" t="s">
        <v>1731</v>
      </c>
      <c r="B128" s="24" t="s">
        <v>1372</v>
      </c>
      <c r="C128" s="2">
        <f>D128+L128+N128+P128+R128+S128+T128+U128</f>
        <v>431384.7</v>
      </c>
      <c r="D128" s="3">
        <f>SUM(E128:J128)</f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4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431384.7</v>
      </c>
      <c r="V128" s="6" t="e">
        <f>N128/M128</f>
        <v>#DIV/0!</v>
      </c>
    </row>
    <row r="129" spans="1:22" ht="21.95" customHeight="1" x14ac:dyDescent="0.25">
      <c r="A129" s="37" t="s">
        <v>1732</v>
      </c>
      <c r="B129" s="24" t="s">
        <v>1373</v>
      </c>
      <c r="C129" s="2">
        <f>D129+L129+N129+P129+R129+S129+T129+U129</f>
        <v>404313.16</v>
      </c>
      <c r="D129" s="3">
        <f>SUM(E129:J129)</f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4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404313.16</v>
      </c>
      <c r="V129" s="6" t="e">
        <f>N129/M129</f>
        <v>#DIV/0!</v>
      </c>
    </row>
    <row r="130" spans="1:22" ht="21.95" customHeight="1" x14ac:dyDescent="0.25">
      <c r="A130" s="37" t="s">
        <v>1733</v>
      </c>
      <c r="B130" s="24" t="s">
        <v>1374</v>
      </c>
      <c r="C130" s="2">
        <f>D130+L130+N130+P130+R130+S130+T130+U130</f>
        <v>400760.45</v>
      </c>
      <c r="D130" s="3">
        <f>SUM(E130:J130)</f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4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400760.45</v>
      </c>
      <c r="V130" s="6" t="e">
        <f>N130/M130</f>
        <v>#DIV/0!</v>
      </c>
    </row>
    <row r="131" spans="1:22" ht="21.95" customHeight="1" x14ac:dyDescent="0.25">
      <c r="A131" s="37" t="s">
        <v>1734</v>
      </c>
      <c r="B131" s="8" t="s">
        <v>428</v>
      </c>
      <c r="C131" s="2">
        <f t="shared" si="69"/>
        <v>39639.949999999997</v>
      </c>
      <c r="D131" s="3">
        <f t="shared" si="67"/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4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39639.949999999997</v>
      </c>
      <c r="V131" s="6" t="e">
        <f t="shared" si="68"/>
        <v>#DIV/0!</v>
      </c>
    </row>
    <row r="132" spans="1:22" ht="21.95" customHeight="1" x14ac:dyDescent="0.25">
      <c r="A132" s="37" t="s">
        <v>1735</v>
      </c>
      <c r="B132" s="23" t="s">
        <v>429</v>
      </c>
      <c r="C132" s="2">
        <f t="shared" si="69"/>
        <v>55918.46</v>
      </c>
      <c r="D132" s="3">
        <f t="shared" si="67"/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4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55918.46</v>
      </c>
      <c r="V132" s="6" t="e">
        <f t="shared" si="68"/>
        <v>#DIV/0!</v>
      </c>
    </row>
    <row r="133" spans="1:22" ht="21.95" customHeight="1" x14ac:dyDescent="0.25">
      <c r="A133" s="37" t="s">
        <v>1736</v>
      </c>
      <c r="B133" s="23" t="s">
        <v>449</v>
      </c>
      <c r="C133" s="2">
        <f t="shared" si="69"/>
        <v>64358.54</v>
      </c>
      <c r="D133" s="3">
        <f t="shared" si="67"/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4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64358.54</v>
      </c>
      <c r="V133" s="6" t="e">
        <f t="shared" si="68"/>
        <v>#DIV/0!</v>
      </c>
    </row>
    <row r="134" spans="1:22" ht="21.95" customHeight="1" x14ac:dyDescent="0.25">
      <c r="A134" s="37" t="s">
        <v>1737</v>
      </c>
      <c r="B134" s="8" t="s">
        <v>494</v>
      </c>
      <c r="C134" s="2">
        <f t="shared" si="69"/>
        <v>2558331.8400000003</v>
      </c>
      <c r="D134" s="3">
        <f t="shared" si="67"/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4">
        <v>0</v>
      </c>
      <c r="L134" s="3">
        <v>0</v>
      </c>
      <c r="M134" s="3">
        <v>707.6</v>
      </c>
      <c r="N134" s="3">
        <v>2504665.7400000002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53666.1</v>
      </c>
      <c r="V134" s="6">
        <f t="shared" si="68"/>
        <v>3539.6632843414359</v>
      </c>
    </row>
    <row r="135" spans="1:22" ht="21.95" customHeight="1" x14ac:dyDescent="0.25">
      <c r="A135" s="37" t="s">
        <v>1738</v>
      </c>
      <c r="B135" s="8" t="s">
        <v>495</v>
      </c>
      <c r="C135" s="2">
        <f t="shared" si="69"/>
        <v>53597.85</v>
      </c>
      <c r="D135" s="3">
        <f t="shared" si="67"/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4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53597.85</v>
      </c>
      <c r="V135" s="6" t="e">
        <f t="shared" si="68"/>
        <v>#DIV/0!</v>
      </c>
    </row>
    <row r="136" spans="1:22" ht="21.95" customHeight="1" x14ac:dyDescent="0.25">
      <c r="A136" s="37" t="s">
        <v>1739</v>
      </c>
      <c r="B136" s="8" t="s">
        <v>496</v>
      </c>
      <c r="C136" s="2">
        <f t="shared" si="69"/>
        <v>68863.03</v>
      </c>
      <c r="D136" s="3">
        <f t="shared" si="67"/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4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68863.03</v>
      </c>
      <c r="V136" s="6" t="e">
        <f t="shared" si="68"/>
        <v>#DIV/0!</v>
      </c>
    </row>
    <row r="137" spans="1:22" ht="21.95" customHeight="1" x14ac:dyDescent="0.25">
      <c r="A137" s="37" t="s">
        <v>1740</v>
      </c>
      <c r="B137" s="8" t="s">
        <v>478</v>
      </c>
      <c r="C137" s="2">
        <f t="shared" si="69"/>
        <v>84581.04</v>
      </c>
      <c r="D137" s="3">
        <f t="shared" si="67"/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4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84581.04</v>
      </c>
      <c r="V137" s="6" t="e">
        <f t="shared" si="68"/>
        <v>#DIV/0!</v>
      </c>
    </row>
    <row r="138" spans="1:22" ht="21.95" customHeight="1" x14ac:dyDescent="0.25">
      <c r="A138" s="37" t="s">
        <v>1741</v>
      </c>
      <c r="B138" s="8" t="s">
        <v>497</v>
      </c>
      <c r="C138" s="2">
        <f t="shared" si="69"/>
        <v>41774.69</v>
      </c>
      <c r="D138" s="3">
        <f t="shared" si="67"/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4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41774.69</v>
      </c>
      <c r="V138" s="6" t="e">
        <f t="shared" si="68"/>
        <v>#DIV/0!</v>
      </c>
    </row>
    <row r="139" spans="1:22" ht="21.95" customHeight="1" x14ac:dyDescent="0.25">
      <c r="A139" s="37" t="s">
        <v>1742</v>
      </c>
      <c r="B139" s="8" t="s">
        <v>420</v>
      </c>
      <c r="C139" s="2">
        <f t="shared" si="69"/>
        <v>95551.6</v>
      </c>
      <c r="D139" s="3">
        <f t="shared" si="67"/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4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95551.6</v>
      </c>
      <c r="V139" s="6" t="e">
        <f t="shared" si="68"/>
        <v>#DIV/0!</v>
      </c>
    </row>
    <row r="140" spans="1:22" ht="21.95" customHeight="1" x14ac:dyDescent="0.25">
      <c r="A140" s="37" t="s">
        <v>1743</v>
      </c>
      <c r="B140" s="23" t="s">
        <v>479</v>
      </c>
      <c r="C140" s="2">
        <f t="shared" si="69"/>
        <v>108492.72</v>
      </c>
      <c r="D140" s="3">
        <f t="shared" si="67"/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4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108492.72</v>
      </c>
      <c r="V140" s="6" t="e">
        <f t="shared" si="68"/>
        <v>#DIV/0!</v>
      </c>
    </row>
    <row r="141" spans="1:22" ht="21.95" customHeight="1" x14ac:dyDescent="0.25">
      <c r="A141" s="37" t="s">
        <v>1744</v>
      </c>
      <c r="B141" s="8" t="s">
        <v>391</v>
      </c>
      <c r="C141" s="2">
        <f t="shared" si="69"/>
        <v>3164401.52</v>
      </c>
      <c r="D141" s="3">
        <f t="shared" si="67"/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4">
        <v>0</v>
      </c>
      <c r="L141" s="3">
        <v>0</v>
      </c>
      <c r="M141" s="3">
        <v>537.03</v>
      </c>
      <c r="N141" s="3">
        <v>3032137.93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132263.59</v>
      </c>
      <c r="V141" s="6">
        <f t="shared" si="68"/>
        <v>5646.1239223134653</v>
      </c>
    </row>
    <row r="142" spans="1:22" ht="21.95" customHeight="1" x14ac:dyDescent="0.25">
      <c r="A142" s="37" t="s">
        <v>1745</v>
      </c>
      <c r="B142" s="8" t="s">
        <v>498</v>
      </c>
      <c r="C142" s="2">
        <f t="shared" si="69"/>
        <v>2763011.6300000004</v>
      </c>
      <c r="D142" s="3">
        <f t="shared" si="67"/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4">
        <v>0</v>
      </c>
      <c r="L142" s="3">
        <v>0</v>
      </c>
      <c r="M142" s="3">
        <v>508.94</v>
      </c>
      <c r="N142" s="3">
        <v>2697370.18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65641.45</v>
      </c>
      <c r="V142" s="6">
        <f t="shared" si="68"/>
        <v>5299.9767752583803</v>
      </c>
    </row>
    <row r="143" spans="1:22" ht="21.95" customHeight="1" x14ac:dyDescent="0.25">
      <c r="A143" s="37" t="s">
        <v>1746</v>
      </c>
      <c r="B143" s="8" t="s">
        <v>499</v>
      </c>
      <c r="C143" s="2">
        <f t="shared" si="69"/>
        <v>1935029.82</v>
      </c>
      <c r="D143" s="3">
        <f t="shared" si="67"/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4">
        <v>0</v>
      </c>
      <c r="L143" s="3">
        <v>0</v>
      </c>
      <c r="M143" s="3">
        <v>430.8</v>
      </c>
      <c r="N143" s="3">
        <v>1874295.83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60733.99</v>
      </c>
      <c r="V143" s="6">
        <f t="shared" si="68"/>
        <v>4350.7331244196839</v>
      </c>
    </row>
    <row r="144" spans="1:22" ht="21.95" customHeight="1" x14ac:dyDescent="0.25">
      <c r="A144" s="37" t="s">
        <v>1747</v>
      </c>
      <c r="B144" s="8" t="s">
        <v>463</v>
      </c>
      <c r="C144" s="2">
        <f t="shared" si="69"/>
        <v>1988523.26</v>
      </c>
      <c r="D144" s="3">
        <f t="shared" si="67"/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4">
        <v>0</v>
      </c>
      <c r="L144" s="3">
        <v>0</v>
      </c>
      <c r="M144" s="3">
        <v>382.05</v>
      </c>
      <c r="N144" s="3">
        <v>1929074.16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59449.1</v>
      </c>
      <c r="V144" s="6">
        <f t="shared" si="68"/>
        <v>5049.2714566156255</v>
      </c>
    </row>
    <row r="145" spans="1:22" ht="21.95" customHeight="1" x14ac:dyDescent="0.25">
      <c r="A145" s="37" t="s">
        <v>1748</v>
      </c>
      <c r="B145" s="8" t="s">
        <v>500</v>
      </c>
      <c r="C145" s="2">
        <f t="shared" si="69"/>
        <v>1313592.3500000001</v>
      </c>
      <c r="D145" s="3">
        <f t="shared" si="67"/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4">
        <v>0</v>
      </c>
      <c r="L145" s="3">
        <v>0</v>
      </c>
      <c r="M145" s="3">
        <v>279.5</v>
      </c>
      <c r="N145" s="3">
        <v>1256956.8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56635.55</v>
      </c>
      <c r="V145" s="6">
        <f t="shared" si="68"/>
        <v>4497.1620751341679</v>
      </c>
    </row>
    <row r="146" spans="1:22" ht="21.95" customHeight="1" x14ac:dyDescent="0.25">
      <c r="A146" s="37" t="s">
        <v>1749</v>
      </c>
      <c r="B146" s="8" t="s">
        <v>501</v>
      </c>
      <c r="C146" s="2">
        <f t="shared" si="69"/>
        <v>1315989.95</v>
      </c>
      <c r="D146" s="3">
        <f t="shared" si="67"/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4">
        <v>0</v>
      </c>
      <c r="L146" s="3">
        <v>0</v>
      </c>
      <c r="M146" s="3">
        <v>279</v>
      </c>
      <c r="N146" s="3">
        <v>1259354.3999999999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56635.55</v>
      </c>
      <c r="V146" s="6">
        <f t="shared" si="68"/>
        <v>4513.8150537634401</v>
      </c>
    </row>
    <row r="147" spans="1:22" ht="21.95" customHeight="1" x14ac:dyDescent="0.25">
      <c r="A147" s="37" t="s">
        <v>1750</v>
      </c>
      <c r="B147" s="8" t="s">
        <v>441</v>
      </c>
      <c r="C147" s="2">
        <f t="shared" si="69"/>
        <v>58699.22</v>
      </c>
      <c r="D147" s="3">
        <f t="shared" si="67"/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4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58699.22</v>
      </c>
      <c r="V147" s="6" t="e">
        <f t="shared" si="68"/>
        <v>#DIV/0!</v>
      </c>
    </row>
    <row r="148" spans="1:22" ht="21.95" customHeight="1" x14ac:dyDescent="0.25">
      <c r="A148" s="37" t="s">
        <v>1751</v>
      </c>
      <c r="B148" s="8" t="s">
        <v>442</v>
      </c>
      <c r="C148" s="2">
        <f t="shared" si="69"/>
        <v>44647.56</v>
      </c>
      <c r="D148" s="3">
        <f t="shared" si="67"/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4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44647.56</v>
      </c>
      <c r="V148" s="6" t="e">
        <f t="shared" si="68"/>
        <v>#DIV/0!</v>
      </c>
    </row>
    <row r="149" spans="1:22" ht="21.95" customHeight="1" x14ac:dyDescent="0.25">
      <c r="A149" s="37" t="s">
        <v>1752</v>
      </c>
      <c r="B149" s="8" t="s">
        <v>397</v>
      </c>
      <c r="C149" s="2">
        <f t="shared" si="69"/>
        <v>47629.84</v>
      </c>
      <c r="D149" s="3">
        <f t="shared" si="67"/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4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47629.84</v>
      </c>
      <c r="V149" s="6" t="e">
        <f t="shared" si="68"/>
        <v>#DIV/0!</v>
      </c>
    </row>
    <row r="150" spans="1:22" ht="21.95" customHeight="1" x14ac:dyDescent="0.25">
      <c r="A150" s="37" t="s">
        <v>1753</v>
      </c>
      <c r="B150" s="8" t="s">
        <v>684</v>
      </c>
      <c r="C150" s="2">
        <f t="shared" si="69"/>
        <v>46183.66</v>
      </c>
      <c r="D150" s="3">
        <f t="shared" si="67"/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4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46183.66</v>
      </c>
      <c r="V150" s="6" t="e">
        <f t="shared" si="68"/>
        <v>#DIV/0!</v>
      </c>
    </row>
    <row r="151" spans="1:22" ht="21.95" customHeight="1" x14ac:dyDescent="0.25">
      <c r="A151" s="37" t="s">
        <v>1754</v>
      </c>
      <c r="B151" s="8" t="s">
        <v>450</v>
      </c>
      <c r="C151" s="2">
        <f t="shared" si="69"/>
        <v>2465982.14</v>
      </c>
      <c r="D151" s="3">
        <f t="shared" si="67"/>
        <v>2266982.14</v>
      </c>
      <c r="E151" s="3">
        <v>516175.16</v>
      </c>
      <c r="F151" s="3">
        <v>1431256.76</v>
      </c>
      <c r="G151" s="3">
        <v>91201.7</v>
      </c>
      <c r="H151" s="3">
        <v>177805.5</v>
      </c>
      <c r="I151" s="3">
        <v>50543.02</v>
      </c>
      <c r="J151" s="3">
        <f>350*0</f>
        <v>0</v>
      </c>
      <c r="K151" s="4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199000</v>
      </c>
      <c r="V151" s="6" t="e">
        <f t="shared" si="68"/>
        <v>#DIV/0!</v>
      </c>
    </row>
    <row r="152" spans="1:22" ht="21.95" customHeight="1" x14ac:dyDescent="0.25">
      <c r="A152" s="37" t="s">
        <v>1755</v>
      </c>
      <c r="B152" s="8" t="s">
        <v>464</v>
      </c>
      <c r="C152" s="2">
        <f t="shared" si="69"/>
        <v>2191313.1800000002</v>
      </c>
      <c r="D152" s="3">
        <f t="shared" si="67"/>
        <v>1992313.1800000002</v>
      </c>
      <c r="E152" s="3">
        <v>1511058.34</v>
      </c>
      <c r="F152" s="3">
        <v>0</v>
      </c>
      <c r="G152" s="3">
        <v>314048.27</v>
      </c>
      <c r="H152" s="3">
        <v>0</v>
      </c>
      <c r="I152" s="3">
        <v>167206.57</v>
      </c>
      <c r="J152" s="3">
        <f>350*0</f>
        <v>0</v>
      </c>
      <c r="K152" s="4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199000</v>
      </c>
      <c r="V152" s="6" t="e">
        <f t="shared" si="68"/>
        <v>#DIV/0!</v>
      </c>
    </row>
    <row r="153" spans="1:22" ht="21.95" customHeight="1" x14ac:dyDescent="0.25">
      <c r="A153" s="37" t="s">
        <v>1756</v>
      </c>
      <c r="B153" s="23" t="s">
        <v>388</v>
      </c>
      <c r="C153" s="2">
        <f t="shared" si="69"/>
        <v>18021469.080000002</v>
      </c>
      <c r="D153" s="3">
        <f t="shared" si="67"/>
        <v>17822469.080000002</v>
      </c>
      <c r="E153" s="3">
        <v>2442289.9900000002</v>
      </c>
      <c r="F153" s="3">
        <v>10921411.74</v>
      </c>
      <c r="G153" s="3">
        <v>1214410.24</v>
      </c>
      <c r="H153" s="3">
        <v>2203282.2400000002</v>
      </c>
      <c r="I153" s="3">
        <v>1041074.87</v>
      </c>
      <c r="J153" s="3">
        <f>350*0</f>
        <v>0</v>
      </c>
      <c r="K153" s="4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199000</v>
      </c>
      <c r="V153" s="6" t="e">
        <f t="shared" si="68"/>
        <v>#DIV/0!</v>
      </c>
    </row>
    <row r="154" spans="1:22" ht="21.95" customHeight="1" x14ac:dyDescent="0.25">
      <c r="A154" s="37" t="s">
        <v>1757</v>
      </c>
      <c r="B154" s="24" t="s">
        <v>1381</v>
      </c>
      <c r="C154" s="2">
        <f t="shared" si="69"/>
        <v>11052597.710000001</v>
      </c>
      <c r="D154" s="3">
        <f t="shared" si="67"/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4">
        <v>0</v>
      </c>
      <c r="L154" s="3">
        <v>0</v>
      </c>
      <c r="M154" s="3">
        <v>801.26</v>
      </c>
      <c r="N154" s="3">
        <v>4224216.78</v>
      </c>
      <c r="O154" s="3">
        <v>0</v>
      </c>
      <c r="P154" s="3">
        <v>0</v>
      </c>
      <c r="Q154" s="3">
        <v>3036</v>
      </c>
      <c r="R154" s="3">
        <v>6828380.9299999997</v>
      </c>
      <c r="S154" s="3">
        <v>0</v>
      </c>
      <c r="T154" s="3">
        <v>0</v>
      </c>
      <c r="U154" s="3">
        <v>0</v>
      </c>
      <c r="V154" s="6">
        <f t="shared" si="68"/>
        <v>5271.9676259890675</v>
      </c>
    </row>
    <row r="155" spans="1:22" ht="21.95" customHeight="1" x14ac:dyDescent="0.25">
      <c r="A155" s="37" t="s">
        <v>1758</v>
      </c>
      <c r="B155" s="24" t="s">
        <v>1383</v>
      </c>
      <c r="C155" s="2">
        <f t="shared" si="69"/>
        <v>4233066</v>
      </c>
      <c r="D155" s="3">
        <f t="shared" si="67"/>
        <v>624195.6</v>
      </c>
      <c r="E155" s="3">
        <v>221836.79999999999</v>
      </c>
      <c r="F155" s="3">
        <v>306284.40000000002</v>
      </c>
      <c r="G155" s="3">
        <v>37188</v>
      </c>
      <c r="H155" s="3">
        <f>500*0</f>
        <v>0</v>
      </c>
      <c r="I155" s="3">
        <v>58886.400000000001</v>
      </c>
      <c r="J155" s="3">
        <f>350*0</f>
        <v>0</v>
      </c>
      <c r="K155" s="4">
        <v>0</v>
      </c>
      <c r="L155" s="3">
        <v>0</v>
      </c>
      <c r="M155" s="3">
        <v>361</v>
      </c>
      <c r="N155" s="3">
        <v>1912876.8</v>
      </c>
      <c r="O155" s="3">
        <v>0</v>
      </c>
      <c r="P155" s="3">
        <v>0</v>
      </c>
      <c r="Q155" s="3">
        <v>690</v>
      </c>
      <c r="R155" s="3">
        <v>1695993.6</v>
      </c>
      <c r="S155" s="3">
        <v>0</v>
      </c>
      <c r="T155" s="3">
        <v>0</v>
      </c>
      <c r="U155" s="3">
        <v>0</v>
      </c>
      <c r="V155" s="6">
        <f t="shared" si="68"/>
        <v>5298.8277008310251</v>
      </c>
    </row>
    <row r="156" spans="1:22" ht="21.95" customHeight="1" x14ac:dyDescent="0.25">
      <c r="A156" s="37" t="s">
        <v>1759</v>
      </c>
      <c r="B156" s="23" t="s">
        <v>454</v>
      </c>
      <c r="C156" s="2">
        <f t="shared" si="69"/>
        <v>5449604.25</v>
      </c>
      <c r="D156" s="3">
        <f t="shared" si="67"/>
        <v>927864.56</v>
      </c>
      <c r="E156" s="3">
        <v>187077.11</v>
      </c>
      <c r="F156" s="3">
        <v>681547.14</v>
      </c>
      <c r="G156" s="3">
        <v>42658.04</v>
      </c>
      <c r="H156" s="3">
        <f>500*0</f>
        <v>0</v>
      </c>
      <c r="I156" s="3">
        <v>16582.27</v>
      </c>
      <c r="J156" s="3">
        <f>350*0</f>
        <v>0</v>
      </c>
      <c r="K156" s="4">
        <v>0</v>
      </c>
      <c r="L156" s="3">
        <v>0</v>
      </c>
      <c r="M156" s="3">
        <v>598.12</v>
      </c>
      <c r="N156" s="3">
        <v>2746654.91</v>
      </c>
      <c r="O156" s="3">
        <v>0</v>
      </c>
      <c r="P156" s="3">
        <v>0</v>
      </c>
      <c r="Q156" s="3">
        <v>808.91</v>
      </c>
      <c r="R156" s="3">
        <v>1576084.78</v>
      </c>
      <c r="S156" s="3">
        <v>0</v>
      </c>
      <c r="T156" s="3">
        <v>0</v>
      </c>
      <c r="U156" s="3">
        <v>199000</v>
      </c>
      <c r="V156" s="6">
        <f t="shared" si="68"/>
        <v>4592.1469103190002</v>
      </c>
    </row>
    <row r="157" spans="1:22" ht="21.95" customHeight="1" x14ac:dyDescent="0.25">
      <c r="A157" s="37" t="s">
        <v>1760</v>
      </c>
      <c r="B157" s="23" t="s">
        <v>430</v>
      </c>
      <c r="C157" s="2">
        <f t="shared" si="69"/>
        <v>57604.23</v>
      </c>
      <c r="D157" s="3">
        <f t="shared" si="67"/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4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57604.23</v>
      </c>
      <c r="V157" s="6" t="e">
        <f t="shared" si="68"/>
        <v>#DIV/0!</v>
      </c>
    </row>
    <row r="158" spans="1:22" ht="21.95" customHeight="1" x14ac:dyDescent="0.25">
      <c r="A158" s="37" t="s">
        <v>1761</v>
      </c>
      <c r="B158" s="23" t="s">
        <v>435</v>
      </c>
      <c r="C158" s="2">
        <f t="shared" si="69"/>
        <v>57288.18</v>
      </c>
      <c r="D158" s="3">
        <f t="shared" si="67"/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4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57288.18</v>
      </c>
      <c r="V158" s="6" t="e">
        <f t="shared" si="68"/>
        <v>#DIV/0!</v>
      </c>
    </row>
    <row r="159" spans="1:22" ht="21.95" customHeight="1" x14ac:dyDescent="0.25">
      <c r="A159" s="37" t="s">
        <v>1762</v>
      </c>
      <c r="B159" s="23" t="s">
        <v>465</v>
      </c>
      <c r="C159" s="2">
        <f t="shared" si="69"/>
        <v>47015.32</v>
      </c>
      <c r="D159" s="3">
        <f t="shared" si="67"/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4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47015.32</v>
      </c>
      <c r="V159" s="6" t="e">
        <f t="shared" si="68"/>
        <v>#DIV/0!</v>
      </c>
    </row>
    <row r="160" spans="1:22" ht="21.95" customHeight="1" x14ac:dyDescent="0.25">
      <c r="A160" s="37" t="s">
        <v>1763</v>
      </c>
      <c r="B160" s="8" t="s">
        <v>413</v>
      </c>
      <c r="C160" s="2">
        <f t="shared" si="69"/>
        <v>43169.63</v>
      </c>
      <c r="D160" s="3">
        <f t="shared" si="67"/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4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43169.63</v>
      </c>
      <c r="V160" s="6" t="e">
        <f t="shared" si="68"/>
        <v>#DIV/0!</v>
      </c>
    </row>
    <row r="161" spans="1:22" ht="21.95" customHeight="1" x14ac:dyDescent="0.25">
      <c r="A161" s="37" t="s">
        <v>1764</v>
      </c>
      <c r="B161" s="8" t="s">
        <v>414</v>
      </c>
      <c r="C161" s="2">
        <f t="shared" si="69"/>
        <v>44381.3</v>
      </c>
      <c r="D161" s="3">
        <f t="shared" si="67"/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4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44381.3</v>
      </c>
      <c r="V161" s="6" t="e">
        <f t="shared" si="68"/>
        <v>#DIV/0!</v>
      </c>
    </row>
    <row r="162" spans="1:22" ht="21.95" customHeight="1" x14ac:dyDescent="0.25">
      <c r="A162" s="37" t="s">
        <v>1765</v>
      </c>
      <c r="B162" s="8" t="s">
        <v>415</v>
      </c>
      <c r="C162" s="2">
        <f t="shared" si="69"/>
        <v>42168.68</v>
      </c>
      <c r="D162" s="3">
        <f t="shared" si="67"/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4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42168.68</v>
      </c>
      <c r="V162" s="6" t="e">
        <f t="shared" si="68"/>
        <v>#DIV/0!</v>
      </c>
    </row>
    <row r="163" spans="1:22" ht="21.95" customHeight="1" x14ac:dyDescent="0.25">
      <c r="A163" s="37" t="s">
        <v>1766</v>
      </c>
      <c r="B163" s="8" t="s">
        <v>412</v>
      </c>
      <c r="C163" s="2">
        <f t="shared" si="69"/>
        <v>44381.3</v>
      </c>
      <c r="D163" s="3">
        <f t="shared" si="67"/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4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44381.3</v>
      </c>
      <c r="V163" s="6" t="e">
        <f t="shared" si="68"/>
        <v>#DIV/0!</v>
      </c>
    </row>
    <row r="164" spans="1:22" ht="21.95" customHeight="1" x14ac:dyDescent="0.25">
      <c r="A164" s="37" t="s">
        <v>1767</v>
      </c>
      <c r="B164" s="8" t="s">
        <v>505</v>
      </c>
      <c r="C164" s="2">
        <f t="shared" si="69"/>
        <v>24442991.599999998</v>
      </c>
      <c r="D164" s="3">
        <f t="shared" si="67"/>
        <v>12208533.599999998</v>
      </c>
      <c r="E164" s="3">
        <v>2876661.6</v>
      </c>
      <c r="F164" s="3">
        <v>4556289.5999999996</v>
      </c>
      <c r="G164" s="3">
        <v>1168137.6000000001</v>
      </c>
      <c r="H164" s="3">
        <v>1347771.6</v>
      </c>
      <c r="I164" s="3">
        <v>2259673.2000000002</v>
      </c>
      <c r="J164" s="3">
        <f>350*0</f>
        <v>0</v>
      </c>
      <c r="K164" s="4">
        <v>0</v>
      </c>
      <c r="L164" s="3">
        <v>0</v>
      </c>
      <c r="M164" s="3">
        <v>1132.45</v>
      </c>
      <c r="N164" s="3">
        <v>3339720</v>
      </c>
      <c r="O164" s="3">
        <v>1012</v>
      </c>
      <c r="P164" s="3">
        <f>O164*1200</f>
        <v>1214400</v>
      </c>
      <c r="Q164" s="3">
        <v>3140</v>
      </c>
      <c r="R164" s="3">
        <v>7480338</v>
      </c>
      <c r="S164" s="3">
        <v>0</v>
      </c>
      <c r="T164" s="3">
        <v>0</v>
      </c>
      <c r="U164" s="3">
        <v>200000</v>
      </c>
      <c r="V164" s="6">
        <f t="shared" si="68"/>
        <v>2949.1103359971739</v>
      </c>
    </row>
    <row r="165" spans="1:22" ht="21.95" customHeight="1" x14ac:dyDescent="0.25">
      <c r="A165" s="37" t="s">
        <v>1768</v>
      </c>
      <c r="B165" s="24" t="s">
        <v>1399</v>
      </c>
      <c r="C165" s="2">
        <f t="shared" si="69"/>
        <v>1845974.65</v>
      </c>
      <c r="D165" s="3">
        <f t="shared" si="67"/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4">
        <v>0</v>
      </c>
      <c r="L165" s="3">
        <v>0</v>
      </c>
      <c r="M165" s="3">
        <v>343</v>
      </c>
      <c r="N165" s="3">
        <v>1595353.2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250621.45</v>
      </c>
      <c r="V165" s="6">
        <f t="shared" si="68"/>
        <v>4651.1755102040815</v>
      </c>
    </row>
    <row r="166" spans="1:22" ht="21.95" customHeight="1" x14ac:dyDescent="0.25">
      <c r="A166" s="37" t="s">
        <v>1769</v>
      </c>
      <c r="B166" s="8" t="s">
        <v>466</v>
      </c>
      <c r="C166" s="2">
        <f t="shared" si="69"/>
        <v>60640.68</v>
      </c>
      <c r="D166" s="3">
        <f t="shared" si="67"/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4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60640.68</v>
      </c>
      <c r="V166" s="6" t="e">
        <f t="shared" si="68"/>
        <v>#DIV/0!</v>
      </c>
    </row>
    <row r="167" spans="1:22" ht="21.95" customHeight="1" x14ac:dyDescent="0.25">
      <c r="A167" s="37" t="s">
        <v>1770</v>
      </c>
      <c r="B167" s="8" t="s">
        <v>455</v>
      </c>
      <c r="C167" s="2">
        <f t="shared" si="69"/>
        <v>21399145.73</v>
      </c>
      <c r="D167" s="3">
        <f t="shared" si="67"/>
        <v>21200145.73</v>
      </c>
      <c r="E167" s="3">
        <v>3268204.8</v>
      </c>
      <c r="F167" s="3">
        <v>13156670.470000001</v>
      </c>
      <c r="G167" s="3">
        <v>1780430.71</v>
      </c>
      <c r="H167" s="3">
        <v>1745882.32</v>
      </c>
      <c r="I167" s="3">
        <v>1248957.43</v>
      </c>
      <c r="J167" s="3">
        <f t="shared" ref="J167:J172" si="70">0*350</f>
        <v>0</v>
      </c>
      <c r="K167" s="4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199000</v>
      </c>
      <c r="V167" s="6" t="e">
        <f t="shared" si="68"/>
        <v>#DIV/0!</v>
      </c>
    </row>
    <row r="168" spans="1:22" ht="21.95" customHeight="1" x14ac:dyDescent="0.25">
      <c r="A168" s="37" t="s">
        <v>1771</v>
      </c>
      <c r="B168" s="8" t="s">
        <v>444</v>
      </c>
      <c r="C168" s="2">
        <f t="shared" si="69"/>
        <v>128639.99</v>
      </c>
      <c r="D168" s="3">
        <f t="shared" si="67"/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f t="shared" si="70"/>
        <v>0</v>
      </c>
      <c r="K168" s="4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128639.99</v>
      </c>
      <c r="V168" s="6" t="e">
        <f t="shared" si="68"/>
        <v>#DIV/0!</v>
      </c>
    </row>
    <row r="169" spans="1:22" ht="21.95" customHeight="1" x14ac:dyDescent="0.25">
      <c r="A169" s="37" t="s">
        <v>1617</v>
      </c>
      <c r="B169" s="8" t="s">
        <v>436</v>
      </c>
      <c r="C169" s="2">
        <f t="shared" si="69"/>
        <v>200000</v>
      </c>
      <c r="D169" s="3">
        <f t="shared" si="67"/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f t="shared" si="70"/>
        <v>0</v>
      </c>
      <c r="K169" s="4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200000</v>
      </c>
      <c r="V169" s="6" t="e">
        <f t="shared" si="68"/>
        <v>#DIV/0!</v>
      </c>
    </row>
    <row r="170" spans="1:22" ht="21.95" customHeight="1" x14ac:dyDescent="0.25">
      <c r="A170" s="37" t="s">
        <v>1618</v>
      </c>
      <c r="B170" s="8" t="s">
        <v>421</v>
      </c>
      <c r="C170" s="2">
        <f t="shared" si="69"/>
        <v>2315708.7499999995</v>
      </c>
      <c r="D170" s="3">
        <f t="shared" si="67"/>
        <v>2191927.1999999997</v>
      </c>
      <c r="E170" s="3">
        <v>398486.4</v>
      </c>
      <c r="F170" s="3">
        <v>1460510.4</v>
      </c>
      <c r="G170" s="3">
        <v>185814</v>
      </c>
      <c r="H170" s="3">
        <v>0</v>
      </c>
      <c r="I170" s="3">
        <v>147116.4</v>
      </c>
      <c r="J170" s="3">
        <f t="shared" si="70"/>
        <v>0</v>
      </c>
      <c r="K170" s="4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123781.55</v>
      </c>
      <c r="V170" s="6" t="e">
        <f t="shared" si="68"/>
        <v>#DIV/0!</v>
      </c>
    </row>
    <row r="171" spans="1:22" ht="21.95" customHeight="1" x14ac:dyDescent="0.25">
      <c r="A171" s="37" t="s">
        <v>1772</v>
      </c>
      <c r="B171" s="8" t="s">
        <v>437</v>
      </c>
      <c r="C171" s="2">
        <f t="shared" si="69"/>
        <v>200000</v>
      </c>
      <c r="D171" s="3">
        <f t="shared" si="67"/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f t="shared" si="70"/>
        <v>0</v>
      </c>
      <c r="K171" s="4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200000</v>
      </c>
      <c r="V171" s="6" t="e">
        <f t="shared" si="68"/>
        <v>#DIV/0!</v>
      </c>
    </row>
    <row r="172" spans="1:22" ht="21.95" customHeight="1" x14ac:dyDescent="0.25">
      <c r="A172" s="37" t="s">
        <v>1619</v>
      </c>
      <c r="B172" s="8" t="s">
        <v>443</v>
      </c>
      <c r="C172" s="2">
        <f t="shared" si="69"/>
        <v>128923.69</v>
      </c>
      <c r="D172" s="3">
        <f t="shared" si="67"/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f t="shared" si="70"/>
        <v>0</v>
      </c>
      <c r="K172" s="4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128923.69</v>
      </c>
      <c r="V172" s="6" t="e">
        <f t="shared" si="68"/>
        <v>#DIV/0!</v>
      </c>
    </row>
    <row r="173" spans="1:22" ht="21.95" customHeight="1" x14ac:dyDescent="0.25">
      <c r="A173" s="37" t="s">
        <v>1620</v>
      </c>
      <c r="B173" s="8" t="s">
        <v>480</v>
      </c>
      <c r="C173" s="2">
        <f t="shared" si="69"/>
        <v>6825610.0200000005</v>
      </c>
      <c r="D173" s="3">
        <f t="shared" si="67"/>
        <v>6632610.0200000005</v>
      </c>
      <c r="E173" s="3">
        <v>953371.75</v>
      </c>
      <c r="F173" s="3">
        <v>4865769.32</v>
      </c>
      <c r="G173" s="3">
        <v>274070.62</v>
      </c>
      <c r="H173" s="3">
        <v>439665.58</v>
      </c>
      <c r="I173" s="3">
        <v>99732.75</v>
      </c>
      <c r="J173" s="3">
        <f>350*0</f>
        <v>0</v>
      </c>
      <c r="K173" s="4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193000</v>
      </c>
      <c r="V173" s="6" t="e">
        <f t="shared" si="68"/>
        <v>#DIV/0!</v>
      </c>
    </row>
    <row r="174" spans="1:22" ht="21.95" customHeight="1" x14ac:dyDescent="0.25">
      <c r="A174" s="37" t="s">
        <v>1773</v>
      </c>
      <c r="B174" s="8" t="s">
        <v>401</v>
      </c>
      <c r="C174" s="2">
        <f t="shared" si="69"/>
        <v>200000</v>
      </c>
      <c r="D174" s="3">
        <f t="shared" si="67"/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f>350*0</f>
        <v>0</v>
      </c>
      <c r="K174" s="4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200000</v>
      </c>
      <c r="V174" s="6" t="e">
        <f t="shared" si="68"/>
        <v>#DIV/0!</v>
      </c>
    </row>
    <row r="175" spans="1:22" ht="21.95" customHeight="1" x14ac:dyDescent="0.25">
      <c r="A175" s="37" t="s">
        <v>1774</v>
      </c>
      <c r="B175" s="23" t="s">
        <v>446</v>
      </c>
      <c r="C175" s="2">
        <f t="shared" ref="C175:C210" si="71">D175+L175+N175+P175+R175+S175+T175+U175</f>
        <v>200000</v>
      </c>
      <c r="D175" s="3">
        <f t="shared" ref="D175:D209" si="72">SUM(E175:J175)</f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f t="shared" ref="J175:J534" si="73">350*0</f>
        <v>0</v>
      </c>
      <c r="K175" s="4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200000</v>
      </c>
      <c r="V175" s="6" t="e">
        <f t="shared" ref="V175:V211" si="74">N175/M175</f>
        <v>#DIV/0!</v>
      </c>
    </row>
    <row r="176" spans="1:22" ht="21.95" customHeight="1" x14ac:dyDescent="0.25">
      <c r="A176" s="37" t="s">
        <v>1775</v>
      </c>
      <c r="B176" s="8" t="s">
        <v>481</v>
      </c>
      <c r="C176" s="2">
        <f t="shared" si="71"/>
        <v>3724471.58</v>
      </c>
      <c r="D176" s="3">
        <f t="shared" si="72"/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4">
        <v>0</v>
      </c>
      <c r="L176" s="3">
        <v>0</v>
      </c>
      <c r="M176" s="3">
        <v>802.6</v>
      </c>
      <c r="N176" s="3">
        <v>3641665.2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82806.38</v>
      </c>
      <c r="V176" s="6">
        <f t="shared" si="74"/>
        <v>4537.3351607276354</v>
      </c>
    </row>
    <row r="177" spans="1:22" ht="21.95" customHeight="1" x14ac:dyDescent="0.25">
      <c r="A177" s="37" t="s">
        <v>1776</v>
      </c>
      <c r="B177" s="8" t="s">
        <v>467</v>
      </c>
      <c r="C177" s="2">
        <f t="shared" si="71"/>
        <v>62674.98</v>
      </c>
      <c r="D177" s="3">
        <f t="shared" si="72"/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4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62674.98</v>
      </c>
      <c r="V177" s="6" t="e">
        <f t="shared" si="74"/>
        <v>#DIV/0!</v>
      </c>
    </row>
    <row r="178" spans="1:22" ht="21.95" customHeight="1" x14ac:dyDescent="0.25">
      <c r="A178" s="37" t="s">
        <v>1777</v>
      </c>
      <c r="B178" s="8" t="s">
        <v>468</v>
      </c>
      <c r="C178" s="2">
        <f t="shared" si="71"/>
        <v>63754.32</v>
      </c>
      <c r="D178" s="3">
        <f t="shared" si="72"/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4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63754.32</v>
      </c>
      <c r="V178" s="6" t="e">
        <f t="shared" si="74"/>
        <v>#DIV/0!</v>
      </c>
    </row>
    <row r="179" spans="1:22" ht="21.95" customHeight="1" x14ac:dyDescent="0.25">
      <c r="A179" s="37" t="s">
        <v>1778</v>
      </c>
      <c r="B179" s="23" t="s">
        <v>451</v>
      </c>
      <c r="C179" s="2">
        <f t="shared" si="71"/>
        <v>4392186.8099999996</v>
      </c>
      <c r="D179" s="3">
        <f t="shared" si="72"/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4">
        <v>0</v>
      </c>
      <c r="L179" s="3">
        <v>0</v>
      </c>
      <c r="M179" s="3">
        <v>635</v>
      </c>
      <c r="N179" s="3">
        <v>2751054.57</v>
      </c>
      <c r="O179" s="3">
        <v>0</v>
      </c>
      <c r="P179" s="3">
        <v>0</v>
      </c>
      <c r="Q179" s="3">
        <v>630</v>
      </c>
      <c r="R179" s="3">
        <v>1641132.24</v>
      </c>
      <c r="S179" s="3">
        <v>0</v>
      </c>
      <c r="T179" s="3">
        <v>0</v>
      </c>
      <c r="U179" s="3">
        <v>0</v>
      </c>
      <c r="V179" s="6">
        <f t="shared" si="74"/>
        <v>4332.3694015748033</v>
      </c>
    </row>
    <row r="180" spans="1:22" ht="21.95" customHeight="1" x14ac:dyDescent="0.25">
      <c r="A180" s="37" t="s">
        <v>1779</v>
      </c>
      <c r="B180" s="8" t="s">
        <v>423</v>
      </c>
      <c r="C180" s="2">
        <f t="shared" si="71"/>
        <v>42590.11</v>
      </c>
      <c r="D180" s="3">
        <f t="shared" si="72"/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4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42590.11</v>
      </c>
      <c r="V180" s="6" t="e">
        <f t="shared" si="74"/>
        <v>#DIV/0!</v>
      </c>
    </row>
    <row r="181" spans="1:22" ht="21.95" customHeight="1" x14ac:dyDescent="0.25">
      <c r="A181" s="37" t="s">
        <v>1780</v>
      </c>
      <c r="B181" s="8" t="s">
        <v>482</v>
      </c>
      <c r="C181" s="2">
        <f t="shared" si="71"/>
        <v>200000</v>
      </c>
      <c r="D181" s="3">
        <f t="shared" si="72"/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350*0</f>
        <v>0</v>
      </c>
      <c r="K181" s="4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200000</v>
      </c>
      <c r="V181" s="6" t="e">
        <f t="shared" si="74"/>
        <v>#DIV/0!</v>
      </c>
    </row>
    <row r="182" spans="1:22" ht="21.95" customHeight="1" x14ac:dyDescent="0.25">
      <c r="A182" s="37" t="s">
        <v>1781</v>
      </c>
      <c r="B182" s="8" t="s">
        <v>452</v>
      </c>
      <c r="C182" s="2">
        <f t="shared" si="71"/>
        <v>4615765.99</v>
      </c>
      <c r="D182" s="3">
        <f t="shared" si="72"/>
        <v>4401472.04</v>
      </c>
      <c r="E182" s="3">
        <v>507047.63</v>
      </c>
      <c r="F182" s="3">
        <v>3221456.17</v>
      </c>
      <c r="G182" s="3">
        <v>152878.56</v>
      </c>
      <c r="H182" s="3">
        <v>455538.46</v>
      </c>
      <c r="I182" s="3">
        <v>64551.22</v>
      </c>
      <c r="J182" s="3">
        <f>350*0</f>
        <v>0</v>
      </c>
      <c r="K182" s="4">
        <v>0</v>
      </c>
      <c r="L182" s="3">
        <v>0</v>
      </c>
      <c r="M182" s="3">
        <v>0</v>
      </c>
      <c r="N182" s="3">
        <v>0</v>
      </c>
      <c r="O182" s="3">
        <v>20</v>
      </c>
      <c r="P182" s="3">
        <v>15293.94</v>
      </c>
      <c r="Q182" s="3">
        <v>0</v>
      </c>
      <c r="R182" s="3">
        <v>0</v>
      </c>
      <c r="S182" s="3">
        <v>0</v>
      </c>
      <c r="T182" s="3">
        <v>0</v>
      </c>
      <c r="U182" s="3">
        <v>199000.01</v>
      </c>
      <c r="V182" s="6" t="e">
        <f t="shared" si="74"/>
        <v>#DIV/0!</v>
      </c>
    </row>
    <row r="183" spans="1:22" ht="21.95" customHeight="1" x14ac:dyDescent="0.25">
      <c r="A183" s="37" t="s">
        <v>1621</v>
      </c>
      <c r="B183" s="23" t="s">
        <v>483</v>
      </c>
      <c r="C183" s="2">
        <f t="shared" si="71"/>
        <v>5786822.2199999997</v>
      </c>
      <c r="D183" s="3">
        <f t="shared" si="72"/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4">
        <v>0</v>
      </c>
      <c r="L183" s="3">
        <v>0</v>
      </c>
      <c r="M183" s="3">
        <v>1104.19</v>
      </c>
      <c r="N183" s="3">
        <v>5648708.9299999997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138113.29</v>
      </c>
      <c r="V183" s="6">
        <f t="shared" si="74"/>
        <v>5115.7037556942187</v>
      </c>
    </row>
    <row r="184" spans="1:22" ht="21.95" customHeight="1" x14ac:dyDescent="0.25">
      <c r="A184" s="37" t="s">
        <v>1782</v>
      </c>
      <c r="B184" s="24" t="s">
        <v>1388</v>
      </c>
      <c r="C184" s="2">
        <f>D184+L184+N184+P184+R184+S184+T184+U184</f>
        <v>2176312.8000000003</v>
      </c>
      <c r="D184" s="3">
        <f>SUM(E184:J184)</f>
        <v>2176312.8000000003</v>
      </c>
      <c r="E184" s="3">
        <v>0</v>
      </c>
      <c r="F184" s="3">
        <v>2114245.2000000002</v>
      </c>
      <c r="G184" s="3">
        <v>62067.6</v>
      </c>
      <c r="H184" s="3">
        <v>0</v>
      </c>
      <c r="I184" s="3">
        <v>0</v>
      </c>
      <c r="J184" s="3">
        <f>350*0</f>
        <v>0</v>
      </c>
      <c r="K184" s="4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5">
        <v>0</v>
      </c>
      <c r="S184" s="3">
        <v>0</v>
      </c>
      <c r="T184" s="3">
        <v>0</v>
      </c>
      <c r="U184" s="3">
        <v>0</v>
      </c>
      <c r="V184" s="6" t="e">
        <f>N184/M184</f>
        <v>#DIV/0!</v>
      </c>
    </row>
    <row r="185" spans="1:22" ht="21.95" customHeight="1" x14ac:dyDescent="0.25">
      <c r="A185" s="37" t="s">
        <v>1783</v>
      </c>
      <c r="B185" s="23" t="s">
        <v>395</v>
      </c>
      <c r="C185" s="2">
        <f t="shared" si="71"/>
        <v>78903.490000000005</v>
      </c>
      <c r="D185" s="3">
        <f t="shared" si="72"/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4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78903.490000000005</v>
      </c>
      <c r="V185" s="6" t="e">
        <f t="shared" si="74"/>
        <v>#DIV/0!</v>
      </c>
    </row>
    <row r="186" spans="1:22" ht="21.95" customHeight="1" x14ac:dyDescent="0.25">
      <c r="A186" s="37" t="s">
        <v>1784</v>
      </c>
      <c r="B186" s="8" t="s">
        <v>389</v>
      </c>
      <c r="C186" s="2">
        <f t="shared" si="71"/>
        <v>65980.28</v>
      </c>
      <c r="D186" s="3">
        <f t="shared" si="72"/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4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65980.28</v>
      </c>
      <c r="V186" s="6" t="e">
        <f t="shared" si="74"/>
        <v>#DIV/0!</v>
      </c>
    </row>
    <row r="187" spans="1:22" ht="21.95" customHeight="1" x14ac:dyDescent="0.25">
      <c r="A187" s="37" t="s">
        <v>1785</v>
      </c>
      <c r="B187" s="8" t="s">
        <v>403</v>
      </c>
      <c r="C187" s="2">
        <f>D187+L187+N187+P187+R187+S187+T187+U187</f>
        <v>118539.22</v>
      </c>
      <c r="D187" s="3">
        <f>SUM(E187:J187)</f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f t="shared" ref="J187:J192" si="75">350*0</f>
        <v>0</v>
      </c>
      <c r="K187" s="4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118539.22</v>
      </c>
      <c r="V187" s="6" t="e">
        <f>N187/M187</f>
        <v>#DIV/0!</v>
      </c>
    </row>
    <row r="188" spans="1:22" ht="21.95" customHeight="1" x14ac:dyDescent="0.25">
      <c r="A188" s="37" t="s">
        <v>1786</v>
      </c>
      <c r="B188" s="8" t="s">
        <v>504</v>
      </c>
      <c r="C188" s="2">
        <f t="shared" si="71"/>
        <v>11697685.68</v>
      </c>
      <c r="D188" s="3">
        <f t="shared" si="72"/>
        <v>3548145.14</v>
      </c>
      <c r="E188" s="3">
        <v>511667.81</v>
      </c>
      <c r="F188" s="3">
        <v>2608011.42</v>
      </c>
      <c r="G188" s="3">
        <v>309700.71999999997</v>
      </c>
      <c r="H188" s="3">
        <f>500*0</f>
        <v>0</v>
      </c>
      <c r="I188" s="3">
        <v>118765.19</v>
      </c>
      <c r="J188" s="3">
        <f t="shared" si="75"/>
        <v>0</v>
      </c>
      <c r="K188" s="4">
        <v>0</v>
      </c>
      <c r="L188" s="3">
        <v>0</v>
      </c>
      <c r="M188" s="3">
        <v>857.62</v>
      </c>
      <c r="N188" s="3">
        <v>3957230.42</v>
      </c>
      <c r="O188" s="3">
        <v>0</v>
      </c>
      <c r="P188" s="3">
        <v>0</v>
      </c>
      <c r="Q188" s="3">
        <v>1750</v>
      </c>
      <c r="R188" s="3">
        <v>3993310.12</v>
      </c>
      <c r="S188" s="3">
        <v>0</v>
      </c>
      <c r="T188" s="3">
        <v>0</v>
      </c>
      <c r="U188" s="3">
        <v>199000</v>
      </c>
      <c r="V188" s="6">
        <f t="shared" si="74"/>
        <v>4614.2002518597983</v>
      </c>
    </row>
    <row r="189" spans="1:22" ht="21.95" customHeight="1" x14ac:dyDescent="0.25">
      <c r="A189" s="37" t="s">
        <v>1787</v>
      </c>
      <c r="B189" s="8" t="s">
        <v>1386</v>
      </c>
      <c r="C189" s="2">
        <f t="shared" si="71"/>
        <v>367317.96</v>
      </c>
      <c r="D189" s="3">
        <f t="shared" si="72"/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f t="shared" si="75"/>
        <v>0</v>
      </c>
      <c r="K189" s="4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367317.96</v>
      </c>
      <c r="V189" s="6" t="e">
        <f t="shared" si="74"/>
        <v>#DIV/0!</v>
      </c>
    </row>
    <row r="190" spans="1:22" ht="21.95" customHeight="1" x14ac:dyDescent="0.25">
      <c r="A190" s="37" t="s">
        <v>1788</v>
      </c>
      <c r="B190" s="8" t="s">
        <v>1410</v>
      </c>
      <c r="C190" s="2">
        <f t="shared" si="71"/>
        <v>13956660.52</v>
      </c>
      <c r="D190" s="3">
        <f t="shared" si="72"/>
        <v>12664962</v>
      </c>
      <c r="E190" s="3">
        <v>0</v>
      </c>
      <c r="F190" s="3">
        <v>8827056</v>
      </c>
      <c r="G190" s="3">
        <v>1214772</v>
      </c>
      <c r="H190" s="3">
        <v>1713249.6</v>
      </c>
      <c r="I190" s="3">
        <v>909884.4</v>
      </c>
      <c r="J190" s="3">
        <f t="shared" si="75"/>
        <v>0</v>
      </c>
      <c r="K190" s="4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678303.6</v>
      </c>
      <c r="U190" s="3">
        <v>613394.92000000004</v>
      </c>
      <c r="V190" s="6" t="e">
        <f t="shared" si="74"/>
        <v>#DIV/0!</v>
      </c>
    </row>
    <row r="191" spans="1:22" ht="21.95" customHeight="1" x14ac:dyDescent="0.25">
      <c r="A191" s="37" t="s">
        <v>1789</v>
      </c>
      <c r="B191" s="8" t="s">
        <v>398</v>
      </c>
      <c r="C191" s="2">
        <f t="shared" si="71"/>
        <v>200000</v>
      </c>
      <c r="D191" s="3">
        <f t="shared" si="72"/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f t="shared" si="75"/>
        <v>0</v>
      </c>
      <c r="K191" s="4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200000</v>
      </c>
      <c r="V191" s="6" t="e">
        <f t="shared" si="74"/>
        <v>#DIV/0!</v>
      </c>
    </row>
    <row r="192" spans="1:22" ht="21.95" customHeight="1" x14ac:dyDescent="0.25">
      <c r="A192" s="37" t="s">
        <v>1790</v>
      </c>
      <c r="B192" s="8" t="s">
        <v>392</v>
      </c>
      <c r="C192" s="2">
        <f t="shared" si="71"/>
        <v>186810.04</v>
      </c>
      <c r="D192" s="3">
        <f t="shared" si="72"/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f t="shared" si="75"/>
        <v>0</v>
      </c>
      <c r="K192" s="4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186810.04</v>
      </c>
      <c r="V192" s="6" t="e">
        <f t="shared" si="74"/>
        <v>#DIV/0!</v>
      </c>
    </row>
    <row r="193" spans="1:22" ht="21.95" customHeight="1" x14ac:dyDescent="0.25">
      <c r="A193" s="37" t="s">
        <v>1791</v>
      </c>
      <c r="B193" s="24" t="s">
        <v>1382</v>
      </c>
      <c r="C193" s="2">
        <f t="shared" si="71"/>
        <v>4548983.59</v>
      </c>
      <c r="D193" s="3">
        <f t="shared" si="72"/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4">
        <v>0</v>
      </c>
      <c r="L193" s="3">
        <v>0</v>
      </c>
      <c r="M193" s="3">
        <v>708</v>
      </c>
      <c r="N193" s="3">
        <v>2578309.27</v>
      </c>
      <c r="O193" s="3">
        <v>0</v>
      </c>
      <c r="P193" s="3">
        <v>0</v>
      </c>
      <c r="Q193" s="3">
        <v>1172</v>
      </c>
      <c r="R193" s="5">
        <v>1970674.32</v>
      </c>
      <c r="S193" s="3">
        <v>0</v>
      </c>
      <c r="T193" s="3">
        <v>0</v>
      </c>
      <c r="U193" s="3">
        <v>0</v>
      </c>
      <c r="V193" s="6">
        <f t="shared" si="74"/>
        <v>3641.6797598870057</v>
      </c>
    </row>
    <row r="194" spans="1:22" ht="21.95" customHeight="1" x14ac:dyDescent="0.25">
      <c r="A194" s="37" t="s">
        <v>1792</v>
      </c>
      <c r="B194" s="8" t="s">
        <v>507</v>
      </c>
      <c r="C194" s="2">
        <f t="shared" si="71"/>
        <v>4309443.47</v>
      </c>
      <c r="D194" s="3">
        <f t="shared" si="72"/>
        <v>604965.24</v>
      </c>
      <c r="E194" s="3">
        <v>604965.24</v>
      </c>
      <c r="F194" s="3">
        <v>0</v>
      </c>
      <c r="G194" s="3">
        <v>0</v>
      </c>
      <c r="H194" s="3">
        <f>800*0</f>
        <v>0</v>
      </c>
      <c r="I194" s="3">
        <v>0</v>
      </c>
      <c r="J194" s="3">
        <f>800*0</f>
        <v>0</v>
      </c>
      <c r="K194" s="4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1915</v>
      </c>
      <c r="R194" s="3">
        <v>3506478.23</v>
      </c>
      <c r="S194" s="3">
        <v>0</v>
      </c>
      <c r="T194" s="3">
        <v>0</v>
      </c>
      <c r="U194" s="3">
        <v>198000</v>
      </c>
      <c r="V194" s="6" t="e">
        <f t="shared" si="74"/>
        <v>#DIV/0!</v>
      </c>
    </row>
    <row r="195" spans="1:22" ht="21.95" customHeight="1" x14ac:dyDescent="0.25">
      <c r="A195" s="37" t="s">
        <v>1793</v>
      </c>
      <c r="B195" s="8" t="s">
        <v>469</v>
      </c>
      <c r="C195" s="2">
        <f t="shared" si="71"/>
        <v>80998.289999999994</v>
      </c>
      <c r="D195" s="3">
        <f t="shared" si="72"/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4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80998.289999999994</v>
      </c>
      <c r="V195" s="6" t="e">
        <f t="shared" si="74"/>
        <v>#DIV/0!</v>
      </c>
    </row>
    <row r="196" spans="1:22" ht="21.95" customHeight="1" x14ac:dyDescent="0.25">
      <c r="A196" s="37" t="s">
        <v>1794</v>
      </c>
      <c r="B196" s="8" t="s">
        <v>1411</v>
      </c>
      <c r="C196" s="2">
        <f t="shared" si="71"/>
        <v>268000</v>
      </c>
      <c r="D196" s="3">
        <f t="shared" si="72"/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11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268000</v>
      </c>
      <c r="V196" s="6" t="e">
        <f t="shared" si="74"/>
        <v>#DIV/0!</v>
      </c>
    </row>
    <row r="197" spans="1:22" ht="21.95" customHeight="1" x14ac:dyDescent="0.25">
      <c r="A197" s="37" t="s">
        <v>1795</v>
      </c>
      <c r="B197" s="8" t="s">
        <v>409</v>
      </c>
      <c r="C197" s="2">
        <f t="shared" si="71"/>
        <v>200000</v>
      </c>
      <c r="D197" s="3">
        <f t="shared" si="72"/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f>800*0</f>
        <v>0</v>
      </c>
      <c r="K197" s="4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200000</v>
      </c>
      <c r="V197" s="6" t="e">
        <f t="shared" si="74"/>
        <v>#DIV/0!</v>
      </c>
    </row>
    <row r="198" spans="1:22" ht="21.95" customHeight="1" x14ac:dyDescent="0.25">
      <c r="A198" s="37" t="s">
        <v>1796</v>
      </c>
      <c r="B198" s="24" t="s">
        <v>1371</v>
      </c>
      <c r="C198" s="2">
        <f>D198+L198+N198+P198+R198+S198+T198+U198</f>
        <v>549889.57999999996</v>
      </c>
      <c r="D198" s="3">
        <f>SUM(E198:J198)</f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4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5">
        <f>Q198*3000</f>
        <v>0</v>
      </c>
      <c r="S198" s="3">
        <v>0</v>
      </c>
      <c r="T198" s="3">
        <v>0</v>
      </c>
      <c r="U198" s="3">
        <v>549889.57999999996</v>
      </c>
      <c r="V198" s="6" t="e">
        <f>N198/M198</f>
        <v>#DIV/0!</v>
      </c>
    </row>
    <row r="199" spans="1:22" ht="21.95" customHeight="1" x14ac:dyDescent="0.25">
      <c r="A199" s="37" t="s">
        <v>1797</v>
      </c>
      <c r="B199" s="8" t="s">
        <v>485</v>
      </c>
      <c r="C199" s="2">
        <f t="shared" si="71"/>
        <v>2317624.1</v>
      </c>
      <c r="D199" s="3">
        <f t="shared" si="72"/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4">
        <v>0</v>
      </c>
      <c r="L199" s="3">
        <v>0</v>
      </c>
      <c r="M199" s="3">
        <v>453</v>
      </c>
      <c r="N199" s="3">
        <v>2255097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62527.1</v>
      </c>
      <c r="V199" s="6">
        <f t="shared" si="74"/>
        <v>4978.1390728476817</v>
      </c>
    </row>
    <row r="200" spans="1:22" ht="21.95" customHeight="1" x14ac:dyDescent="0.25">
      <c r="A200" s="37" t="s">
        <v>1798</v>
      </c>
      <c r="B200" s="8" t="s">
        <v>486</v>
      </c>
      <c r="C200" s="2">
        <f t="shared" si="71"/>
        <v>1057534.19</v>
      </c>
      <c r="D200" s="3">
        <f t="shared" si="72"/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4">
        <v>0</v>
      </c>
      <c r="L200" s="3">
        <v>0</v>
      </c>
      <c r="M200" s="3">
        <v>248.6</v>
      </c>
      <c r="N200" s="3">
        <v>1001101.08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56433.11</v>
      </c>
      <c r="V200" s="6">
        <f t="shared" si="74"/>
        <v>4026.9552695092516</v>
      </c>
    </row>
    <row r="201" spans="1:22" ht="21.95" customHeight="1" x14ac:dyDescent="0.25">
      <c r="A201" s="37" t="s">
        <v>1799</v>
      </c>
      <c r="B201" s="8" t="s">
        <v>502</v>
      </c>
      <c r="C201" s="2">
        <f t="shared" si="71"/>
        <v>3327672.9299999997</v>
      </c>
      <c r="D201" s="3">
        <f t="shared" si="72"/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4">
        <v>0</v>
      </c>
      <c r="L201" s="3">
        <v>0</v>
      </c>
      <c r="M201" s="3">
        <v>634.84</v>
      </c>
      <c r="N201" s="3">
        <v>3259740.4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67932.53</v>
      </c>
      <c r="V201" s="6">
        <f t="shared" si="74"/>
        <v>5134.7432423917835</v>
      </c>
    </row>
    <row r="202" spans="1:22" ht="21.95" customHeight="1" x14ac:dyDescent="0.25">
      <c r="A202" s="37" t="s">
        <v>1800</v>
      </c>
      <c r="B202" s="8" t="s">
        <v>432</v>
      </c>
      <c r="C202" s="2">
        <f t="shared" si="71"/>
        <v>2462464.0900000003</v>
      </c>
      <c r="D202" s="3">
        <f t="shared" si="72"/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4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977.6</v>
      </c>
      <c r="R202" s="3">
        <v>2398059.4500000002</v>
      </c>
      <c r="S202" s="3">
        <v>0</v>
      </c>
      <c r="T202" s="3">
        <v>0</v>
      </c>
      <c r="U202" s="3">
        <v>64404.639999999999</v>
      </c>
      <c r="V202" s="6" t="e">
        <f t="shared" si="74"/>
        <v>#DIV/0!</v>
      </c>
    </row>
    <row r="203" spans="1:22" ht="21.95" customHeight="1" x14ac:dyDescent="0.25">
      <c r="A203" s="37" t="s">
        <v>1801</v>
      </c>
      <c r="B203" s="24" t="s">
        <v>1412</v>
      </c>
      <c r="C203" s="2">
        <f t="shared" si="71"/>
        <v>117294.52</v>
      </c>
      <c r="D203" s="3">
        <f t="shared" si="72"/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4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117294.52</v>
      </c>
      <c r="V203" s="6" t="e">
        <f t="shared" si="74"/>
        <v>#DIV/0!</v>
      </c>
    </row>
    <row r="204" spans="1:22" ht="21.95" customHeight="1" x14ac:dyDescent="0.25">
      <c r="A204" s="37" t="s">
        <v>1802</v>
      </c>
      <c r="B204" s="8" t="s">
        <v>419</v>
      </c>
      <c r="C204" s="2">
        <f t="shared" si="71"/>
        <v>58789.59</v>
      </c>
      <c r="D204" s="3">
        <f t="shared" si="72"/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4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58789.59</v>
      </c>
      <c r="V204" s="6" t="e">
        <f t="shared" si="74"/>
        <v>#DIV/0!</v>
      </c>
    </row>
    <row r="205" spans="1:22" ht="21.95" customHeight="1" x14ac:dyDescent="0.25">
      <c r="A205" s="37" t="s">
        <v>1622</v>
      </c>
      <c r="B205" s="8" t="s">
        <v>404</v>
      </c>
      <c r="C205" s="2">
        <f t="shared" si="71"/>
        <v>2630727.2000000002</v>
      </c>
      <c r="D205" s="3">
        <f t="shared" si="72"/>
        <v>2430727.2000000002</v>
      </c>
      <c r="E205" s="3">
        <v>595615.19999999995</v>
      </c>
      <c r="F205" s="3">
        <v>1138555.2</v>
      </c>
      <c r="G205" s="3">
        <v>184335.6</v>
      </c>
      <c r="H205" s="3">
        <v>440160</v>
      </c>
      <c r="I205" s="3">
        <v>72061.2</v>
      </c>
      <c r="J205" s="3">
        <f>350*0</f>
        <v>0</v>
      </c>
      <c r="K205" s="4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200000</v>
      </c>
      <c r="V205" s="6" t="e">
        <f t="shared" si="74"/>
        <v>#DIV/0!</v>
      </c>
    </row>
    <row r="206" spans="1:22" ht="21.95" customHeight="1" x14ac:dyDescent="0.25">
      <c r="A206" s="37" t="s">
        <v>1803</v>
      </c>
      <c r="B206" s="8" t="s">
        <v>503</v>
      </c>
      <c r="C206" s="2">
        <f t="shared" si="71"/>
        <v>20198852.490000002</v>
      </c>
      <c r="D206" s="3">
        <f t="shared" si="72"/>
        <v>8290566.7300000004</v>
      </c>
      <c r="E206" s="3">
        <v>974647.2</v>
      </c>
      <c r="F206" s="3">
        <v>6257556</v>
      </c>
      <c r="G206" s="3">
        <v>328655.65999999997</v>
      </c>
      <c r="H206" s="3">
        <v>417570</v>
      </c>
      <c r="I206" s="3">
        <v>312137.87</v>
      </c>
      <c r="J206" s="3">
        <f>350*0</f>
        <v>0</v>
      </c>
      <c r="K206" s="4">
        <v>0</v>
      </c>
      <c r="L206" s="3">
        <v>0</v>
      </c>
      <c r="M206" s="3">
        <v>1093.4000000000001</v>
      </c>
      <c r="N206" s="3">
        <v>5292149.4800000004</v>
      </c>
      <c r="O206" s="3">
        <v>0</v>
      </c>
      <c r="P206" s="3">
        <v>0</v>
      </c>
      <c r="Q206" s="3">
        <v>3306</v>
      </c>
      <c r="R206" s="3">
        <v>6417136.2800000003</v>
      </c>
      <c r="S206" s="3">
        <v>0</v>
      </c>
      <c r="T206" s="3">
        <v>0</v>
      </c>
      <c r="U206" s="3">
        <v>199000</v>
      </c>
      <c r="V206" s="6">
        <f t="shared" si="74"/>
        <v>4840.0854947869029</v>
      </c>
    </row>
    <row r="207" spans="1:22" ht="21.95" customHeight="1" x14ac:dyDescent="0.25">
      <c r="A207" s="37" t="s">
        <v>1804</v>
      </c>
      <c r="B207" s="8" t="s">
        <v>831</v>
      </c>
      <c r="C207" s="2">
        <f t="shared" si="71"/>
        <v>3611336.3299999996</v>
      </c>
      <c r="D207" s="3">
        <f t="shared" si="72"/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f>350*0</f>
        <v>0</v>
      </c>
      <c r="K207" s="4">
        <v>2</v>
      </c>
      <c r="L207" s="3">
        <v>3467713.03</v>
      </c>
      <c r="M207" s="5">
        <v>0</v>
      </c>
      <c r="N207" s="5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143623.29999999999</v>
      </c>
      <c r="V207" s="6" t="e">
        <f t="shared" si="74"/>
        <v>#DIV/0!</v>
      </c>
    </row>
    <row r="208" spans="1:22" ht="21.95" customHeight="1" x14ac:dyDescent="0.25">
      <c r="A208" s="37" t="s">
        <v>1805</v>
      </c>
      <c r="B208" s="8" t="s">
        <v>411</v>
      </c>
      <c r="C208" s="2">
        <f t="shared" si="71"/>
        <v>2281426.62</v>
      </c>
      <c r="D208" s="3">
        <f t="shared" si="72"/>
        <v>0</v>
      </c>
      <c r="E208" s="3">
        <v>0</v>
      </c>
      <c r="F208" s="3">
        <v>0</v>
      </c>
      <c r="G208" s="3">
        <v>0</v>
      </c>
      <c r="H208" s="3">
        <f>800*0</f>
        <v>0</v>
      </c>
      <c r="I208" s="3">
        <v>0</v>
      </c>
      <c r="J208" s="3">
        <f>800*0</f>
        <v>0</v>
      </c>
      <c r="K208" s="4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750</v>
      </c>
      <c r="R208" s="3">
        <v>2250000</v>
      </c>
      <c r="S208" s="3">
        <v>0</v>
      </c>
      <c r="T208" s="3">
        <v>0</v>
      </c>
      <c r="U208" s="3">
        <v>31426.62</v>
      </c>
      <c r="V208" s="6" t="e">
        <f t="shared" si="74"/>
        <v>#DIV/0!</v>
      </c>
    </row>
    <row r="209" spans="1:22" ht="21.95" customHeight="1" x14ac:dyDescent="0.25">
      <c r="A209" s="37" t="s">
        <v>1806</v>
      </c>
      <c r="B209" s="24" t="s">
        <v>1362</v>
      </c>
      <c r="C209" s="2">
        <f t="shared" si="71"/>
        <v>3226159.2</v>
      </c>
      <c r="D209" s="3">
        <f t="shared" si="72"/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4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1265.5</v>
      </c>
      <c r="R209" s="3">
        <v>3226159.2</v>
      </c>
      <c r="S209" s="3">
        <v>0</v>
      </c>
      <c r="T209" s="3">
        <v>0</v>
      </c>
      <c r="U209" s="3">
        <v>0</v>
      </c>
      <c r="V209" s="6" t="e">
        <f t="shared" si="74"/>
        <v>#DIV/0!</v>
      </c>
    </row>
    <row r="210" spans="1:22" ht="21.95" customHeight="1" x14ac:dyDescent="0.25">
      <c r="A210" s="37" t="s">
        <v>1807</v>
      </c>
      <c r="B210" s="24" t="s">
        <v>1387</v>
      </c>
      <c r="C210" s="2">
        <f t="shared" si="71"/>
        <v>3368829.6</v>
      </c>
      <c r="D210" s="3">
        <f t="shared" ref="D210:D236" si="76">SUM(E210:J210)</f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4">
        <v>0</v>
      </c>
      <c r="L210" s="3">
        <v>0</v>
      </c>
      <c r="M210" s="3">
        <v>1546.91</v>
      </c>
      <c r="N210" s="3">
        <v>3368829.6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6">
        <f t="shared" si="74"/>
        <v>2177.779961342289</v>
      </c>
    </row>
    <row r="211" spans="1:22" ht="21.95" customHeight="1" x14ac:dyDescent="0.25">
      <c r="A211" s="37" t="s">
        <v>1808</v>
      </c>
      <c r="B211" s="24" t="s">
        <v>1385</v>
      </c>
      <c r="C211" s="2">
        <f t="shared" ref="C211:C260" si="77">D211+L211+N211+P211+R211+S211+T211+U211</f>
        <v>4094363</v>
      </c>
      <c r="D211" s="3">
        <f t="shared" si="76"/>
        <v>4094363</v>
      </c>
      <c r="E211" s="3">
        <v>447033</v>
      </c>
      <c r="F211" s="3">
        <v>3235522</v>
      </c>
      <c r="G211" s="3">
        <v>116023</v>
      </c>
      <c r="H211" s="3">
        <v>249586</v>
      </c>
      <c r="I211" s="3">
        <v>46199</v>
      </c>
      <c r="J211" s="3">
        <f>350*0</f>
        <v>0</v>
      </c>
      <c r="K211" s="4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6" t="e">
        <f t="shared" si="74"/>
        <v>#DIV/0!</v>
      </c>
    </row>
    <row r="212" spans="1:22" ht="21.95" customHeight="1" x14ac:dyDescent="0.25">
      <c r="A212" s="37" t="s">
        <v>1809</v>
      </c>
      <c r="B212" s="8" t="s">
        <v>447</v>
      </c>
      <c r="C212" s="2">
        <f t="shared" si="77"/>
        <v>338823.02999999997</v>
      </c>
      <c r="D212" s="3">
        <f t="shared" si="76"/>
        <v>291412.55</v>
      </c>
      <c r="E212" s="3">
        <v>291412.55</v>
      </c>
      <c r="F212" s="3">
        <f>800*0</f>
        <v>0</v>
      </c>
      <c r="G212" s="3">
        <v>0</v>
      </c>
      <c r="H212" s="3">
        <f>500*0</f>
        <v>0</v>
      </c>
      <c r="I212" s="3">
        <v>0</v>
      </c>
      <c r="J212" s="3">
        <f>800*0</f>
        <v>0</v>
      </c>
      <c r="K212" s="4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47410.48</v>
      </c>
      <c r="V212" s="6" t="e">
        <f t="shared" ref="V212:V236" si="78">N212/M212</f>
        <v>#DIV/0!</v>
      </c>
    </row>
    <row r="213" spans="1:22" ht="21.95" customHeight="1" x14ac:dyDescent="0.25">
      <c r="A213" s="37" t="s">
        <v>1810</v>
      </c>
      <c r="B213" s="8" t="s">
        <v>453</v>
      </c>
      <c r="C213" s="2">
        <f t="shared" si="77"/>
        <v>1100401.56</v>
      </c>
      <c r="D213" s="3">
        <f t="shared" si="76"/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4">
        <v>0</v>
      </c>
      <c r="L213" s="3">
        <v>0</v>
      </c>
      <c r="M213" s="3">
        <v>259.89999999999998</v>
      </c>
      <c r="N213" s="3">
        <v>1045252.48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55149.08</v>
      </c>
      <c r="V213" s="6">
        <f t="shared" si="78"/>
        <v>4021.7486725663721</v>
      </c>
    </row>
    <row r="214" spans="1:22" ht="21.95" customHeight="1" x14ac:dyDescent="0.25">
      <c r="A214" s="37" t="s">
        <v>1811</v>
      </c>
      <c r="B214" s="8" t="s">
        <v>457</v>
      </c>
      <c r="C214" s="2">
        <f t="shared" si="77"/>
        <v>99358.51</v>
      </c>
      <c r="D214" s="3">
        <f t="shared" si="76"/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4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99358.51</v>
      </c>
      <c r="V214" s="6" t="e">
        <f t="shared" si="78"/>
        <v>#DIV/0!</v>
      </c>
    </row>
    <row r="215" spans="1:22" ht="21.95" customHeight="1" x14ac:dyDescent="0.25">
      <c r="A215" s="37" t="s">
        <v>1812</v>
      </c>
      <c r="B215" s="8" t="s">
        <v>438</v>
      </c>
      <c r="C215" s="2">
        <f t="shared" si="77"/>
        <v>104881.83</v>
      </c>
      <c r="D215" s="3">
        <f t="shared" si="76"/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4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104881.83</v>
      </c>
      <c r="V215" s="6" t="e">
        <f t="shared" si="78"/>
        <v>#DIV/0!</v>
      </c>
    </row>
    <row r="216" spans="1:22" ht="21.95" customHeight="1" x14ac:dyDescent="0.25">
      <c r="A216" s="37" t="s">
        <v>1813</v>
      </c>
      <c r="B216" s="23" t="s">
        <v>458</v>
      </c>
      <c r="C216" s="2">
        <f t="shared" si="77"/>
        <v>6160573.5499999998</v>
      </c>
      <c r="D216" s="3">
        <f t="shared" si="76"/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4">
        <v>0</v>
      </c>
      <c r="L216" s="3">
        <v>0</v>
      </c>
      <c r="M216" s="3">
        <v>1201.9000000000001</v>
      </c>
      <c r="N216" s="3">
        <v>6051125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109448.55</v>
      </c>
      <c r="V216" s="6">
        <f t="shared" si="78"/>
        <v>5034.6326649471666</v>
      </c>
    </row>
    <row r="217" spans="1:22" ht="21.95" customHeight="1" x14ac:dyDescent="0.25">
      <c r="A217" s="37" t="s">
        <v>1814</v>
      </c>
      <c r="B217" s="8" t="s">
        <v>487</v>
      </c>
      <c r="C217" s="2">
        <f t="shared" si="77"/>
        <v>3600310.75</v>
      </c>
      <c r="D217" s="3">
        <f t="shared" si="76"/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4">
        <v>0</v>
      </c>
      <c r="L217" s="3">
        <v>0</v>
      </c>
      <c r="M217" s="3">
        <v>687.8</v>
      </c>
      <c r="N217" s="3">
        <v>3509120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91190.75</v>
      </c>
      <c r="V217" s="6">
        <f t="shared" si="78"/>
        <v>5101.9482407676651</v>
      </c>
    </row>
    <row r="218" spans="1:22" ht="21.95" customHeight="1" x14ac:dyDescent="0.25">
      <c r="A218" s="37" t="s">
        <v>1623</v>
      </c>
      <c r="B218" s="8" t="s">
        <v>405</v>
      </c>
      <c r="C218" s="2">
        <f t="shared" si="77"/>
        <v>164909.60999999999</v>
      </c>
      <c r="D218" s="3">
        <f t="shared" si="76"/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f>350*0</f>
        <v>0</v>
      </c>
      <c r="K218" s="4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164909.60999999999</v>
      </c>
      <c r="V218" s="6" t="e">
        <f t="shared" si="78"/>
        <v>#DIV/0!</v>
      </c>
    </row>
    <row r="219" spans="1:22" ht="21.95" customHeight="1" x14ac:dyDescent="0.25">
      <c r="A219" s="37" t="s">
        <v>1815</v>
      </c>
      <c r="B219" s="8" t="s">
        <v>460</v>
      </c>
      <c r="C219" s="2">
        <f t="shared" si="77"/>
        <v>4921900.3999999994</v>
      </c>
      <c r="D219" s="3">
        <f t="shared" si="76"/>
        <v>4721900.3999999994</v>
      </c>
      <c r="E219" s="3">
        <v>0</v>
      </c>
      <c r="F219" s="3">
        <v>3212829.6</v>
      </c>
      <c r="G219" s="3">
        <v>406666.8</v>
      </c>
      <c r="H219" s="3">
        <v>890762.4</v>
      </c>
      <c r="I219" s="3">
        <v>211641.60000000001</v>
      </c>
      <c r="J219" s="3">
        <f>350*0</f>
        <v>0</v>
      </c>
      <c r="K219" s="4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200000</v>
      </c>
      <c r="V219" s="6" t="e">
        <f t="shared" si="78"/>
        <v>#DIV/0!</v>
      </c>
    </row>
    <row r="220" spans="1:22" ht="21.95" customHeight="1" x14ac:dyDescent="0.25">
      <c r="A220" s="37" t="s">
        <v>1816</v>
      </c>
      <c r="B220" s="8" t="s">
        <v>471</v>
      </c>
      <c r="C220" s="2">
        <f t="shared" si="77"/>
        <v>12226422.870000001</v>
      </c>
      <c r="D220" s="3">
        <f t="shared" si="76"/>
        <v>3007500.89</v>
      </c>
      <c r="E220" s="3">
        <v>878260.8</v>
      </c>
      <c r="F220" s="3">
        <v>1319316.27</v>
      </c>
      <c r="G220" s="3">
        <v>279969.12</v>
      </c>
      <c r="H220" s="3">
        <v>378755.9</v>
      </c>
      <c r="I220" s="3">
        <v>151198.79999999999</v>
      </c>
      <c r="J220" s="3">
        <f>350*0</f>
        <v>0</v>
      </c>
      <c r="K220" s="4">
        <v>0</v>
      </c>
      <c r="L220" s="3">
        <v>0</v>
      </c>
      <c r="M220" s="3">
        <v>790.4</v>
      </c>
      <c r="N220" s="3">
        <v>4167298.51</v>
      </c>
      <c r="O220" s="3">
        <v>0</v>
      </c>
      <c r="P220" s="3">
        <v>0</v>
      </c>
      <c r="Q220" s="3">
        <v>1876.6</v>
      </c>
      <c r="R220" s="3">
        <v>4852623.47</v>
      </c>
      <c r="S220" s="3">
        <v>0</v>
      </c>
      <c r="T220" s="3">
        <v>0</v>
      </c>
      <c r="U220" s="3">
        <v>199000</v>
      </c>
      <c r="V220" s="6">
        <f t="shared" si="78"/>
        <v>5272.3918395748988</v>
      </c>
    </row>
    <row r="221" spans="1:22" ht="21.95" customHeight="1" x14ac:dyDescent="0.25">
      <c r="A221" s="37" t="s">
        <v>1817</v>
      </c>
      <c r="B221" s="23" t="s">
        <v>461</v>
      </c>
      <c r="C221" s="2">
        <f t="shared" si="77"/>
        <v>4823836.51</v>
      </c>
      <c r="D221" s="3">
        <f t="shared" si="76"/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4">
        <v>0</v>
      </c>
      <c r="L221" s="3">
        <v>0</v>
      </c>
      <c r="M221" s="3">
        <v>959</v>
      </c>
      <c r="N221" s="3">
        <v>4695688.58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128147.93</v>
      </c>
      <c r="V221" s="6">
        <f t="shared" si="78"/>
        <v>4896.4427320125133</v>
      </c>
    </row>
    <row r="222" spans="1:22" ht="21.95" customHeight="1" x14ac:dyDescent="0.25">
      <c r="A222" s="37" t="s">
        <v>1818</v>
      </c>
      <c r="B222" s="8" t="s">
        <v>472</v>
      </c>
      <c r="C222" s="2">
        <f t="shared" si="77"/>
        <v>54862.78</v>
      </c>
      <c r="D222" s="3">
        <f t="shared" si="76"/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4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54862.78</v>
      </c>
      <c r="V222" s="6" t="e">
        <f t="shared" si="78"/>
        <v>#DIV/0!</v>
      </c>
    </row>
    <row r="223" spans="1:22" ht="21.95" customHeight="1" x14ac:dyDescent="0.25">
      <c r="A223" s="37" t="s">
        <v>1819</v>
      </c>
      <c r="B223" s="8" t="s">
        <v>488</v>
      </c>
      <c r="C223" s="2">
        <f t="shared" si="77"/>
        <v>1824644.4600000002</v>
      </c>
      <c r="D223" s="3">
        <f t="shared" si="76"/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4">
        <v>0</v>
      </c>
      <c r="L223" s="3">
        <v>0</v>
      </c>
      <c r="M223" s="3">
        <v>388</v>
      </c>
      <c r="N223" s="3">
        <v>1766549.87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58094.59</v>
      </c>
      <c r="V223" s="6">
        <f t="shared" si="78"/>
        <v>4552.9635824742272</v>
      </c>
    </row>
    <row r="224" spans="1:22" ht="21.95" customHeight="1" x14ac:dyDescent="0.25">
      <c r="A224" s="37" t="s">
        <v>1820</v>
      </c>
      <c r="B224" s="8" t="s">
        <v>406</v>
      </c>
      <c r="C224" s="2">
        <f t="shared" si="77"/>
        <v>75456.38</v>
      </c>
      <c r="D224" s="3">
        <f t="shared" si="76"/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4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75456.38</v>
      </c>
      <c r="V224" s="6" t="e">
        <f t="shared" si="78"/>
        <v>#DIV/0!</v>
      </c>
    </row>
    <row r="225" spans="1:22" ht="21.95" customHeight="1" x14ac:dyDescent="0.25">
      <c r="A225" s="37" t="s">
        <v>1624</v>
      </c>
      <c r="B225" s="8" t="s">
        <v>489</v>
      </c>
      <c r="C225" s="2">
        <f t="shared" si="77"/>
        <v>2965032.13</v>
      </c>
      <c r="D225" s="3">
        <f t="shared" si="76"/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4">
        <v>0</v>
      </c>
      <c r="L225" s="3">
        <v>0</v>
      </c>
      <c r="M225" s="3">
        <v>584</v>
      </c>
      <c r="N225" s="3">
        <v>2850778.88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114253.25</v>
      </c>
      <c r="V225" s="6">
        <f t="shared" si="78"/>
        <v>4881.4706849315071</v>
      </c>
    </row>
    <row r="226" spans="1:22" ht="21.95" customHeight="1" x14ac:dyDescent="0.25">
      <c r="A226" s="37" t="s">
        <v>1625</v>
      </c>
      <c r="B226" s="8" t="s">
        <v>473</v>
      </c>
      <c r="C226" s="2">
        <f t="shared" si="77"/>
        <v>2904799.21</v>
      </c>
      <c r="D226" s="3">
        <f t="shared" si="76"/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4">
        <v>0</v>
      </c>
      <c r="L226" s="3">
        <v>0</v>
      </c>
      <c r="M226" s="3">
        <v>594</v>
      </c>
      <c r="N226" s="3">
        <v>2838300.38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66498.83</v>
      </c>
      <c r="V226" s="6">
        <f t="shared" si="78"/>
        <v>4778.2834680134674</v>
      </c>
    </row>
    <row r="227" spans="1:22" ht="21.95" customHeight="1" x14ac:dyDescent="0.25">
      <c r="A227" s="37" t="s">
        <v>1821</v>
      </c>
      <c r="B227" s="8" t="s">
        <v>387</v>
      </c>
      <c r="C227" s="2">
        <f t="shared" si="77"/>
        <v>2062847.55</v>
      </c>
      <c r="D227" s="3">
        <f t="shared" si="76"/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4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852.6</v>
      </c>
      <c r="R227" s="3">
        <v>2001408.7</v>
      </c>
      <c r="S227" s="3">
        <v>0</v>
      </c>
      <c r="T227" s="3">
        <v>0</v>
      </c>
      <c r="U227" s="3">
        <v>61438.85</v>
      </c>
      <c r="V227" s="6" t="e">
        <f t="shared" si="78"/>
        <v>#DIV/0!</v>
      </c>
    </row>
    <row r="228" spans="1:22" ht="21.95" customHeight="1" x14ac:dyDescent="0.25">
      <c r="A228" s="37" t="s">
        <v>1822</v>
      </c>
      <c r="B228" s="8" t="s">
        <v>462</v>
      </c>
      <c r="C228" s="2">
        <f t="shared" si="77"/>
        <v>72988.7</v>
      </c>
      <c r="D228" s="3">
        <f t="shared" si="76"/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4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72988.7</v>
      </c>
      <c r="V228" s="6" t="e">
        <f t="shared" si="78"/>
        <v>#DIV/0!</v>
      </c>
    </row>
    <row r="229" spans="1:22" ht="21.95" customHeight="1" x14ac:dyDescent="0.25">
      <c r="A229" s="37" t="s">
        <v>1823</v>
      </c>
      <c r="B229" s="8" t="s">
        <v>448</v>
      </c>
      <c r="C229" s="2">
        <f t="shared" si="77"/>
        <v>6267141.54</v>
      </c>
      <c r="D229" s="3">
        <f t="shared" si="76"/>
        <v>743328.03999999992</v>
      </c>
      <c r="E229" s="3">
        <v>260059.14</v>
      </c>
      <c r="F229" s="3">
        <v>417539.23</v>
      </c>
      <c r="G229" s="3">
        <v>36704.449999999997</v>
      </c>
      <c r="H229" s="3">
        <f>500*0</f>
        <v>0</v>
      </c>
      <c r="I229" s="3">
        <v>29025.22</v>
      </c>
      <c r="J229" s="3">
        <f>350*0</f>
        <v>0</v>
      </c>
      <c r="K229" s="4">
        <v>0</v>
      </c>
      <c r="L229" s="3">
        <v>0</v>
      </c>
      <c r="M229" s="3">
        <v>651.35</v>
      </c>
      <c r="N229" s="3">
        <v>3406613.76</v>
      </c>
      <c r="O229" s="3">
        <v>0</v>
      </c>
      <c r="P229" s="3">
        <v>0</v>
      </c>
      <c r="Q229" s="3">
        <v>779.1</v>
      </c>
      <c r="R229" s="3">
        <v>1919199.74</v>
      </c>
      <c r="S229" s="3">
        <v>0</v>
      </c>
      <c r="T229" s="3">
        <v>0</v>
      </c>
      <c r="U229" s="3">
        <v>198000</v>
      </c>
      <c r="V229" s="6">
        <f t="shared" si="78"/>
        <v>5230.0817686343744</v>
      </c>
    </row>
    <row r="230" spans="1:22" ht="21.95" customHeight="1" x14ac:dyDescent="0.25">
      <c r="A230" s="37" t="s">
        <v>1824</v>
      </c>
      <c r="B230" s="8" t="s">
        <v>474</v>
      </c>
      <c r="C230" s="2">
        <f t="shared" si="77"/>
        <v>3566948.55</v>
      </c>
      <c r="D230" s="3">
        <f t="shared" ref="D230:D235" si="79">SUM(E230:J230)</f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4">
        <v>0</v>
      </c>
      <c r="L230" s="3">
        <v>0</v>
      </c>
      <c r="M230" s="3">
        <v>695</v>
      </c>
      <c r="N230" s="3">
        <v>3497187.79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69760.759999999995</v>
      </c>
      <c r="V230" s="6">
        <f t="shared" si="78"/>
        <v>5031.924877697842</v>
      </c>
    </row>
    <row r="231" spans="1:22" ht="21.95" customHeight="1" x14ac:dyDescent="0.25">
      <c r="A231" s="37" t="s">
        <v>1825</v>
      </c>
      <c r="B231" s="24" t="s">
        <v>1359</v>
      </c>
      <c r="C231" s="2">
        <f>D231+L231+N231+P231+R231+S231+T231+U231</f>
        <v>5179580.74</v>
      </c>
      <c r="D231" s="3">
        <f t="shared" si="79"/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4">
        <v>0</v>
      </c>
      <c r="L231" s="3">
        <v>0</v>
      </c>
      <c r="M231" s="3">
        <v>665</v>
      </c>
      <c r="N231" s="3">
        <v>3314184.98</v>
      </c>
      <c r="O231" s="3">
        <v>0</v>
      </c>
      <c r="P231" s="3">
        <v>0</v>
      </c>
      <c r="Q231" s="3">
        <v>720</v>
      </c>
      <c r="R231" s="3">
        <v>1804412.83</v>
      </c>
      <c r="S231" s="3">
        <v>60982.93</v>
      </c>
      <c r="T231" s="3">
        <v>0</v>
      </c>
      <c r="U231" s="3">
        <v>0</v>
      </c>
      <c r="V231" s="6">
        <f t="shared" si="78"/>
        <v>4983.7368120300753</v>
      </c>
    </row>
    <row r="232" spans="1:22" ht="21.95" customHeight="1" x14ac:dyDescent="0.25">
      <c r="A232" s="37" t="s">
        <v>1826</v>
      </c>
      <c r="B232" s="8" t="s">
        <v>475</v>
      </c>
      <c r="C232" s="2">
        <f t="shared" si="77"/>
        <v>39357.33</v>
      </c>
      <c r="D232" s="3">
        <f t="shared" si="79"/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4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39357.33</v>
      </c>
      <c r="V232" s="6" t="e">
        <f t="shared" si="78"/>
        <v>#DIV/0!</v>
      </c>
    </row>
    <row r="233" spans="1:22" ht="21.95" customHeight="1" x14ac:dyDescent="0.25">
      <c r="A233" s="37" t="s">
        <v>1827</v>
      </c>
      <c r="B233" s="8" t="s">
        <v>490</v>
      </c>
      <c r="C233" s="2">
        <f t="shared" si="77"/>
        <v>1742990.48</v>
      </c>
      <c r="D233" s="3">
        <f t="shared" si="79"/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4">
        <v>0</v>
      </c>
      <c r="L233" s="3">
        <v>0</v>
      </c>
      <c r="M233" s="3">
        <v>371.04</v>
      </c>
      <c r="N233" s="3">
        <v>1682840.51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60149.97</v>
      </c>
      <c r="V233" s="6">
        <f t="shared" si="78"/>
        <v>4535.4692485985333</v>
      </c>
    </row>
    <row r="234" spans="1:22" ht="21.95" customHeight="1" x14ac:dyDescent="0.25">
      <c r="A234" s="37" t="s">
        <v>1828</v>
      </c>
      <c r="B234" s="8" t="s">
        <v>424</v>
      </c>
      <c r="C234" s="2">
        <f t="shared" si="77"/>
        <v>42605.66</v>
      </c>
      <c r="D234" s="3">
        <f t="shared" si="79"/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4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42605.66</v>
      </c>
      <c r="V234" s="6" t="e">
        <f t="shared" si="78"/>
        <v>#DIV/0!</v>
      </c>
    </row>
    <row r="235" spans="1:22" ht="21.95" customHeight="1" x14ac:dyDescent="0.25">
      <c r="A235" s="37" t="s">
        <v>1626</v>
      </c>
      <c r="B235" s="8" t="s">
        <v>439</v>
      </c>
      <c r="C235" s="2">
        <f t="shared" si="77"/>
        <v>46635.76</v>
      </c>
      <c r="D235" s="3">
        <f t="shared" si="79"/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4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46635.76</v>
      </c>
      <c r="V235" s="6" t="e">
        <f t="shared" si="78"/>
        <v>#DIV/0!</v>
      </c>
    </row>
    <row r="236" spans="1:22" ht="21.95" customHeight="1" x14ac:dyDescent="0.25">
      <c r="A236" s="37" t="s">
        <v>1829</v>
      </c>
      <c r="B236" s="8" t="s">
        <v>440</v>
      </c>
      <c r="C236" s="2">
        <f t="shared" si="77"/>
        <v>2255774.0699999998</v>
      </c>
      <c r="D236" s="3">
        <f t="shared" si="76"/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4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834.4</v>
      </c>
      <c r="R236" s="3">
        <v>2164774.54</v>
      </c>
      <c r="S236" s="3">
        <v>0</v>
      </c>
      <c r="T236" s="3">
        <v>0</v>
      </c>
      <c r="U236" s="3">
        <v>90999.53</v>
      </c>
      <c r="V236" s="6" t="e">
        <f t="shared" si="78"/>
        <v>#DIV/0!</v>
      </c>
    </row>
    <row r="237" spans="1:22" ht="45" customHeight="1" x14ac:dyDescent="0.25">
      <c r="A237" s="56" t="s">
        <v>305</v>
      </c>
      <c r="B237" s="56"/>
      <c r="C237" s="2">
        <f>SUM(C238:C241)</f>
        <v>2538146.2999999998</v>
      </c>
      <c r="D237" s="2">
        <f t="shared" ref="D237:U237" si="80">SUM(D238:D241)</f>
        <v>2538146.2999999998</v>
      </c>
      <c r="E237" s="2">
        <f t="shared" si="80"/>
        <v>0</v>
      </c>
      <c r="F237" s="2">
        <f t="shared" si="80"/>
        <v>1951709.6399999997</v>
      </c>
      <c r="G237" s="2">
        <f t="shared" si="80"/>
        <v>276757.42</v>
      </c>
      <c r="H237" s="2">
        <f t="shared" si="80"/>
        <v>0</v>
      </c>
      <c r="I237" s="2">
        <f t="shared" si="80"/>
        <v>309679.24</v>
      </c>
      <c r="J237" s="2">
        <f t="shared" si="80"/>
        <v>0</v>
      </c>
      <c r="K237" s="14">
        <f t="shared" si="80"/>
        <v>0</v>
      </c>
      <c r="L237" s="2">
        <f t="shared" si="80"/>
        <v>0</v>
      </c>
      <c r="M237" s="2">
        <f t="shared" si="80"/>
        <v>0</v>
      </c>
      <c r="N237" s="2">
        <f t="shared" si="80"/>
        <v>0</v>
      </c>
      <c r="O237" s="2">
        <f t="shared" si="80"/>
        <v>0</v>
      </c>
      <c r="P237" s="2">
        <f t="shared" si="80"/>
        <v>0</v>
      </c>
      <c r="Q237" s="2">
        <f t="shared" si="80"/>
        <v>0</v>
      </c>
      <c r="R237" s="2">
        <f t="shared" si="80"/>
        <v>0</v>
      </c>
      <c r="S237" s="2">
        <f t="shared" si="80"/>
        <v>0</v>
      </c>
      <c r="T237" s="2">
        <f t="shared" si="80"/>
        <v>0</v>
      </c>
      <c r="U237" s="2">
        <f t="shared" si="80"/>
        <v>0</v>
      </c>
      <c r="V237" s="18">
        <f>C237+C1118</f>
        <v>11147541.300000001</v>
      </c>
    </row>
    <row r="238" spans="1:22" ht="21.95" customHeight="1" x14ac:dyDescent="0.25">
      <c r="A238" s="37" t="s">
        <v>1830</v>
      </c>
      <c r="B238" s="8" t="s">
        <v>1366</v>
      </c>
      <c r="C238" s="2">
        <f t="shared" si="77"/>
        <v>419071.85</v>
      </c>
      <c r="D238" s="3">
        <f t="shared" ref="D238:D241" si="81">SUM(E238:J238)</f>
        <v>419071.85</v>
      </c>
      <c r="E238" s="3">
        <v>0</v>
      </c>
      <c r="F238" s="3">
        <v>286161.48</v>
      </c>
      <c r="G238" s="3">
        <v>61668.58</v>
      </c>
      <c r="H238" s="3">
        <v>0</v>
      </c>
      <c r="I238" s="3">
        <v>71241.789999999994</v>
      </c>
      <c r="J238" s="3">
        <f>350*0</f>
        <v>0</v>
      </c>
      <c r="K238" s="4">
        <v>0</v>
      </c>
      <c r="L238" s="3">
        <v>0</v>
      </c>
      <c r="M238" s="5">
        <v>0</v>
      </c>
      <c r="N238" s="5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6" t="e">
        <f t="shared" ref="V238:V241" si="82">N238/M238</f>
        <v>#DIV/0!</v>
      </c>
    </row>
    <row r="239" spans="1:22" ht="21.95" customHeight="1" x14ac:dyDescent="0.25">
      <c r="A239" s="37" t="s">
        <v>1831</v>
      </c>
      <c r="B239" s="8" t="s">
        <v>1365</v>
      </c>
      <c r="C239" s="2">
        <f t="shared" si="77"/>
        <v>709295.13</v>
      </c>
      <c r="D239" s="3">
        <f t="shared" si="81"/>
        <v>709295.13</v>
      </c>
      <c r="E239" s="3">
        <v>0</v>
      </c>
      <c r="F239" s="3">
        <v>515233.21</v>
      </c>
      <c r="G239" s="3">
        <v>84311.06</v>
      </c>
      <c r="H239" s="3">
        <v>0</v>
      </c>
      <c r="I239" s="3">
        <v>109750.86</v>
      </c>
      <c r="J239" s="3">
        <f>350*0</f>
        <v>0</v>
      </c>
      <c r="K239" s="4">
        <v>0</v>
      </c>
      <c r="L239" s="3">
        <v>0</v>
      </c>
      <c r="M239" s="5">
        <v>0</v>
      </c>
      <c r="N239" s="5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6" t="e">
        <f t="shared" si="82"/>
        <v>#DIV/0!</v>
      </c>
    </row>
    <row r="240" spans="1:22" ht="21.95" customHeight="1" x14ac:dyDescent="0.25">
      <c r="A240" s="37" t="s">
        <v>1832</v>
      </c>
      <c r="B240" s="8" t="s">
        <v>1364</v>
      </c>
      <c r="C240" s="2">
        <f t="shared" si="77"/>
        <v>668196.1</v>
      </c>
      <c r="D240" s="3">
        <f t="shared" si="81"/>
        <v>668196.1</v>
      </c>
      <c r="E240" s="3">
        <v>0</v>
      </c>
      <c r="F240" s="3">
        <v>455557.63</v>
      </c>
      <c r="G240" s="3">
        <v>110487.86</v>
      </c>
      <c r="H240" s="3">
        <v>0</v>
      </c>
      <c r="I240" s="3">
        <v>102150.61</v>
      </c>
      <c r="J240" s="3">
        <f>350*0</f>
        <v>0</v>
      </c>
      <c r="K240" s="4">
        <v>0</v>
      </c>
      <c r="L240" s="3">
        <v>0</v>
      </c>
      <c r="M240" s="5">
        <v>0</v>
      </c>
      <c r="N240" s="5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6" t="e">
        <f t="shared" si="82"/>
        <v>#DIV/0!</v>
      </c>
    </row>
    <row r="241" spans="1:22" ht="21.95" customHeight="1" x14ac:dyDescent="0.25">
      <c r="A241" s="37" t="s">
        <v>1833</v>
      </c>
      <c r="B241" s="8" t="s">
        <v>1363</v>
      </c>
      <c r="C241" s="2">
        <f t="shared" si="77"/>
        <v>741583.22</v>
      </c>
      <c r="D241" s="3">
        <f t="shared" si="81"/>
        <v>741583.22</v>
      </c>
      <c r="E241" s="3">
        <v>0</v>
      </c>
      <c r="F241" s="3">
        <v>694757.32</v>
      </c>
      <c r="G241" s="3">
        <v>20289.919999999998</v>
      </c>
      <c r="H241" s="3">
        <v>0</v>
      </c>
      <c r="I241" s="3">
        <v>26535.98</v>
      </c>
      <c r="J241" s="3">
        <f>350*0</f>
        <v>0</v>
      </c>
      <c r="K241" s="4">
        <v>0</v>
      </c>
      <c r="L241" s="3">
        <v>0</v>
      </c>
      <c r="M241" s="5">
        <v>0</v>
      </c>
      <c r="N241" s="5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6" t="e">
        <f t="shared" si="82"/>
        <v>#DIV/0!</v>
      </c>
    </row>
    <row r="242" spans="1:22" ht="45" customHeight="1" x14ac:dyDescent="0.25">
      <c r="A242" s="56" t="s">
        <v>281</v>
      </c>
      <c r="B242" s="56"/>
      <c r="C242" s="2">
        <f>SUM(C243)</f>
        <v>34252.04</v>
      </c>
      <c r="D242" s="2">
        <f t="shared" ref="D242:U242" si="83">SUM(D243)</f>
        <v>0</v>
      </c>
      <c r="E242" s="2">
        <f t="shared" si="83"/>
        <v>0</v>
      </c>
      <c r="F242" s="2">
        <f t="shared" si="83"/>
        <v>0</v>
      </c>
      <c r="G242" s="2">
        <f t="shared" si="83"/>
        <v>0</v>
      </c>
      <c r="H242" s="2">
        <f t="shared" si="83"/>
        <v>0</v>
      </c>
      <c r="I242" s="2">
        <f t="shared" si="83"/>
        <v>0</v>
      </c>
      <c r="J242" s="2">
        <f t="shared" si="83"/>
        <v>0</v>
      </c>
      <c r="K242" s="14">
        <f t="shared" si="83"/>
        <v>0</v>
      </c>
      <c r="L242" s="2">
        <f t="shared" si="83"/>
        <v>0</v>
      </c>
      <c r="M242" s="2">
        <f t="shared" si="83"/>
        <v>0</v>
      </c>
      <c r="N242" s="2">
        <f t="shared" si="83"/>
        <v>0</v>
      </c>
      <c r="O242" s="2">
        <f t="shared" si="83"/>
        <v>0</v>
      </c>
      <c r="P242" s="2">
        <f t="shared" si="83"/>
        <v>0</v>
      </c>
      <c r="Q242" s="2">
        <f t="shared" si="83"/>
        <v>0</v>
      </c>
      <c r="R242" s="2">
        <f t="shared" si="83"/>
        <v>0</v>
      </c>
      <c r="S242" s="2">
        <f t="shared" si="83"/>
        <v>0</v>
      </c>
      <c r="T242" s="2">
        <f t="shared" si="83"/>
        <v>0</v>
      </c>
      <c r="U242" s="2">
        <f t="shared" si="83"/>
        <v>34252.04</v>
      </c>
      <c r="V242" s="18">
        <f>C242+C727+C1120</f>
        <v>18404070.48</v>
      </c>
    </row>
    <row r="243" spans="1:22" ht="21.95" customHeight="1" x14ac:dyDescent="0.25">
      <c r="A243" s="37" t="s">
        <v>1834</v>
      </c>
      <c r="B243" s="8" t="s">
        <v>307</v>
      </c>
      <c r="C243" s="2">
        <f t="shared" si="77"/>
        <v>34252.04</v>
      </c>
      <c r="D243" s="3">
        <f t="shared" ref="D243" si="84">SUM(E243:J243)</f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4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34252.04</v>
      </c>
      <c r="V243" s="6" t="e">
        <f>N243/M243</f>
        <v>#DIV/0!</v>
      </c>
    </row>
    <row r="244" spans="1:22" ht="45" customHeight="1" x14ac:dyDescent="0.25">
      <c r="A244" s="56" t="s">
        <v>286</v>
      </c>
      <c r="B244" s="56"/>
      <c r="C244" s="2">
        <f>SUM(C245:C246)</f>
        <v>6414068.6400000006</v>
      </c>
      <c r="D244" s="2">
        <f t="shared" ref="D244:U244" si="85">SUM(D245:D246)</f>
        <v>517361.39</v>
      </c>
      <c r="E244" s="2">
        <f t="shared" si="85"/>
        <v>264982.02</v>
      </c>
      <c r="F244" s="2">
        <f t="shared" si="85"/>
        <v>159810.94</v>
      </c>
      <c r="G244" s="2">
        <f t="shared" si="85"/>
        <v>54255.360000000001</v>
      </c>
      <c r="H244" s="2">
        <f t="shared" si="85"/>
        <v>0</v>
      </c>
      <c r="I244" s="2">
        <f t="shared" si="85"/>
        <v>38313.07</v>
      </c>
      <c r="J244" s="2">
        <f t="shared" si="85"/>
        <v>0</v>
      </c>
      <c r="K244" s="14">
        <f t="shared" si="85"/>
        <v>0</v>
      </c>
      <c r="L244" s="2">
        <f t="shared" si="85"/>
        <v>0</v>
      </c>
      <c r="M244" s="2">
        <f t="shared" si="85"/>
        <v>753.21</v>
      </c>
      <c r="N244" s="2">
        <f t="shared" si="85"/>
        <v>3858635.48</v>
      </c>
      <c r="O244" s="2">
        <f t="shared" si="85"/>
        <v>0</v>
      </c>
      <c r="P244" s="2">
        <f t="shared" si="85"/>
        <v>0</v>
      </c>
      <c r="Q244" s="2">
        <f t="shared" si="85"/>
        <v>1152</v>
      </c>
      <c r="R244" s="2">
        <f t="shared" si="85"/>
        <v>1646478.24</v>
      </c>
      <c r="S244" s="2">
        <f t="shared" si="85"/>
        <v>0</v>
      </c>
      <c r="T244" s="2">
        <f t="shared" si="85"/>
        <v>0</v>
      </c>
      <c r="U244" s="2">
        <f t="shared" si="85"/>
        <v>391593.53</v>
      </c>
      <c r="V244" s="18">
        <f>C244+C733+C1126</f>
        <v>22775573.640000001</v>
      </c>
    </row>
    <row r="245" spans="1:22" ht="21.95" customHeight="1" x14ac:dyDescent="0.25">
      <c r="A245" s="37" t="s">
        <v>1835</v>
      </c>
      <c r="B245" s="8" t="s">
        <v>287</v>
      </c>
      <c r="C245" s="2">
        <f t="shared" si="77"/>
        <v>3331574.8200000003</v>
      </c>
      <c r="D245" s="3">
        <f t="shared" ref="D245:D246" si="86">SUM(E245:J245)</f>
        <v>388667.3</v>
      </c>
      <c r="E245" s="3">
        <v>136287.93</v>
      </c>
      <c r="F245" s="3">
        <v>159810.94</v>
      </c>
      <c r="G245" s="3">
        <v>54255.360000000001</v>
      </c>
      <c r="H245" s="3">
        <f>350*0</f>
        <v>0</v>
      </c>
      <c r="I245" s="3">
        <v>38313.07</v>
      </c>
      <c r="J245" s="3">
        <f>350*0</f>
        <v>0</v>
      </c>
      <c r="K245" s="4">
        <v>0</v>
      </c>
      <c r="L245" s="3">
        <v>0</v>
      </c>
      <c r="M245" s="3">
        <v>371.61</v>
      </c>
      <c r="N245" s="3">
        <v>1930201.3</v>
      </c>
      <c r="O245" s="3">
        <v>0</v>
      </c>
      <c r="P245" s="3">
        <v>0</v>
      </c>
      <c r="Q245" s="3">
        <v>576</v>
      </c>
      <c r="R245" s="3">
        <v>813706.22</v>
      </c>
      <c r="S245" s="3">
        <v>0</v>
      </c>
      <c r="T245" s="3">
        <v>0</v>
      </c>
      <c r="U245" s="3">
        <v>199000</v>
      </c>
      <c r="V245" s="6">
        <f t="shared" ref="V245:V246" si="87">N245/M245</f>
        <v>5194.1586609617607</v>
      </c>
    </row>
    <row r="246" spans="1:22" ht="21.95" customHeight="1" x14ac:dyDescent="0.25">
      <c r="A246" s="37" t="s">
        <v>1836</v>
      </c>
      <c r="B246" s="8" t="s">
        <v>288</v>
      </c>
      <c r="C246" s="2">
        <f t="shared" si="77"/>
        <v>3082493.82</v>
      </c>
      <c r="D246" s="3">
        <f t="shared" si="86"/>
        <v>128694.09</v>
      </c>
      <c r="E246" s="3">
        <v>128694.09</v>
      </c>
      <c r="F246" s="3">
        <v>0</v>
      </c>
      <c r="G246" s="3">
        <f>300*0</f>
        <v>0</v>
      </c>
      <c r="H246" s="3">
        <f>350*0</f>
        <v>0</v>
      </c>
      <c r="I246" s="3">
        <f>400*0</f>
        <v>0</v>
      </c>
      <c r="J246" s="3">
        <f>350*0</f>
        <v>0</v>
      </c>
      <c r="K246" s="4">
        <v>0</v>
      </c>
      <c r="L246" s="3">
        <v>0</v>
      </c>
      <c r="M246" s="3">
        <v>381.6</v>
      </c>
      <c r="N246" s="3">
        <v>1928434.18</v>
      </c>
      <c r="O246" s="3">
        <v>0</v>
      </c>
      <c r="P246" s="3">
        <v>0</v>
      </c>
      <c r="Q246" s="3">
        <v>576</v>
      </c>
      <c r="R246" s="3">
        <v>832772.02</v>
      </c>
      <c r="S246" s="3">
        <v>0</v>
      </c>
      <c r="T246" s="3">
        <v>0</v>
      </c>
      <c r="U246" s="3">
        <v>192593.53</v>
      </c>
      <c r="V246" s="6">
        <f t="shared" si="87"/>
        <v>5053.5486897274632</v>
      </c>
    </row>
    <row r="247" spans="1:22" ht="45" customHeight="1" x14ac:dyDescent="0.25">
      <c r="A247" s="56" t="s">
        <v>291</v>
      </c>
      <c r="B247" s="56"/>
      <c r="C247" s="2">
        <f>SUM(C248:C250)</f>
        <v>145766.94</v>
      </c>
      <c r="D247" s="2">
        <f t="shared" ref="D247:U247" si="88">SUM(D248:D250)</f>
        <v>0</v>
      </c>
      <c r="E247" s="2">
        <f t="shared" si="88"/>
        <v>0</v>
      </c>
      <c r="F247" s="2">
        <f t="shared" si="88"/>
        <v>0</v>
      </c>
      <c r="G247" s="2">
        <f t="shared" si="88"/>
        <v>0</v>
      </c>
      <c r="H247" s="2">
        <f t="shared" si="88"/>
        <v>0</v>
      </c>
      <c r="I247" s="2">
        <f t="shared" si="88"/>
        <v>0</v>
      </c>
      <c r="J247" s="2">
        <f t="shared" si="88"/>
        <v>0</v>
      </c>
      <c r="K247" s="14">
        <f t="shared" si="88"/>
        <v>0</v>
      </c>
      <c r="L247" s="2">
        <f t="shared" si="88"/>
        <v>0</v>
      </c>
      <c r="M247" s="2">
        <f t="shared" si="88"/>
        <v>0</v>
      </c>
      <c r="N247" s="2">
        <f t="shared" si="88"/>
        <v>0</v>
      </c>
      <c r="O247" s="2">
        <f t="shared" si="88"/>
        <v>0</v>
      </c>
      <c r="P247" s="2">
        <f t="shared" si="88"/>
        <v>0</v>
      </c>
      <c r="Q247" s="2">
        <f t="shared" si="88"/>
        <v>0</v>
      </c>
      <c r="R247" s="2">
        <f t="shared" si="88"/>
        <v>0</v>
      </c>
      <c r="S247" s="2">
        <f t="shared" si="88"/>
        <v>0</v>
      </c>
      <c r="T247" s="2">
        <f t="shared" si="88"/>
        <v>0</v>
      </c>
      <c r="U247" s="2">
        <f t="shared" si="88"/>
        <v>145766.94</v>
      </c>
      <c r="V247" s="18">
        <f>C247+C736+C1130</f>
        <v>45085651.939999998</v>
      </c>
    </row>
    <row r="248" spans="1:22" ht="21.95" customHeight="1" x14ac:dyDescent="0.25">
      <c r="A248" s="37" t="s">
        <v>1837</v>
      </c>
      <c r="B248" s="8" t="s">
        <v>296</v>
      </c>
      <c r="C248" s="2">
        <f t="shared" si="77"/>
        <v>49421.84</v>
      </c>
      <c r="D248" s="3">
        <f t="shared" ref="D248:D250" si="89">SUM(E248:J248)</f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4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49421.84</v>
      </c>
      <c r="V248" s="6" t="e">
        <f t="shared" ref="V248:V250" si="90">N248/M248</f>
        <v>#DIV/0!</v>
      </c>
    </row>
    <row r="249" spans="1:22" ht="21.95" customHeight="1" x14ac:dyDescent="0.25">
      <c r="A249" s="37" t="s">
        <v>1838</v>
      </c>
      <c r="B249" s="8" t="s">
        <v>297</v>
      </c>
      <c r="C249" s="2">
        <f t="shared" si="77"/>
        <v>50355.93</v>
      </c>
      <c r="D249" s="3">
        <f t="shared" si="89"/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4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50355.93</v>
      </c>
      <c r="V249" s="6" t="e">
        <f t="shared" si="90"/>
        <v>#DIV/0!</v>
      </c>
    </row>
    <row r="250" spans="1:22" ht="21.95" customHeight="1" x14ac:dyDescent="0.25">
      <c r="A250" s="37" t="s">
        <v>1839</v>
      </c>
      <c r="B250" s="8" t="s">
        <v>299</v>
      </c>
      <c r="C250" s="2">
        <f t="shared" si="77"/>
        <v>45989.17</v>
      </c>
      <c r="D250" s="3">
        <f t="shared" si="89"/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4">
        <v>0</v>
      </c>
      <c r="L250" s="3">
        <v>0</v>
      </c>
      <c r="M250" s="3">
        <v>0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45989.17</v>
      </c>
      <c r="V250" s="6" t="e">
        <f t="shared" si="90"/>
        <v>#DIV/0!</v>
      </c>
    </row>
    <row r="251" spans="1:22" ht="45" customHeight="1" x14ac:dyDescent="0.25">
      <c r="A251" s="56" t="s">
        <v>309</v>
      </c>
      <c r="B251" s="56"/>
      <c r="C251" s="2">
        <f>SUM(C252:C254)</f>
        <v>7854268.2100000009</v>
      </c>
      <c r="D251" s="2">
        <f t="shared" ref="D251:U251" si="91">SUM(D252:D254)</f>
        <v>180683</v>
      </c>
      <c r="E251" s="2">
        <f t="shared" si="91"/>
        <v>147697</v>
      </c>
      <c r="F251" s="2">
        <f t="shared" si="91"/>
        <v>0</v>
      </c>
      <c r="G251" s="2">
        <f t="shared" si="91"/>
        <v>16717</v>
      </c>
      <c r="H251" s="2">
        <f t="shared" si="91"/>
        <v>0</v>
      </c>
      <c r="I251" s="2">
        <f t="shared" si="91"/>
        <v>16269</v>
      </c>
      <c r="J251" s="2">
        <f t="shared" si="91"/>
        <v>0</v>
      </c>
      <c r="K251" s="14">
        <f t="shared" si="91"/>
        <v>0</v>
      </c>
      <c r="L251" s="2">
        <f t="shared" si="91"/>
        <v>0</v>
      </c>
      <c r="M251" s="2">
        <f t="shared" si="91"/>
        <v>758</v>
      </c>
      <c r="N251" s="2">
        <f t="shared" si="91"/>
        <v>3934473</v>
      </c>
      <c r="O251" s="2">
        <f t="shared" si="91"/>
        <v>0</v>
      </c>
      <c r="P251" s="2">
        <f t="shared" si="91"/>
        <v>0</v>
      </c>
      <c r="Q251" s="2">
        <f t="shared" si="91"/>
        <v>1168.8000000000002</v>
      </c>
      <c r="R251" s="2">
        <f t="shared" si="91"/>
        <v>3044652.5</v>
      </c>
      <c r="S251" s="2">
        <f t="shared" si="91"/>
        <v>290445.24</v>
      </c>
      <c r="T251" s="2">
        <f t="shared" si="91"/>
        <v>0</v>
      </c>
      <c r="U251" s="2">
        <f t="shared" si="91"/>
        <v>404014.47</v>
      </c>
      <c r="V251" s="18">
        <f>C251+C747</f>
        <v>11627192.210000001</v>
      </c>
    </row>
    <row r="252" spans="1:22" ht="21.95" customHeight="1" x14ac:dyDescent="0.25">
      <c r="A252" s="37" t="s">
        <v>1840</v>
      </c>
      <c r="B252" s="8" t="s">
        <v>310</v>
      </c>
      <c r="C252" s="2">
        <f t="shared" si="77"/>
        <v>2428435.9</v>
      </c>
      <c r="D252" s="3">
        <f t="shared" ref="D252:D254" si="92">SUM(E252:J252)</f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4">
        <v>0</v>
      </c>
      <c r="L252" s="3">
        <v>0</v>
      </c>
      <c r="M252" s="3">
        <v>240</v>
      </c>
      <c r="N252" s="3">
        <v>1270433</v>
      </c>
      <c r="O252" s="3">
        <v>0</v>
      </c>
      <c r="P252" s="3">
        <v>0</v>
      </c>
      <c r="Q252" s="3">
        <v>361.5</v>
      </c>
      <c r="R252" s="3">
        <v>941707.5</v>
      </c>
      <c r="S252" s="3">
        <v>108570</v>
      </c>
      <c r="T252" s="3">
        <v>0</v>
      </c>
      <c r="U252" s="3">
        <v>107725.4</v>
      </c>
      <c r="V252" s="6">
        <f t="shared" ref="V252:V254" si="93">N252/M252</f>
        <v>5293.4708333333338</v>
      </c>
    </row>
    <row r="253" spans="1:22" ht="21.95" customHeight="1" x14ac:dyDescent="0.25">
      <c r="A253" s="37" t="s">
        <v>1841</v>
      </c>
      <c r="B253" s="8" t="s">
        <v>311</v>
      </c>
      <c r="C253" s="2">
        <f t="shared" si="77"/>
        <v>2365776.25</v>
      </c>
      <c r="D253" s="3">
        <f t="shared" si="92"/>
        <v>0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4">
        <v>0</v>
      </c>
      <c r="L253" s="3">
        <v>0</v>
      </c>
      <c r="M253" s="3">
        <v>244</v>
      </c>
      <c r="N253" s="3">
        <v>1221775</v>
      </c>
      <c r="O253" s="3">
        <v>0</v>
      </c>
      <c r="P253" s="3">
        <v>0</v>
      </c>
      <c r="Q253" s="3">
        <v>356.7</v>
      </c>
      <c r="R253" s="3">
        <v>929132</v>
      </c>
      <c r="S253" s="3">
        <v>107611.24</v>
      </c>
      <c r="T253" s="3">
        <v>0</v>
      </c>
      <c r="U253" s="3">
        <v>107258.01</v>
      </c>
      <c r="V253" s="6">
        <f t="shared" si="93"/>
        <v>5007.2745901639346</v>
      </c>
    </row>
    <row r="254" spans="1:22" ht="21.95" customHeight="1" x14ac:dyDescent="0.25">
      <c r="A254" s="37" t="s">
        <v>1842</v>
      </c>
      <c r="B254" s="8" t="s">
        <v>312</v>
      </c>
      <c r="C254" s="2">
        <f t="shared" si="77"/>
        <v>3060056.06</v>
      </c>
      <c r="D254" s="3">
        <f t="shared" si="92"/>
        <v>180683</v>
      </c>
      <c r="E254" s="3">
        <v>147697</v>
      </c>
      <c r="F254" s="3">
        <v>0</v>
      </c>
      <c r="G254" s="3">
        <v>16717</v>
      </c>
      <c r="H254" s="3">
        <v>0</v>
      </c>
      <c r="I254" s="3">
        <v>16269</v>
      </c>
      <c r="J254" s="3">
        <f>350*0</f>
        <v>0</v>
      </c>
      <c r="K254" s="4">
        <v>0</v>
      </c>
      <c r="L254" s="3">
        <v>0</v>
      </c>
      <c r="M254" s="3">
        <v>274</v>
      </c>
      <c r="N254" s="3">
        <v>1442265</v>
      </c>
      <c r="O254" s="3">
        <v>0</v>
      </c>
      <c r="P254" s="3">
        <v>0</v>
      </c>
      <c r="Q254" s="3">
        <v>450.6</v>
      </c>
      <c r="R254" s="3">
        <v>1173813</v>
      </c>
      <c r="S254" s="3">
        <v>74264</v>
      </c>
      <c r="T254" s="3">
        <v>0</v>
      </c>
      <c r="U254" s="3">
        <v>189031.06</v>
      </c>
      <c r="V254" s="6">
        <f t="shared" si="93"/>
        <v>5263.7408759124091</v>
      </c>
    </row>
    <row r="255" spans="1:22" ht="45" customHeight="1" x14ac:dyDescent="0.25">
      <c r="A255" s="56" t="s">
        <v>314</v>
      </c>
      <c r="B255" s="56"/>
      <c r="C255" s="2">
        <f>SUM(C256)</f>
        <v>48130.46</v>
      </c>
      <c r="D255" s="2">
        <f t="shared" ref="D255:U255" si="94">SUM(D256)</f>
        <v>0</v>
      </c>
      <c r="E255" s="2">
        <f t="shared" si="94"/>
        <v>0</v>
      </c>
      <c r="F255" s="2">
        <f t="shared" si="94"/>
        <v>0</v>
      </c>
      <c r="G255" s="2">
        <f t="shared" si="94"/>
        <v>0</v>
      </c>
      <c r="H255" s="2">
        <f t="shared" si="94"/>
        <v>0</v>
      </c>
      <c r="I255" s="2">
        <f t="shared" si="94"/>
        <v>0</v>
      </c>
      <c r="J255" s="2">
        <f t="shared" si="94"/>
        <v>0</v>
      </c>
      <c r="K255" s="14">
        <f t="shared" si="94"/>
        <v>0</v>
      </c>
      <c r="L255" s="2">
        <f t="shared" si="94"/>
        <v>0</v>
      </c>
      <c r="M255" s="2">
        <f t="shared" si="94"/>
        <v>0</v>
      </c>
      <c r="N255" s="2">
        <f t="shared" si="94"/>
        <v>0</v>
      </c>
      <c r="O255" s="2">
        <f t="shared" si="94"/>
        <v>0</v>
      </c>
      <c r="P255" s="2">
        <f t="shared" si="94"/>
        <v>0</v>
      </c>
      <c r="Q255" s="2">
        <f t="shared" si="94"/>
        <v>0</v>
      </c>
      <c r="R255" s="2">
        <f t="shared" si="94"/>
        <v>0</v>
      </c>
      <c r="S255" s="2">
        <f t="shared" si="94"/>
        <v>0</v>
      </c>
      <c r="T255" s="2">
        <f t="shared" si="94"/>
        <v>0</v>
      </c>
      <c r="U255" s="2">
        <f t="shared" si="94"/>
        <v>48130.46</v>
      </c>
      <c r="V255" s="18">
        <f>C255+C749+C1133</f>
        <v>16757425.460000001</v>
      </c>
    </row>
    <row r="256" spans="1:22" ht="21.95" customHeight="1" x14ac:dyDescent="0.25">
      <c r="A256" s="36" t="s">
        <v>1843</v>
      </c>
      <c r="B256" s="8" t="s">
        <v>318</v>
      </c>
      <c r="C256" s="2">
        <f t="shared" si="77"/>
        <v>48130.46</v>
      </c>
      <c r="D256" s="3">
        <f t="shared" ref="D256" si="95">SUM(E256:J256)</f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4">
        <v>0</v>
      </c>
      <c r="L256" s="3">
        <v>0</v>
      </c>
      <c r="M256" s="5">
        <v>0</v>
      </c>
      <c r="N256" s="5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48130.46</v>
      </c>
      <c r="V256" s="6" t="e">
        <f>N256/M256</f>
        <v>#DIV/0!</v>
      </c>
    </row>
    <row r="257" spans="1:22" ht="40.15" customHeight="1" x14ac:dyDescent="0.25">
      <c r="A257" s="56" t="s">
        <v>1163</v>
      </c>
      <c r="B257" s="56"/>
      <c r="C257" s="2">
        <f>SUM(C258)</f>
        <v>2999935.13</v>
      </c>
      <c r="D257" s="2">
        <f t="shared" ref="D257:U257" si="96">SUM(D258)</f>
        <v>97668.77</v>
      </c>
      <c r="E257" s="2">
        <f t="shared" si="96"/>
        <v>97668.77</v>
      </c>
      <c r="F257" s="2">
        <f t="shared" si="96"/>
        <v>0</v>
      </c>
      <c r="G257" s="2">
        <f t="shared" si="96"/>
        <v>0</v>
      </c>
      <c r="H257" s="2">
        <f t="shared" si="96"/>
        <v>0</v>
      </c>
      <c r="I257" s="2">
        <f t="shared" si="96"/>
        <v>0</v>
      </c>
      <c r="J257" s="2">
        <f t="shared" si="96"/>
        <v>0</v>
      </c>
      <c r="K257" s="14">
        <f t="shared" si="96"/>
        <v>0</v>
      </c>
      <c r="L257" s="2">
        <f t="shared" si="96"/>
        <v>0</v>
      </c>
      <c r="M257" s="2">
        <f t="shared" si="96"/>
        <v>414</v>
      </c>
      <c r="N257" s="2">
        <f t="shared" si="96"/>
        <v>2020023.69</v>
      </c>
      <c r="O257" s="2">
        <f t="shared" si="96"/>
        <v>0</v>
      </c>
      <c r="P257" s="2">
        <f t="shared" si="96"/>
        <v>0</v>
      </c>
      <c r="Q257" s="2">
        <f t="shared" si="96"/>
        <v>556</v>
      </c>
      <c r="R257" s="2">
        <f t="shared" si="96"/>
        <v>776040.08</v>
      </c>
      <c r="S257" s="2">
        <f t="shared" si="96"/>
        <v>0</v>
      </c>
      <c r="T257" s="2">
        <f t="shared" si="96"/>
        <v>0</v>
      </c>
      <c r="U257" s="2">
        <f t="shared" si="96"/>
        <v>106202.59</v>
      </c>
      <c r="V257" s="18">
        <f>C257+C753+C1140</f>
        <v>7892825.1299999999</v>
      </c>
    </row>
    <row r="258" spans="1:22" ht="21.95" customHeight="1" x14ac:dyDescent="0.25">
      <c r="A258" s="37" t="s">
        <v>1844</v>
      </c>
      <c r="B258" s="8" t="s">
        <v>325</v>
      </c>
      <c r="C258" s="2">
        <f t="shared" si="77"/>
        <v>2999935.13</v>
      </c>
      <c r="D258" s="3">
        <f t="shared" ref="D258" si="97">SUM(E258:J258)</f>
        <v>97668.77</v>
      </c>
      <c r="E258" s="3">
        <v>97668.77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4">
        <v>0</v>
      </c>
      <c r="L258" s="3">
        <v>0</v>
      </c>
      <c r="M258" s="3">
        <v>414</v>
      </c>
      <c r="N258" s="3">
        <v>2020023.69</v>
      </c>
      <c r="O258" s="3">
        <v>0</v>
      </c>
      <c r="P258" s="3">
        <v>0</v>
      </c>
      <c r="Q258" s="3">
        <v>556</v>
      </c>
      <c r="R258" s="3">
        <v>776040.08</v>
      </c>
      <c r="S258" s="3">
        <v>0</v>
      </c>
      <c r="T258" s="3">
        <v>0</v>
      </c>
      <c r="U258" s="3">
        <v>106202.59</v>
      </c>
      <c r="V258" s="6">
        <f>N258/M258</f>
        <v>4879.284275362319</v>
      </c>
    </row>
    <row r="259" spans="1:22" ht="42.95" customHeight="1" x14ac:dyDescent="0.25">
      <c r="A259" s="56" t="s">
        <v>326</v>
      </c>
      <c r="B259" s="56"/>
      <c r="C259" s="2">
        <f>SUM(C260:C261)</f>
        <v>1151732.3800000001</v>
      </c>
      <c r="D259" s="2">
        <f t="shared" ref="D259:U259" si="98">SUM(D260:D261)</f>
        <v>0</v>
      </c>
      <c r="E259" s="2">
        <f t="shared" si="98"/>
        <v>0</v>
      </c>
      <c r="F259" s="2">
        <f t="shared" si="98"/>
        <v>0</v>
      </c>
      <c r="G259" s="2">
        <f t="shared" si="98"/>
        <v>0</v>
      </c>
      <c r="H259" s="2">
        <f t="shared" si="98"/>
        <v>0</v>
      </c>
      <c r="I259" s="2">
        <f t="shared" si="98"/>
        <v>0</v>
      </c>
      <c r="J259" s="2">
        <f t="shared" si="98"/>
        <v>0</v>
      </c>
      <c r="K259" s="14">
        <f t="shared" si="98"/>
        <v>0</v>
      </c>
      <c r="L259" s="2">
        <f t="shared" si="98"/>
        <v>0</v>
      </c>
      <c r="M259" s="2">
        <f t="shared" si="98"/>
        <v>315.04000000000002</v>
      </c>
      <c r="N259" s="2">
        <f t="shared" si="98"/>
        <v>1069200</v>
      </c>
      <c r="O259" s="2">
        <f t="shared" si="98"/>
        <v>0</v>
      </c>
      <c r="P259" s="2">
        <f t="shared" si="98"/>
        <v>0</v>
      </c>
      <c r="Q259" s="2">
        <f t="shared" si="98"/>
        <v>0</v>
      </c>
      <c r="R259" s="2">
        <f t="shared" si="98"/>
        <v>0</v>
      </c>
      <c r="S259" s="2">
        <f t="shared" si="98"/>
        <v>0</v>
      </c>
      <c r="T259" s="2">
        <f t="shared" si="98"/>
        <v>0</v>
      </c>
      <c r="U259" s="2">
        <f t="shared" si="98"/>
        <v>82532.38</v>
      </c>
      <c r="V259" s="18">
        <f>C259+C755+C1142</f>
        <v>23302332.380000003</v>
      </c>
    </row>
    <row r="260" spans="1:22" ht="23.1" customHeight="1" x14ac:dyDescent="0.25">
      <c r="A260" s="36" t="s">
        <v>1845</v>
      </c>
      <c r="B260" s="8" t="s">
        <v>1166</v>
      </c>
      <c r="C260" s="2">
        <f t="shared" si="77"/>
        <v>1102862.77</v>
      </c>
      <c r="D260" s="3">
        <f t="shared" ref="D260:D261" si="99">SUM(E260:J260)</f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11">
        <v>0</v>
      </c>
      <c r="L260" s="5">
        <v>0</v>
      </c>
      <c r="M260" s="5">
        <v>315.04000000000002</v>
      </c>
      <c r="N260" s="5">
        <v>1069200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33662.769999999997</v>
      </c>
      <c r="V260" s="6">
        <f t="shared" ref="V260:V261" si="100">N260/M260</f>
        <v>3393.8547486033517</v>
      </c>
    </row>
    <row r="261" spans="1:22" ht="23.1" customHeight="1" x14ac:dyDescent="0.25">
      <c r="A261" s="36" t="s">
        <v>1846</v>
      </c>
      <c r="B261" s="8" t="s">
        <v>328</v>
      </c>
      <c r="C261" s="2">
        <f t="shared" ref="C261:C282" si="101">D261+L261+N261+P261+R261+S261+T261+U261</f>
        <v>48869.61</v>
      </c>
      <c r="D261" s="3">
        <f t="shared" si="99"/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4">
        <v>0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48869.61</v>
      </c>
      <c r="V261" s="6" t="e">
        <f t="shared" si="100"/>
        <v>#DIV/0!</v>
      </c>
    </row>
    <row r="262" spans="1:22" ht="42.95" customHeight="1" x14ac:dyDescent="0.25">
      <c r="A262" s="56" t="s">
        <v>330</v>
      </c>
      <c r="B262" s="56"/>
      <c r="C262" s="2">
        <f>SUM(C263)</f>
        <v>2990808.4</v>
      </c>
      <c r="D262" s="2">
        <f t="shared" ref="D262:U262" si="102">SUM(D263)</f>
        <v>0</v>
      </c>
      <c r="E262" s="2">
        <f t="shared" si="102"/>
        <v>0</v>
      </c>
      <c r="F262" s="2">
        <f t="shared" si="102"/>
        <v>0</v>
      </c>
      <c r="G262" s="2">
        <f t="shared" si="102"/>
        <v>0</v>
      </c>
      <c r="H262" s="2">
        <f t="shared" si="102"/>
        <v>0</v>
      </c>
      <c r="I262" s="2">
        <f t="shared" si="102"/>
        <v>0</v>
      </c>
      <c r="J262" s="2">
        <f t="shared" si="102"/>
        <v>0</v>
      </c>
      <c r="K262" s="14">
        <f t="shared" si="102"/>
        <v>0</v>
      </c>
      <c r="L262" s="2">
        <f t="shared" si="102"/>
        <v>0</v>
      </c>
      <c r="M262" s="2">
        <f t="shared" si="102"/>
        <v>366.4</v>
      </c>
      <c r="N262" s="2">
        <f t="shared" si="102"/>
        <v>1920360.81</v>
      </c>
      <c r="O262" s="2">
        <f t="shared" si="102"/>
        <v>0</v>
      </c>
      <c r="P262" s="2">
        <f t="shared" si="102"/>
        <v>0</v>
      </c>
      <c r="Q262" s="2">
        <f t="shared" si="102"/>
        <v>426</v>
      </c>
      <c r="R262" s="2">
        <f t="shared" si="102"/>
        <v>990609.29</v>
      </c>
      <c r="S262" s="2">
        <f t="shared" si="102"/>
        <v>0</v>
      </c>
      <c r="T262" s="2">
        <f t="shared" si="102"/>
        <v>0</v>
      </c>
      <c r="U262" s="2">
        <f t="shared" si="102"/>
        <v>79838.3</v>
      </c>
      <c r="V262" s="18">
        <f>C262+C759</f>
        <v>7300808.4000000004</v>
      </c>
    </row>
    <row r="263" spans="1:22" ht="23.1" customHeight="1" x14ac:dyDescent="0.25">
      <c r="A263" s="37" t="s">
        <v>1847</v>
      </c>
      <c r="B263" s="1" t="s">
        <v>332</v>
      </c>
      <c r="C263" s="2">
        <f t="shared" si="101"/>
        <v>2990808.4</v>
      </c>
      <c r="D263" s="3">
        <f t="shared" ref="D263" si="103">SUM(E263:J263)</f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4">
        <v>0</v>
      </c>
      <c r="L263" s="3">
        <v>0</v>
      </c>
      <c r="M263" s="3">
        <v>366.4</v>
      </c>
      <c r="N263" s="3">
        <v>1920360.81</v>
      </c>
      <c r="O263" s="3">
        <v>0</v>
      </c>
      <c r="P263" s="3">
        <v>0</v>
      </c>
      <c r="Q263" s="3">
        <v>426</v>
      </c>
      <c r="R263" s="3">
        <v>990609.29</v>
      </c>
      <c r="S263" s="3">
        <v>0</v>
      </c>
      <c r="T263" s="3">
        <v>0</v>
      </c>
      <c r="U263" s="3">
        <v>79838.3</v>
      </c>
      <c r="V263" s="6">
        <f>N263/M263</f>
        <v>5241.1594159388651</v>
      </c>
    </row>
    <row r="264" spans="1:22" ht="42.95" customHeight="1" x14ac:dyDescent="0.25">
      <c r="A264" s="56" t="s">
        <v>1556</v>
      </c>
      <c r="B264" s="56"/>
      <c r="C264" s="2">
        <f>SUM(C265)</f>
        <v>4068458.4</v>
      </c>
      <c r="D264" s="2">
        <f t="shared" ref="D264:U264" si="104">SUM(D265)</f>
        <v>0</v>
      </c>
      <c r="E264" s="2">
        <f t="shared" si="104"/>
        <v>0</v>
      </c>
      <c r="F264" s="2">
        <f t="shared" si="104"/>
        <v>0</v>
      </c>
      <c r="G264" s="2">
        <f t="shared" si="104"/>
        <v>0</v>
      </c>
      <c r="H264" s="2">
        <f t="shared" si="104"/>
        <v>0</v>
      </c>
      <c r="I264" s="2">
        <f t="shared" si="104"/>
        <v>0</v>
      </c>
      <c r="J264" s="2">
        <f t="shared" si="104"/>
        <v>0</v>
      </c>
      <c r="K264" s="14">
        <f t="shared" si="104"/>
        <v>0</v>
      </c>
      <c r="L264" s="2">
        <f t="shared" si="104"/>
        <v>0</v>
      </c>
      <c r="M264" s="2">
        <f t="shared" si="104"/>
        <v>1220.3</v>
      </c>
      <c r="N264" s="2">
        <f t="shared" si="104"/>
        <v>4068458.4</v>
      </c>
      <c r="O264" s="2">
        <f t="shared" si="104"/>
        <v>0</v>
      </c>
      <c r="P264" s="2">
        <f t="shared" si="104"/>
        <v>0</v>
      </c>
      <c r="Q264" s="2">
        <f t="shared" si="104"/>
        <v>0</v>
      </c>
      <c r="R264" s="2">
        <f t="shared" si="104"/>
        <v>0</v>
      </c>
      <c r="S264" s="2">
        <f t="shared" si="104"/>
        <v>0</v>
      </c>
      <c r="T264" s="2">
        <f t="shared" si="104"/>
        <v>0</v>
      </c>
      <c r="U264" s="2">
        <f t="shared" si="104"/>
        <v>0</v>
      </c>
      <c r="V264" s="18">
        <f>C264+C763</f>
        <v>31337108.399999999</v>
      </c>
    </row>
    <row r="265" spans="1:22" ht="24.95" customHeight="1" x14ac:dyDescent="0.25">
      <c r="A265" s="37" t="s">
        <v>1848</v>
      </c>
      <c r="B265" s="1" t="s">
        <v>1557</v>
      </c>
      <c r="C265" s="2">
        <f t="shared" ref="C265" si="105">D265+L265+N265+P265+R265+S265+T265+U265</f>
        <v>4068458.4</v>
      </c>
      <c r="D265" s="3">
        <f t="shared" ref="D265" si="106">SUM(E265:J265)</f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4">
        <v>0</v>
      </c>
      <c r="L265" s="3">
        <v>0</v>
      </c>
      <c r="M265" s="3">
        <v>1220.3</v>
      </c>
      <c r="N265" s="3">
        <v>4068458.4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6">
        <f>N265/M265</f>
        <v>3333.982135540441</v>
      </c>
    </row>
    <row r="266" spans="1:22" ht="35.1" customHeight="1" x14ac:dyDescent="0.25">
      <c r="A266" s="56" t="s">
        <v>333</v>
      </c>
      <c r="B266" s="56"/>
      <c r="C266" s="2">
        <f>SUM(C267)</f>
        <v>2367169.1</v>
      </c>
      <c r="D266" s="2">
        <f t="shared" ref="D266:U266" si="107">SUM(D267:D267)</f>
        <v>0</v>
      </c>
      <c r="E266" s="2">
        <f t="shared" si="107"/>
        <v>0</v>
      </c>
      <c r="F266" s="2">
        <f t="shared" si="107"/>
        <v>0</v>
      </c>
      <c r="G266" s="2">
        <f t="shared" si="107"/>
        <v>0</v>
      </c>
      <c r="H266" s="2">
        <f t="shared" si="107"/>
        <v>0</v>
      </c>
      <c r="I266" s="2">
        <f t="shared" si="107"/>
        <v>0</v>
      </c>
      <c r="J266" s="2">
        <f t="shared" si="107"/>
        <v>0</v>
      </c>
      <c r="K266" s="14">
        <f t="shared" si="107"/>
        <v>0</v>
      </c>
      <c r="L266" s="2">
        <f t="shared" si="107"/>
        <v>0</v>
      </c>
      <c r="M266" s="2">
        <f t="shared" si="107"/>
        <v>488.37</v>
      </c>
      <c r="N266" s="2">
        <f t="shared" si="107"/>
        <v>2367169.1</v>
      </c>
      <c r="O266" s="2">
        <f t="shared" si="107"/>
        <v>0</v>
      </c>
      <c r="P266" s="2">
        <f t="shared" si="107"/>
        <v>0</v>
      </c>
      <c r="Q266" s="2">
        <f t="shared" si="107"/>
        <v>0</v>
      </c>
      <c r="R266" s="2">
        <f t="shared" si="107"/>
        <v>0</v>
      </c>
      <c r="S266" s="2">
        <f t="shared" si="107"/>
        <v>0</v>
      </c>
      <c r="T266" s="2">
        <f t="shared" si="107"/>
        <v>0</v>
      </c>
      <c r="U266" s="2">
        <f t="shared" si="107"/>
        <v>0</v>
      </c>
      <c r="V266" s="18">
        <f>C266</f>
        <v>2367169.1</v>
      </c>
    </row>
    <row r="267" spans="1:22" ht="24.95" customHeight="1" x14ac:dyDescent="0.25">
      <c r="A267" s="36" t="s">
        <v>1849</v>
      </c>
      <c r="B267" s="8" t="s">
        <v>1552</v>
      </c>
      <c r="C267" s="2">
        <f t="shared" si="101"/>
        <v>2367169.1</v>
      </c>
      <c r="D267" s="3">
        <f t="shared" ref="D267" si="108">SUM(E267:J267)</f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11">
        <v>0</v>
      </c>
      <c r="L267" s="5">
        <v>0</v>
      </c>
      <c r="M267" s="5">
        <v>488.37</v>
      </c>
      <c r="N267" s="5">
        <v>2367169.1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6">
        <f t="shared" ref="V267" si="109">N267/M267</f>
        <v>4847.081311300858</v>
      </c>
    </row>
    <row r="268" spans="1:22" ht="40.15" customHeight="1" x14ac:dyDescent="0.25">
      <c r="A268" s="56" t="s">
        <v>337</v>
      </c>
      <c r="B268" s="56"/>
      <c r="C268" s="2">
        <f>SUM(C269)</f>
        <v>1083858.1100000001</v>
      </c>
      <c r="D268" s="2">
        <f t="shared" ref="D268:U268" si="110">SUM(D269)</f>
        <v>0</v>
      </c>
      <c r="E268" s="2">
        <f t="shared" si="110"/>
        <v>0</v>
      </c>
      <c r="F268" s="2">
        <f t="shared" si="110"/>
        <v>0</v>
      </c>
      <c r="G268" s="2">
        <f t="shared" si="110"/>
        <v>0</v>
      </c>
      <c r="H268" s="2">
        <f t="shared" si="110"/>
        <v>0</v>
      </c>
      <c r="I268" s="2">
        <f t="shared" si="110"/>
        <v>0</v>
      </c>
      <c r="J268" s="2">
        <f t="shared" si="110"/>
        <v>0</v>
      </c>
      <c r="K268" s="14">
        <f t="shared" si="110"/>
        <v>0</v>
      </c>
      <c r="L268" s="2">
        <f t="shared" si="110"/>
        <v>0</v>
      </c>
      <c r="M268" s="2">
        <f t="shared" si="110"/>
        <v>321.10000000000002</v>
      </c>
      <c r="N268" s="2">
        <f t="shared" si="110"/>
        <v>1059307.8500000001</v>
      </c>
      <c r="O268" s="2">
        <f t="shared" si="110"/>
        <v>0</v>
      </c>
      <c r="P268" s="2">
        <f t="shared" si="110"/>
        <v>0</v>
      </c>
      <c r="Q268" s="2">
        <f t="shared" si="110"/>
        <v>0</v>
      </c>
      <c r="R268" s="2">
        <f t="shared" si="110"/>
        <v>0</v>
      </c>
      <c r="S268" s="2">
        <f t="shared" si="110"/>
        <v>0</v>
      </c>
      <c r="T268" s="2">
        <f t="shared" si="110"/>
        <v>0</v>
      </c>
      <c r="U268" s="2">
        <f t="shared" si="110"/>
        <v>24550.26</v>
      </c>
      <c r="V268" s="18">
        <f>C268</f>
        <v>1083858.1100000001</v>
      </c>
    </row>
    <row r="269" spans="1:22" ht="21.95" customHeight="1" x14ac:dyDescent="0.25">
      <c r="A269" s="37" t="s">
        <v>1850</v>
      </c>
      <c r="B269" s="8" t="s">
        <v>338</v>
      </c>
      <c r="C269" s="2">
        <f t="shared" si="101"/>
        <v>1083858.1100000001</v>
      </c>
      <c r="D269" s="3">
        <f t="shared" ref="D269" si="111">SUM(E269:J269)</f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4">
        <v>0</v>
      </c>
      <c r="L269" s="3">
        <v>0</v>
      </c>
      <c r="M269" s="3">
        <v>321.10000000000002</v>
      </c>
      <c r="N269" s="3">
        <v>1059307.8500000001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24550.26</v>
      </c>
      <c r="V269" s="6">
        <f>N269/M269</f>
        <v>3298.9967299906571</v>
      </c>
    </row>
    <row r="270" spans="1:22" ht="40.15" customHeight="1" x14ac:dyDescent="0.25">
      <c r="A270" s="56" t="s">
        <v>1635</v>
      </c>
      <c r="B270" s="56"/>
      <c r="C270" s="2">
        <f>SUM(C271:C283)</f>
        <v>51998849.679999992</v>
      </c>
      <c r="D270" s="2">
        <f t="shared" ref="D270:U270" si="112">SUM(D271:D283)</f>
        <v>713279.95</v>
      </c>
      <c r="E270" s="2">
        <f t="shared" si="112"/>
        <v>316423.8</v>
      </c>
      <c r="F270" s="2">
        <f t="shared" si="112"/>
        <v>0</v>
      </c>
      <c r="G270" s="2">
        <f t="shared" si="112"/>
        <v>203648.15</v>
      </c>
      <c r="H270" s="2">
        <f t="shared" si="112"/>
        <v>0</v>
      </c>
      <c r="I270" s="2">
        <f t="shared" si="112"/>
        <v>193208</v>
      </c>
      <c r="J270" s="2">
        <f t="shared" si="112"/>
        <v>0</v>
      </c>
      <c r="K270" s="14">
        <f t="shared" si="112"/>
        <v>0</v>
      </c>
      <c r="L270" s="2">
        <f t="shared" si="112"/>
        <v>0</v>
      </c>
      <c r="M270" s="2">
        <f t="shared" si="112"/>
        <v>7845</v>
      </c>
      <c r="N270" s="2">
        <f t="shared" si="112"/>
        <v>25612943.949999999</v>
      </c>
      <c r="O270" s="2">
        <f t="shared" si="112"/>
        <v>0</v>
      </c>
      <c r="P270" s="2">
        <f t="shared" si="112"/>
        <v>0</v>
      </c>
      <c r="Q270" s="2">
        <f t="shared" si="112"/>
        <v>9809.4</v>
      </c>
      <c r="R270" s="2">
        <f t="shared" si="112"/>
        <v>22910394.800000001</v>
      </c>
      <c r="S270" s="2">
        <f t="shared" si="112"/>
        <v>488565.26</v>
      </c>
      <c r="T270" s="2">
        <f t="shared" si="112"/>
        <v>0</v>
      </c>
      <c r="U270" s="2">
        <f t="shared" si="112"/>
        <v>2273665.7200000002</v>
      </c>
      <c r="V270" s="18">
        <f>C270+C766+C1148</f>
        <v>312640171.80000001</v>
      </c>
    </row>
    <row r="271" spans="1:22" ht="21.95" customHeight="1" x14ac:dyDescent="0.25">
      <c r="A271" s="37" t="s">
        <v>1851</v>
      </c>
      <c r="B271" s="8" t="s">
        <v>339</v>
      </c>
      <c r="C271" s="2">
        <f t="shared" si="101"/>
        <v>2925706.35</v>
      </c>
      <c r="D271" s="3">
        <f t="shared" ref="D271:D283" si="113">SUM(E271:J271)</f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4">
        <v>0</v>
      </c>
      <c r="L271" s="3">
        <v>0</v>
      </c>
      <c r="M271" s="3">
        <v>911.03</v>
      </c>
      <c r="N271" s="3">
        <v>2827430.4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98275.95</v>
      </c>
      <c r="V271" s="6">
        <f t="shared" ref="V271:V283" si="114">N271/M271</f>
        <v>3103.5535602559739</v>
      </c>
    </row>
    <row r="272" spans="1:22" ht="21.95" customHeight="1" x14ac:dyDescent="0.25">
      <c r="A272" s="37" t="s">
        <v>1852</v>
      </c>
      <c r="B272" s="8" t="s">
        <v>340</v>
      </c>
      <c r="C272" s="2">
        <f t="shared" si="101"/>
        <v>3929419.09</v>
      </c>
      <c r="D272" s="3">
        <f t="shared" si="113"/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4">
        <v>0</v>
      </c>
      <c r="L272" s="3">
        <v>0</v>
      </c>
      <c r="M272" s="3">
        <v>1236.1400000000001</v>
      </c>
      <c r="N272" s="3">
        <v>3828000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101419.09</v>
      </c>
      <c r="V272" s="6">
        <f t="shared" si="114"/>
        <v>3096.7366155937029</v>
      </c>
    </row>
    <row r="273" spans="1:22" ht="21.95" customHeight="1" x14ac:dyDescent="0.25">
      <c r="A273" s="37" t="s">
        <v>1853</v>
      </c>
      <c r="B273" s="8" t="s">
        <v>341</v>
      </c>
      <c r="C273" s="2">
        <f t="shared" si="101"/>
        <v>4817880.9799999995</v>
      </c>
      <c r="D273" s="3">
        <f t="shared" si="113"/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4">
        <v>0</v>
      </c>
      <c r="L273" s="3">
        <v>0</v>
      </c>
      <c r="M273" s="3">
        <v>1587.42</v>
      </c>
      <c r="N273" s="3">
        <v>4706253.5999999996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111627.38</v>
      </c>
      <c r="V273" s="6">
        <f t="shared" si="114"/>
        <v>2964.71859999244</v>
      </c>
    </row>
    <row r="274" spans="1:22" ht="21.95" customHeight="1" x14ac:dyDescent="0.25">
      <c r="A274" s="37" t="s">
        <v>1854</v>
      </c>
      <c r="B274" s="8" t="s">
        <v>342</v>
      </c>
      <c r="C274" s="2">
        <f t="shared" si="101"/>
        <v>4998407.29</v>
      </c>
      <c r="D274" s="3">
        <f t="shared" si="113"/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4">
        <v>0</v>
      </c>
      <c r="L274" s="3">
        <v>0</v>
      </c>
      <c r="M274" s="3">
        <v>1673</v>
      </c>
      <c r="N274" s="3">
        <v>4914912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83495.289999999994</v>
      </c>
      <c r="V274" s="6">
        <f t="shared" si="114"/>
        <v>2937.7836222355049</v>
      </c>
    </row>
    <row r="275" spans="1:22" ht="21.95" customHeight="1" x14ac:dyDescent="0.25">
      <c r="A275" s="37" t="s">
        <v>1855</v>
      </c>
      <c r="B275" s="8" t="s">
        <v>343</v>
      </c>
      <c r="C275" s="2">
        <f t="shared" si="101"/>
        <v>4568951.93</v>
      </c>
      <c r="D275" s="3">
        <f t="shared" si="113"/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4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2218</v>
      </c>
      <c r="R275" s="3">
        <v>4428500</v>
      </c>
      <c r="S275" s="3">
        <v>0</v>
      </c>
      <c r="T275" s="3">
        <v>0</v>
      </c>
      <c r="U275" s="3">
        <v>140451.93</v>
      </c>
      <c r="V275" s="6" t="e">
        <f t="shared" si="114"/>
        <v>#DIV/0!</v>
      </c>
    </row>
    <row r="276" spans="1:22" ht="21.95" customHeight="1" x14ac:dyDescent="0.25">
      <c r="A276" s="37" t="s">
        <v>1856</v>
      </c>
      <c r="B276" s="8" t="s">
        <v>345</v>
      </c>
      <c r="C276" s="2">
        <f t="shared" si="101"/>
        <v>4381271.97</v>
      </c>
      <c r="D276" s="3">
        <f t="shared" si="113"/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4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1909</v>
      </c>
      <c r="R276" s="3">
        <v>4251450.3099999996</v>
      </c>
      <c r="S276" s="3">
        <v>0</v>
      </c>
      <c r="T276" s="3">
        <v>0</v>
      </c>
      <c r="U276" s="3">
        <v>129821.66</v>
      </c>
      <c r="V276" s="6" t="e">
        <f t="shared" si="114"/>
        <v>#DIV/0!</v>
      </c>
    </row>
    <row r="277" spans="1:22" ht="21.95" customHeight="1" x14ac:dyDescent="0.25">
      <c r="A277" s="37" t="s">
        <v>1857</v>
      </c>
      <c r="B277" s="8" t="s">
        <v>346</v>
      </c>
      <c r="C277" s="2">
        <f t="shared" si="101"/>
        <v>4530496.58</v>
      </c>
      <c r="D277" s="3">
        <f t="shared" si="113"/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4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1788.4</v>
      </c>
      <c r="R277" s="3">
        <v>4406045.6500000004</v>
      </c>
      <c r="S277" s="3">
        <v>0</v>
      </c>
      <c r="T277" s="3">
        <v>0</v>
      </c>
      <c r="U277" s="3">
        <v>124450.93</v>
      </c>
      <c r="V277" s="6" t="e">
        <f t="shared" si="114"/>
        <v>#DIV/0!</v>
      </c>
    </row>
    <row r="278" spans="1:22" ht="21.95" customHeight="1" x14ac:dyDescent="0.25">
      <c r="A278" s="37" t="s">
        <v>1858</v>
      </c>
      <c r="B278" s="8" t="s">
        <v>347</v>
      </c>
      <c r="C278" s="2">
        <f t="shared" si="101"/>
        <v>4528460.6399999997</v>
      </c>
      <c r="D278" s="3">
        <f t="shared" si="113"/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4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1894</v>
      </c>
      <c r="R278" s="3">
        <v>4406264.83</v>
      </c>
      <c r="S278" s="3">
        <v>0</v>
      </c>
      <c r="T278" s="3">
        <v>0</v>
      </c>
      <c r="U278" s="3">
        <v>122195.81</v>
      </c>
      <c r="V278" s="6" t="e">
        <f t="shared" si="114"/>
        <v>#DIV/0!</v>
      </c>
    </row>
    <row r="279" spans="1:22" ht="21.95" customHeight="1" x14ac:dyDescent="0.25">
      <c r="A279" s="37" t="s">
        <v>1859</v>
      </c>
      <c r="B279" s="8" t="s">
        <v>344</v>
      </c>
      <c r="C279" s="2">
        <f>D279+L279+N279+P279+R279+S279+T279+U279</f>
        <v>105201.37</v>
      </c>
      <c r="D279" s="3">
        <f>SUM(E279:J279)</f>
        <v>0</v>
      </c>
      <c r="E279" s="3">
        <v>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4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105201.37</v>
      </c>
      <c r="V279" s="6" t="e">
        <f>N279/M279</f>
        <v>#DIV/0!</v>
      </c>
    </row>
    <row r="280" spans="1:22" ht="21.95" customHeight="1" x14ac:dyDescent="0.25">
      <c r="A280" s="37" t="s">
        <v>1860</v>
      </c>
      <c r="B280" s="8" t="s">
        <v>1397</v>
      </c>
      <c r="C280" s="2">
        <f t="shared" si="101"/>
        <v>3104305.26</v>
      </c>
      <c r="D280" s="3">
        <f t="shared" si="113"/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4">
        <v>0</v>
      </c>
      <c r="L280" s="3">
        <v>0</v>
      </c>
      <c r="M280" s="5">
        <v>0</v>
      </c>
      <c r="N280" s="5">
        <v>0</v>
      </c>
      <c r="O280" s="3">
        <v>0</v>
      </c>
      <c r="P280" s="3">
        <v>0</v>
      </c>
      <c r="Q280" s="3">
        <v>900</v>
      </c>
      <c r="R280" s="3">
        <v>2375136.16</v>
      </c>
      <c r="S280" s="3">
        <v>488565.26</v>
      </c>
      <c r="T280" s="3">
        <v>0</v>
      </c>
      <c r="U280" s="3">
        <v>240603.84</v>
      </c>
      <c r="V280" s="6" t="e">
        <f t="shared" si="114"/>
        <v>#DIV/0!</v>
      </c>
    </row>
    <row r="281" spans="1:22" ht="21.95" customHeight="1" x14ac:dyDescent="0.25">
      <c r="A281" s="37" t="s">
        <v>1861</v>
      </c>
      <c r="B281" s="8" t="s">
        <v>1358</v>
      </c>
      <c r="C281" s="2">
        <f t="shared" ref="C281" si="115">D281+L281+N281+P281+R281+S281+T281+U281</f>
        <v>435666.08</v>
      </c>
      <c r="D281" s="3">
        <f t="shared" ref="D281" si="116">SUM(E281:J281)</f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4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435666.08</v>
      </c>
      <c r="V281" s="6">
        <f>N775/M775</f>
        <v>5500</v>
      </c>
    </row>
    <row r="282" spans="1:22" ht="21.95" customHeight="1" x14ac:dyDescent="0.25">
      <c r="A282" s="37" t="s">
        <v>1862</v>
      </c>
      <c r="B282" s="8" t="s">
        <v>1398</v>
      </c>
      <c r="C282" s="2">
        <f t="shared" si="101"/>
        <v>8063449.2299999995</v>
      </c>
      <c r="D282" s="3">
        <f t="shared" si="113"/>
        <v>713279.95</v>
      </c>
      <c r="E282" s="3">
        <v>316423.8</v>
      </c>
      <c r="F282" s="3">
        <v>0</v>
      </c>
      <c r="G282" s="3">
        <v>203648.15</v>
      </c>
      <c r="H282" s="3">
        <v>0</v>
      </c>
      <c r="I282" s="3">
        <v>193208</v>
      </c>
      <c r="J282" s="3">
        <v>0</v>
      </c>
      <c r="K282" s="4">
        <v>0</v>
      </c>
      <c r="L282" s="3">
        <v>0</v>
      </c>
      <c r="M282" s="5">
        <v>746</v>
      </c>
      <c r="N282" s="5">
        <v>3974815.15</v>
      </c>
      <c r="O282" s="3">
        <v>0</v>
      </c>
      <c r="P282" s="3">
        <v>0</v>
      </c>
      <c r="Q282" s="3">
        <v>1100</v>
      </c>
      <c r="R282" s="3">
        <v>3042997.85</v>
      </c>
      <c r="S282" s="3">
        <v>0</v>
      </c>
      <c r="T282" s="3">
        <v>0</v>
      </c>
      <c r="U282" s="3">
        <v>332356.28000000003</v>
      </c>
      <c r="V282" s="6">
        <f t="shared" si="114"/>
        <v>5328.1704423592491</v>
      </c>
    </row>
    <row r="283" spans="1:22" ht="21.95" customHeight="1" x14ac:dyDescent="0.25">
      <c r="A283" s="37" t="s">
        <v>1863</v>
      </c>
      <c r="B283" s="8" t="s">
        <v>372</v>
      </c>
      <c r="C283" s="2">
        <f>D283+L283+N283+P283+R283+S283+T283+U283</f>
        <v>5609632.9100000001</v>
      </c>
      <c r="D283" s="3">
        <f t="shared" si="113"/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4">
        <v>0</v>
      </c>
      <c r="L283" s="3">
        <v>0</v>
      </c>
      <c r="M283" s="3">
        <v>1691.41</v>
      </c>
      <c r="N283" s="3">
        <v>5361532.8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248100.11</v>
      </c>
      <c r="V283" s="6">
        <f t="shared" si="114"/>
        <v>3169.8599393405498</v>
      </c>
    </row>
    <row r="284" spans="1:22" s="16" customFormat="1" ht="24.95" customHeight="1" x14ac:dyDescent="0.25">
      <c r="A284" s="58" t="s">
        <v>209</v>
      </c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15"/>
    </row>
    <row r="285" spans="1:22" ht="24.95" customHeight="1" x14ac:dyDescent="0.25">
      <c r="A285" s="57" t="s">
        <v>210</v>
      </c>
      <c r="B285" s="57"/>
      <c r="C285" s="2">
        <f>C286+C291+C313+C315+C319+C321+C325+C327+C331+C333+C339+C347+C349+C351+C355+C357+C360+C362+C364+C368+C372+C374+C376+C383+C385+C408+C410+C420+C428+C430+C432+C451+C453+C455+C458+C462+C727+C731+C733+C736+C747+C749+C753+C755+C759+C761+C763+C766+C783+C786</f>
        <v>1902432497.3099997</v>
      </c>
      <c r="D285" s="2">
        <f t="shared" ref="D285:U285" si="117">D286+D291+D313+D315+D319+D321+D325+D327+D331+D333+D339+D347+D349+D351+D355+D357+D360+D362+D364+D368+D372+D374+D376+D383+D385+D408+D410+D420+D428+D430+D432+D451+D453+D455+D458+D462+D727+D731+D733+D736+D747+D749+D753+D755+D759+D761+D763+D766+D783+D786</f>
        <v>397236316</v>
      </c>
      <c r="E285" s="2">
        <f t="shared" si="117"/>
        <v>67566227.439999998</v>
      </c>
      <c r="F285" s="2">
        <f t="shared" si="117"/>
        <v>182256321.47</v>
      </c>
      <c r="G285" s="2">
        <f t="shared" si="117"/>
        <v>52073781.710000001</v>
      </c>
      <c r="H285" s="2">
        <f t="shared" si="117"/>
        <v>43243963.740000002</v>
      </c>
      <c r="I285" s="2">
        <f t="shared" si="117"/>
        <v>52096021.640000001</v>
      </c>
      <c r="J285" s="2">
        <f t="shared" si="117"/>
        <v>0</v>
      </c>
      <c r="K285" s="48">
        <f t="shared" si="117"/>
        <v>39</v>
      </c>
      <c r="L285" s="2">
        <f t="shared" si="117"/>
        <v>84600000</v>
      </c>
      <c r="M285" s="2">
        <f t="shared" si="117"/>
        <v>179439.33000000002</v>
      </c>
      <c r="N285" s="2">
        <f t="shared" si="117"/>
        <v>936549668.74999988</v>
      </c>
      <c r="O285" s="2">
        <f t="shared" si="117"/>
        <v>3554.35</v>
      </c>
      <c r="P285" s="2">
        <f t="shared" si="117"/>
        <v>5536923.4100000001</v>
      </c>
      <c r="Q285" s="2">
        <f t="shared" si="117"/>
        <v>142388.73000000001</v>
      </c>
      <c r="R285" s="2">
        <f t="shared" si="117"/>
        <v>422099596.38</v>
      </c>
      <c r="S285" s="2">
        <f t="shared" si="117"/>
        <v>12709538.32</v>
      </c>
      <c r="T285" s="2">
        <f t="shared" si="117"/>
        <v>0</v>
      </c>
      <c r="U285" s="2">
        <f t="shared" si="117"/>
        <v>43700454.449999988</v>
      </c>
    </row>
    <row r="286" spans="1:22" ht="45" customHeight="1" x14ac:dyDescent="0.25">
      <c r="A286" s="56" t="s">
        <v>1634</v>
      </c>
      <c r="B286" s="56"/>
      <c r="C286" s="2">
        <f>SUM(C287:C290)</f>
        <v>18646741</v>
      </c>
      <c r="D286" s="2">
        <f t="shared" ref="D286:U286" si="118">SUM(D287:D290)</f>
        <v>2688165</v>
      </c>
      <c r="E286" s="2">
        <f t="shared" si="118"/>
        <v>787045</v>
      </c>
      <c r="F286" s="2">
        <f t="shared" si="118"/>
        <v>664335</v>
      </c>
      <c r="G286" s="2">
        <f t="shared" si="118"/>
        <v>674610</v>
      </c>
      <c r="H286" s="2">
        <f t="shared" si="118"/>
        <v>0</v>
      </c>
      <c r="I286" s="2">
        <f t="shared" si="118"/>
        <v>562175</v>
      </c>
      <c r="J286" s="2">
        <f t="shared" si="118"/>
        <v>0</v>
      </c>
      <c r="K286" s="14">
        <f t="shared" si="118"/>
        <v>0</v>
      </c>
      <c r="L286" s="2">
        <f t="shared" si="118"/>
        <v>0</v>
      </c>
      <c r="M286" s="2">
        <f t="shared" si="118"/>
        <v>1654</v>
      </c>
      <c r="N286" s="2">
        <f t="shared" si="118"/>
        <v>8360516</v>
      </c>
      <c r="O286" s="2">
        <f t="shared" si="118"/>
        <v>0</v>
      </c>
      <c r="P286" s="2">
        <f t="shared" si="118"/>
        <v>0</v>
      </c>
      <c r="Q286" s="2">
        <f t="shared" si="118"/>
        <v>2066.02</v>
      </c>
      <c r="R286" s="2">
        <f t="shared" si="118"/>
        <v>6198060</v>
      </c>
      <c r="S286" s="2">
        <f t="shared" si="118"/>
        <v>0</v>
      </c>
      <c r="T286" s="2">
        <f t="shared" si="118"/>
        <v>0</v>
      </c>
      <c r="U286" s="2">
        <f t="shared" si="118"/>
        <v>1400000</v>
      </c>
    </row>
    <row r="287" spans="1:22" ht="21.95" customHeight="1" x14ac:dyDescent="0.25">
      <c r="A287" s="37" t="s">
        <v>1864</v>
      </c>
      <c r="B287" s="38" t="s">
        <v>20</v>
      </c>
      <c r="C287" s="2">
        <f>D287+L287+N287+P287+R287+S287+T287+U287</f>
        <v>5592200</v>
      </c>
      <c r="D287" s="3">
        <f>SUM(E287:J287)</f>
        <v>623700</v>
      </c>
      <c r="E287" s="3">
        <f>350*693</f>
        <v>242550</v>
      </c>
      <c r="F287" s="3">
        <f>800*0</f>
        <v>0</v>
      </c>
      <c r="G287" s="3">
        <f>300*693</f>
        <v>207900</v>
      </c>
      <c r="H287" s="3">
        <f>400*0</f>
        <v>0</v>
      </c>
      <c r="I287" s="3">
        <f>250*693</f>
        <v>173250</v>
      </c>
      <c r="J287" s="3">
        <f>350*0</f>
        <v>0</v>
      </c>
      <c r="K287" s="4">
        <v>0</v>
      </c>
      <c r="L287" s="3">
        <v>0</v>
      </c>
      <c r="M287" s="3">
        <v>532</v>
      </c>
      <c r="N287" s="3">
        <f>M287*5500</f>
        <v>2926000</v>
      </c>
      <c r="O287" s="3">
        <v>0</v>
      </c>
      <c r="P287" s="3">
        <v>0</v>
      </c>
      <c r="Q287" s="3">
        <v>647.5</v>
      </c>
      <c r="R287" s="3">
        <f>Q287*3000</f>
        <v>1942500</v>
      </c>
      <c r="S287" s="3">
        <v>0</v>
      </c>
      <c r="T287" s="3">
        <v>0</v>
      </c>
      <c r="U287" s="3">
        <v>100000</v>
      </c>
      <c r="V287" s="6">
        <f>N287/M287</f>
        <v>5500</v>
      </c>
    </row>
    <row r="288" spans="1:22" ht="21.95" customHeight="1" x14ac:dyDescent="0.25">
      <c r="A288" s="37" t="s">
        <v>1865</v>
      </c>
      <c r="B288" s="38" t="s">
        <v>21</v>
      </c>
      <c r="C288" s="2">
        <f>D288+L288+N288+P288+R288+S288+T288+U288</f>
        <v>3134801</v>
      </c>
      <c r="D288" s="3">
        <f>SUM(E288:J288)</f>
        <v>658905</v>
      </c>
      <c r="E288" s="3">
        <f>350*337.9</f>
        <v>118264.99999999999</v>
      </c>
      <c r="F288" s="3">
        <f>1050*337.9</f>
        <v>354795</v>
      </c>
      <c r="G288" s="3">
        <f>300*337.9</f>
        <v>101370</v>
      </c>
      <c r="H288" s="3">
        <f>500*0</f>
        <v>0</v>
      </c>
      <c r="I288" s="3">
        <f>250*337.9</f>
        <v>84475</v>
      </c>
      <c r="J288" s="3">
        <f>350*0</f>
        <v>0</v>
      </c>
      <c r="K288" s="4">
        <v>0</v>
      </c>
      <c r="L288" s="3">
        <v>0</v>
      </c>
      <c r="M288" s="3">
        <v>196</v>
      </c>
      <c r="N288" s="3">
        <f>M288*3686</f>
        <v>722456</v>
      </c>
      <c r="O288" s="3">
        <v>0</v>
      </c>
      <c r="P288" s="3">
        <v>0</v>
      </c>
      <c r="Q288" s="3">
        <v>384.48</v>
      </c>
      <c r="R288" s="3">
        <f>Q288*3000</f>
        <v>1153440</v>
      </c>
      <c r="S288" s="3">
        <v>0</v>
      </c>
      <c r="T288" s="3">
        <v>0</v>
      </c>
      <c r="U288" s="3">
        <v>600000</v>
      </c>
      <c r="V288" s="6">
        <f>N288/M288</f>
        <v>3686</v>
      </c>
    </row>
    <row r="289" spans="1:22" ht="21.95" customHeight="1" x14ac:dyDescent="0.25">
      <c r="A289" s="37" t="s">
        <v>1866</v>
      </c>
      <c r="B289" s="39" t="s">
        <v>22</v>
      </c>
      <c r="C289" s="2">
        <f>D289+L289+N289+P289+R289+S289+T289+U289</f>
        <v>2795040</v>
      </c>
      <c r="D289" s="3">
        <f>SUM(E289:J289)</f>
        <v>574860</v>
      </c>
      <c r="E289" s="3">
        <f>350*294.8</f>
        <v>103180</v>
      </c>
      <c r="F289" s="3">
        <f>1050*294.8</f>
        <v>309540</v>
      </c>
      <c r="G289" s="3">
        <f>300*294.8</f>
        <v>88440</v>
      </c>
      <c r="H289" s="3">
        <f>500*0</f>
        <v>0</v>
      </c>
      <c r="I289" s="3">
        <f>250*294.8</f>
        <v>73700</v>
      </c>
      <c r="J289" s="3">
        <f>350*0</f>
        <v>0</v>
      </c>
      <c r="K289" s="4">
        <v>0</v>
      </c>
      <c r="L289" s="3">
        <v>0</v>
      </c>
      <c r="M289" s="3">
        <v>210</v>
      </c>
      <c r="N289" s="3">
        <f>M289*3686</f>
        <v>774060</v>
      </c>
      <c r="O289" s="3">
        <v>0</v>
      </c>
      <c r="P289" s="3">
        <v>0</v>
      </c>
      <c r="Q289" s="3">
        <v>282.04000000000002</v>
      </c>
      <c r="R289" s="3">
        <f>Q289*3000</f>
        <v>846120.00000000012</v>
      </c>
      <c r="S289" s="3">
        <v>0</v>
      </c>
      <c r="T289" s="3">
        <v>0</v>
      </c>
      <c r="U289" s="3">
        <v>600000</v>
      </c>
      <c r="V289" s="6">
        <f>N289/M289</f>
        <v>3686</v>
      </c>
    </row>
    <row r="290" spans="1:22" ht="21.95" customHeight="1" x14ac:dyDescent="0.25">
      <c r="A290" s="37" t="s">
        <v>1867</v>
      </c>
      <c r="B290" s="40" t="s">
        <v>23</v>
      </c>
      <c r="C290" s="2">
        <f>D290+L290+N290+P290+R290+S290+T290+U290</f>
        <v>7124700</v>
      </c>
      <c r="D290" s="3">
        <f>SUM(E290:J290)</f>
        <v>830700</v>
      </c>
      <c r="E290" s="3">
        <f>350*923</f>
        <v>323050</v>
      </c>
      <c r="F290" s="3">
        <f>800*0</f>
        <v>0</v>
      </c>
      <c r="G290" s="3">
        <f>300*923</f>
        <v>276900</v>
      </c>
      <c r="H290" s="3">
        <f>400*0</f>
        <v>0</v>
      </c>
      <c r="I290" s="3">
        <f>250*923</f>
        <v>230750</v>
      </c>
      <c r="J290" s="3">
        <f>350*0</f>
        <v>0</v>
      </c>
      <c r="K290" s="4">
        <v>0</v>
      </c>
      <c r="L290" s="3">
        <v>0</v>
      </c>
      <c r="M290" s="3">
        <v>716</v>
      </c>
      <c r="N290" s="3">
        <f>M290*5500</f>
        <v>3938000</v>
      </c>
      <c r="O290" s="3">
        <v>0</v>
      </c>
      <c r="P290" s="3">
        <v>0</v>
      </c>
      <c r="Q290" s="3">
        <v>752</v>
      </c>
      <c r="R290" s="3">
        <f>Q290*3000</f>
        <v>2256000</v>
      </c>
      <c r="S290" s="3">
        <v>0</v>
      </c>
      <c r="T290" s="3">
        <v>0</v>
      </c>
      <c r="U290" s="3">
        <v>100000</v>
      </c>
      <c r="V290" s="6">
        <f>N290/M290</f>
        <v>5500</v>
      </c>
    </row>
    <row r="291" spans="1:22" ht="45" customHeight="1" x14ac:dyDescent="0.25">
      <c r="A291" s="56" t="s">
        <v>0</v>
      </c>
      <c r="B291" s="56"/>
      <c r="C291" s="2">
        <f>SUM(C292:C312)</f>
        <v>134970093.91</v>
      </c>
      <c r="D291" s="2">
        <f t="shared" ref="D291:U291" si="119">SUM(D292:D312)</f>
        <v>20801965</v>
      </c>
      <c r="E291" s="2">
        <f t="shared" si="119"/>
        <v>3098165</v>
      </c>
      <c r="F291" s="2">
        <f t="shared" si="119"/>
        <v>9294495</v>
      </c>
      <c r="G291" s="2">
        <f t="shared" si="119"/>
        <v>2655570</v>
      </c>
      <c r="H291" s="2">
        <f t="shared" si="119"/>
        <v>3540760</v>
      </c>
      <c r="I291" s="2">
        <f t="shared" si="119"/>
        <v>2212975</v>
      </c>
      <c r="J291" s="2">
        <f t="shared" si="119"/>
        <v>0</v>
      </c>
      <c r="K291" s="14">
        <f t="shared" si="119"/>
        <v>10</v>
      </c>
      <c r="L291" s="2">
        <f t="shared" si="119"/>
        <v>21500000</v>
      </c>
      <c r="M291" s="2">
        <f t="shared" si="119"/>
        <v>12953.690000000002</v>
      </c>
      <c r="N291" s="2">
        <f t="shared" si="119"/>
        <v>60187931.020000003</v>
      </c>
      <c r="O291" s="2">
        <f t="shared" si="119"/>
        <v>383.4</v>
      </c>
      <c r="P291" s="2">
        <f t="shared" si="119"/>
        <v>1195680</v>
      </c>
      <c r="Q291" s="2">
        <f t="shared" si="119"/>
        <v>9309.7000000000007</v>
      </c>
      <c r="R291" s="2">
        <f t="shared" si="119"/>
        <v>27929100</v>
      </c>
      <c r="S291" s="2">
        <f t="shared" si="119"/>
        <v>0</v>
      </c>
      <c r="T291" s="2">
        <f t="shared" si="119"/>
        <v>0</v>
      </c>
      <c r="U291" s="2">
        <f t="shared" si="119"/>
        <v>3355417.89</v>
      </c>
    </row>
    <row r="292" spans="1:22" ht="23.1" customHeight="1" x14ac:dyDescent="0.25">
      <c r="A292" s="37" t="s">
        <v>1868</v>
      </c>
      <c r="B292" s="19" t="s">
        <v>40</v>
      </c>
      <c r="C292" s="2">
        <f t="shared" ref="C292:C356" si="120">D292+L292+N292+P292+R292+S292+T292+U292</f>
        <v>3781250</v>
      </c>
      <c r="D292" s="3">
        <f t="shared" ref="D292:D312" si="121">SUM(E292:J292)</f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4">
        <v>0</v>
      </c>
      <c r="L292" s="3">
        <v>0</v>
      </c>
      <c r="M292" s="3">
        <v>687.5</v>
      </c>
      <c r="N292" s="3">
        <f t="shared" ref="N292:N293" si="122">M292*5500</f>
        <v>3781250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6">
        <f t="shared" ref="V292:V312" si="123">N292/M292</f>
        <v>5500</v>
      </c>
    </row>
    <row r="293" spans="1:22" ht="23.1" customHeight="1" x14ac:dyDescent="0.25">
      <c r="A293" s="37" t="s">
        <v>1869</v>
      </c>
      <c r="B293" s="8" t="s">
        <v>44</v>
      </c>
      <c r="C293" s="2">
        <f t="shared" si="120"/>
        <v>4675000</v>
      </c>
      <c r="D293" s="3">
        <f t="shared" si="121"/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4">
        <v>0</v>
      </c>
      <c r="L293" s="3">
        <v>0</v>
      </c>
      <c r="M293" s="3">
        <v>850</v>
      </c>
      <c r="N293" s="3">
        <f t="shared" si="122"/>
        <v>4675000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6">
        <f t="shared" si="123"/>
        <v>5500</v>
      </c>
    </row>
    <row r="294" spans="1:22" ht="23.1" customHeight="1" x14ac:dyDescent="0.25">
      <c r="A294" s="37" t="s">
        <v>1870</v>
      </c>
      <c r="B294" s="8" t="s">
        <v>17</v>
      </c>
      <c r="C294" s="2">
        <f t="shared" si="120"/>
        <v>14724680.439999999</v>
      </c>
      <c r="D294" s="3">
        <f t="shared" si="121"/>
        <v>4928655</v>
      </c>
      <c r="E294" s="3">
        <f>350*2097.3</f>
        <v>734055.00000000012</v>
      </c>
      <c r="F294" s="3">
        <f>1050*2097.3</f>
        <v>2202165</v>
      </c>
      <c r="G294" s="3">
        <f>300*2097.3</f>
        <v>629190</v>
      </c>
      <c r="H294" s="3">
        <f>400*2097.3</f>
        <v>838920.00000000012</v>
      </c>
      <c r="I294" s="3">
        <f>250*2097.3</f>
        <v>524325</v>
      </c>
      <c r="J294" s="3">
        <f>350*0</f>
        <v>0</v>
      </c>
      <c r="K294" s="4">
        <v>0</v>
      </c>
      <c r="L294" s="3">
        <v>0</v>
      </c>
      <c r="M294" s="3">
        <v>1315</v>
      </c>
      <c r="N294" s="3">
        <f>M294*3686</f>
        <v>4847090</v>
      </c>
      <c r="O294" s="3">
        <v>0</v>
      </c>
      <c r="P294" s="3">
        <v>0</v>
      </c>
      <c r="Q294" s="3">
        <v>1500</v>
      </c>
      <c r="R294" s="3">
        <f>Q294*3000</f>
        <v>4500000</v>
      </c>
      <c r="S294" s="3">
        <v>0</v>
      </c>
      <c r="T294" s="3">
        <v>0</v>
      </c>
      <c r="U294" s="3">
        <v>448935.44</v>
      </c>
      <c r="V294" s="6">
        <f t="shared" si="123"/>
        <v>3686</v>
      </c>
    </row>
    <row r="295" spans="1:22" ht="23.1" customHeight="1" x14ac:dyDescent="0.25">
      <c r="A295" s="37" t="s">
        <v>1871</v>
      </c>
      <c r="B295" s="8" t="s">
        <v>47</v>
      </c>
      <c r="C295" s="2">
        <f t="shared" si="120"/>
        <v>1409650</v>
      </c>
      <c r="D295" s="3">
        <f t="shared" si="121"/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4">
        <v>0</v>
      </c>
      <c r="L295" s="3">
        <v>0</v>
      </c>
      <c r="M295" s="3">
        <v>256.3</v>
      </c>
      <c r="N295" s="3">
        <f t="shared" ref="N295:N301" si="124">M295*5500</f>
        <v>1409650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6">
        <f t="shared" si="123"/>
        <v>5500</v>
      </c>
    </row>
    <row r="296" spans="1:22" ht="23.1" customHeight="1" x14ac:dyDescent="0.25">
      <c r="A296" s="37" t="s">
        <v>1872</v>
      </c>
      <c r="B296" s="8" t="s">
        <v>32</v>
      </c>
      <c r="C296" s="2">
        <f t="shared" si="120"/>
        <v>10227570</v>
      </c>
      <c r="D296" s="3">
        <f t="shared" si="121"/>
        <v>2341540</v>
      </c>
      <c r="E296" s="3">
        <f>350*996.4</f>
        <v>348740</v>
      </c>
      <c r="F296" s="3">
        <f>1050*996.4</f>
        <v>1046220</v>
      </c>
      <c r="G296" s="3">
        <f>300*996.4</f>
        <v>298920</v>
      </c>
      <c r="H296" s="3">
        <f>400*996.4</f>
        <v>398560</v>
      </c>
      <c r="I296" s="3">
        <f>250*996.4</f>
        <v>249100</v>
      </c>
      <c r="J296" s="3">
        <f>350*0</f>
        <v>0</v>
      </c>
      <c r="K296" s="4">
        <v>0</v>
      </c>
      <c r="L296" s="3">
        <v>0</v>
      </c>
      <c r="M296" s="3">
        <v>774.3</v>
      </c>
      <c r="N296" s="3">
        <f t="shared" si="124"/>
        <v>4258650</v>
      </c>
      <c r="O296" s="3">
        <v>383.4</v>
      </c>
      <c r="P296" s="3">
        <v>1195680</v>
      </c>
      <c r="Q296" s="3">
        <v>743.9</v>
      </c>
      <c r="R296" s="3">
        <f>Q296*3000</f>
        <v>2231700</v>
      </c>
      <c r="S296" s="3">
        <v>0</v>
      </c>
      <c r="T296" s="3">
        <v>0</v>
      </c>
      <c r="U296" s="3">
        <v>200000</v>
      </c>
      <c r="V296" s="6">
        <f t="shared" si="123"/>
        <v>5500</v>
      </c>
    </row>
    <row r="297" spans="1:22" ht="23.1" customHeight="1" x14ac:dyDescent="0.25">
      <c r="A297" s="37" t="s">
        <v>1873</v>
      </c>
      <c r="B297" s="8" t="s">
        <v>51</v>
      </c>
      <c r="C297" s="2">
        <f t="shared" si="120"/>
        <v>6689100</v>
      </c>
      <c r="D297" s="3">
        <f t="shared" si="121"/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4">
        <v>0</v>
      </c>
      <c r="L297" s="3">
        <v>0</v>
      </c>
      <c r="M297" s="3">
        <v>1216.2</v>
      </c>
      <c r="N297" s="3">
        <f t="shared" si="124"/>
        <v>6689100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6">
        <f t="shared" si="123"/>
        <v>5500</v>
      </c>
    </row>
    <row r="298" spans="1:22" ht="21.95" customHeight="1" x14ac:dyDescent="0.25">
      <c r="A298" s="37" t="s">
        <v>1874</v>
      </c>
      <c r="B298" s="19" t="s">
        <v>1367</v>
      </c>
      <c r="C298" s="2">
        <f>D298+L298+N298+P298+R298+S298+T298+U298</f>
        <v>3856760.0000000005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4">
        <v>0</v>
      </c>
      <c r="L298" s="3">
        <v>0</v>
      </c>
      <c r="M298" s="3">
        <v>610.32000000000005</v>
      </c>
      <c r="N298" s="20">
        <f>M298*5500</f>
        <v>3356760.0000000005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500000</v>
      </c>
      <c r="V298" s="6">
        <f>N298/M298</f>
        <v>5500</v>
      </c>
    </row>
    <row r="299" spans="1:22" ht="21.95" customHeight="1" x14ac:dyDescent="0.25">
      <c r="A299" s="37" t="s">
        <v>1875</v>
      </c>
      <c r="B299" s="8" t="s">
        <v>54</v>
      </c>
      <c r="C299" s="2">
        <f>D299+L299+N299+P299+R299+S299+T299+U299</f>
        <v>2745000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4">
        <v>0</v>
      </c>
      <c r="L299" s="3">
        <v>0</v>
      </c>
      <c r="M299" s="3">
        <v>390</v>
      </c>
      <c r="N299" s="20">
        <f>M299*5500</f>
        <v>2145000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600000</v>
      </c>
      <c r="V299" s="6">
        <f>N299/M299</f>
        <v>5500</v>
      </c>
    </row>
    <row r="300" spans="1:22" ht="23.1" customHeight="1" x14ac:dyDescent="0.25">
      <c r="A300" s="37" t="s">
        <v>1876</v>
      </c>
      <c r="B300" s="8" t="s">
        <v>52</v>
      </c>
      <c r="C300" s="2">
        <f t="shared" si="120"/>
        <v>2772000</v>
      </c>
      <c r="D300" s="3">
        <f t="shared" si="121"/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4">
        <v>0</v>
      </c>
      <c r="L300" s="3">
        <v>0</v>
      </c>
      <c r="M300" s="3">
        <v>504</v>
      </c>
      <c r="N300" s="3">
        <f t="shared" si="124"/>
        <v>2772000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6">
        <f t="shared" si="123"/>
        <v>5500</v>
      </c>
    </row>
    <row r="301" spans="1:22" ht="23.1" customHeight="1" x14ac:dyDescent="0.25">
      <c r="A301" s="37" t="s">
        <v>1877</v>
      </c>
      <c r="B301" s="19" t="s">
        <v>58</v>
      </c>
      <c r="C301" s="2">
        <f t="shared" si="120"/>
        <v>3345649.9999999995</v>
      </c>
      <c r="D301" s="3">
        <f t="shared" si="121"/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4">
        <v>0</v>
      </c>
      <c r="L301" s="3">
        <v>0</v>
      </c>
      <c r="M301" s="3">
        <v>608.29999999999995</v>
      </c>
      <c r="N301" s="3">
        <f t="shared" si="124"/>
        <v>3345649.9999999995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6">
        <f t="shared" si="123"/>
        <v>5500</v>
      </c>
    </row>
    <row r="302" spans="1:22" ht="23.1" customHeight="1" x14ac:dyDescent="0.25">
      <c r="A302" s="37" t="s">
        <v>1878</v>
      </c>
      <c r="B302" s="8" t="s">
        <v>33</v>
      </c>
      <c r="C302" s="2">
        <f t="shared" si="120"/>
        <v>3384485.2</v>
      </c>
      <c r="D302" s="3">
        <f t="shared" si="121"/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4">
        <v>0</v>
      </c>
      <c r="L302" s="3">
        <v>0</v>
      </c>
      <c r="M302" s="3">
        <v>918.2</v>
      </c>
      <c r="N302" s="3">
        <f t="shared" ref="N302:N304" si="125">M302*3686</f>
        <v>3384485.2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6">
        <f t="shared" si="123"/>
        <v>3686</v>
      </c>
    </row>
    <row r="303" spans="1:22" ht="23.1" customHeight="1" x14ac:dyDescent="0.25">
      <c r="A303" s="37" t="s">
        <v>1879</v>
      </c>
      <c r="B303" s="8" t="s">
        <v>1642</v>
      </c>
      <c r="C303" s="2">
        <f t="shared" ref="C303" si="126">D303+L303+N303+P303+R303+S303+T303+U303</f>
        <v>13400000</v>
      </c>
      <c r="D303" s="3">
        <f t="shared" ref="D303" si="127">SUM(E303:J303)</f>
        <v>0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4">
        <v>6</v>
      </c>
      <c r="L303" s="3">
        <f>K303*2150000</f>
        <v>12900000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500000</v>
      </c>
      <c r="V303" s="6" t="e">
        <f t="shared" si="123"/>
        <v>#DIV/0!</v>
      </c>
    </row>
    <row r="304" spans="1:22" ht="23.1" customHeight="1" x14ac:dyDescent="0.25">
      <c r="A304" s="37" t="s">
        <v>1880</v>
      </c>
      <c r="B304" s="8" t="s">
        <v>34</v>
      </c>
      <c r="C304" s="2">
        <f t="shared" si="120"/>
        <v>1232229.8</v>
      </c>
      <c r="D304" s="3">
        <f t="shared" si="121"/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4">
        <v>0</v>
      </c>
      <c r="L304" s="3">
        <v>0</v>
      </c>
      <c r="M304" s="3">
        <v>334.3</v>
      </c>
      <c r="N304" s="3">
        <f t="shared" si="125"/>
        <v>1232229.8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6">
        <f t="shared" si="123"/>
        <v>3686</v>
      </c>
    </row>
    <row r="305" spans="1:22" ht="23.1" customHeight="1" x14ac:dyDescent="0.25">
      <c r="A305" s="37" t="s">
        <v>1881</v>
      </c>
      <c r="B305" s="8" t="s">
        <v>61</v>
      </c>
      <c r="C305" s="2">
        <f>D305+L305+N305+P305+R305+S305+T305+U305</f>
        <v>5286600</v>
      </c>
      <c r="D305" s="3">
        <f>SUM(E305:J305)</f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4">
        <v>0</v>
      </c>
      <c r="L305" s="3">
        <v>0</v>
      </c>
      <c r="M305" s="3">
        <v>961.2</v>
      </c>
      <c r="N305" s="3">
        <f>M305*5500</f>
        <v>5286600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6">
        <f>N305/M305</f>
        <v>5500</v>
      </c>
    </row>
    <row r="306" spans="1:22" ht="23.1" customHeight="1" x14ac:dyDescent="0.25">
      <c r="A306" s="37" t="s">
        <v>1882</v>
      </c>
      <c r="B306" s="8" t="s">
        <v>60</v>
      </c>
      <c r="C306" s="2">
        <f t="shared" si="120"/>
        <v>300000</v>
      </c>
      <c r="D306" s="3">
        <f t="shared" si="121"/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4">
        <v>0</v>
      </c>
      <c r="L306" s="3">
        <v>0</v>
      </c>
      <c r="M306" s="3">
        <v>0</v>
      </c>
      <c r="N306" s="3">
        <f t="shared" ref="N306" si="128">M306*5500</f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300000</v>
      </c>
      <c r="V306" s="6" t="e">
        <f t="shared" si="123"/>
        <v>#DIV/0!</v>
      </c>
    </row>
    <row r="307" spans="1:22" ht="23.1" customHeight="1" x14ac:dyDescent="0.25">
      <c r="A307" s="37" t="s">
        <v>1883</v>
      </c>
      <c r="B307" s="8" t="s">
        <v>64</v>
      </c>
      <c r="C307" s="2">
        <f t="shared" si="120"/>
        <v>300000</v>
      </c>
      <c r="D307" s="3">
        <f t="shared" si="121"/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4">
        <v>0</v>
      </c>
      <c r="L307" s="3">
        <v>0</v>
      </c>
      <c r="M307" s="3">
        <v>0</v>
      </c>
      <c r="N307" s="3">
        <f t="shared" ref="N307:N309" si="129">M307*3686</f>
        <v>0</v>
      </c>
      <c r="O307" s="3">
        <v>0</v>
      </c>
      <c r="P307" s="3">
        <v>0</v>
      </c>
      <c r="Q307" s="3">
        <v>0</v>
      </c>
      <c r="R307" s="3">
        <f t="shared" ref="R307:R308" si="130">Q307*3000</f>
        <v>0</v>
      </c>
      <c r="S307" s="3">
        <v>0</v>
      </c>
      <c r="T307" s="3">
        <v>0</v>
      </c>
      <c r="U307" s="3">
        <v>300000</v>
      </c>
      <c r="V307" s="6" t="e">
        <f t="shared" si="123"/>
        <v>#DIV/0!</v>
      </c>
    </row>
    <row r="308" spans="1:22" ht="23.1" customHeight="1" x14ac:dyDescent="0.25">
      <c r="A308" s="37" t="s">
        <v>1884</v>
      </c>
      <c r="B308" s="8" t="s">
        <v>1179</v>
      </c>
      <c r="C308" s="2">
        <f t="shared" si="120"/>
        <v>9951322.8200000003</v>
      </c>
      <c r="D308" s="3">
        <f t="shared" si="121"/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4">
        <v>0</v>
      </c>
      <c r="L308" s="3">
        <v>0</v>
      </c>
      <c r="M308" s="3">
        <v>1006.87</v>
      </c>
      <c r="N308" s="3">
        <f t="shared" si="129"/>
        <v>3711322.82</v>
      </c>
      <c r="O308" s="3">
        <v>0</v>
      </c>
      <c r="P308" s="3">
        <v>0</v>
      </c>
      <c r="Q308" s="3">
        <v>2080</v>
      </c>
      <c r="R308" s="3">
        <f t="shared" si="130"/>
        <v>6240000</v>
      </c>
      <c r="S308" s="3">
        <v>0</v>
      </c>
      <c r="T308" s="3">
        <v>0</v>
      </c>
      <c r="U308" s="3">
        <v>0</v>
      </c>
      <c r="V308" s="6">
        <f t="shared" si="123"/>
        <v>3686</v>
      </c>
    </row>
    <row r="309" spans="1:22" ht="23.1" customHeight="1" x14ac:dyDescent="0.25">
      <c r="A309" s="37" t="s">
        <v>1885</v>
      </c>
      <c r="B309" s="19" t="s">
        <v>36</v>
      </c>
      <c r="C309" s="2">
        <f t="shared" si="120"/>
        <v>4556264.5999999996</v>
      </c>
      <c r="D309" s="3">
        <f t="shared" si="121"/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4">
        <v>0</v>
      </c>
      <c r="L309" s="3">
        <v>0</v>
      </c>
      <c r="M309" s="3">
        <v>1236.0999999999999</v>
      </c>
      <c r="N309" s="3">
        <f t="shared" si="129"/>
        <v>4556264.5999999996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6">
        <f t="shared" si="123"/>
        <v>3686</v>
      </c>
    </row>
    <row r="310" spans="1:22" ht="23.1" customHeight="1" x14ac:dyDescent="0.25">
      <c r="A310" s="37" t="s">
        <v>1886</v>
      </c>
      <c r="B310" s="8" t="s">
        <v>1350</v>
      </c>
      <c r="C310" s="2">
        <f t="shared" si="120"/>
        <v>8800000</v>
      </c>
      <c r="D310" s="3">
        <f t="shared" si="121"/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4">
        <v>4</v>
      </c>
      <c r="L310" s="3">
        <f>K310*2150000</f>
        <v>8600000</v>
      </c>
      <c r="M310" s="3">
        <v>0</v>
      </c>
      <c r="N310" s="20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200000</v>
      </c>
      <c r="V310" s="6" t="e">
        <f t="shared" si="123"/>
        <v>#DIV/0!</v>
      </c>
    </row>
    <row r="311" spans="1:22" ht="23.1" customHeight="1" x14ac:dyDescent="0.25">
      <c r="A311" s="37" t="s">
        <v>1887</v>
      </c>
      <c r="B311" s="19" t="s">
        <v>37</v>
      </c>
      <c r="C311" s="2">
        <f t="shared" si="120"/>
        <v>14957400</v>
      </c>
      <c r="D311" s="3">
        <f t="shared" si="121"/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4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4985.8</v>
      </c>
      <c r="R311" s="3">
        <f>Q311*3000</f>
        <v>14957400</v>
      </c>
      <c r="S311" s="3">
        <v>0</v>
      </c>
      <c r="T311" s="3">
        <v>0</v>
      </c>
      <c r="U311" s="3">
        <v>0</v>
      </c>
      <c r="V311" s="6" t="e">
        <f t="shared" si="123"/>
        <v>#DIV/0!</v>
      </c>
    </row>
    <row r="312" spans="1:22" ht="23.1" customHeight="1" x14ac:dyDescent="0.25">
      <c r="A312" s="37" t="s">
        <v>1888</v>
      </c>
      <c r="B312" s="19" t="s">
        <v>38</v>
      </c>
      <c r="C312" s="2">
        <f t="shared" si="120"/>
        <v>18575131.050000001</v>
      </c>
      <c r="D312" s="3">
        <f t="shared" si="121"/>
        <v>13531770</v>
      </c>
      <c r="E312" s="3">
        <f>350*5758.2</f>
        <v>2015370</v>
      </c>
      <c r="F312" s="3">
        <f>1050*5758.2</f>
        <v>6046110</v>
      </c>
      <c r="G312" s="3">
        <f>300*5758.2</f>
        <v>1727460</v>
      </c>
      <c r="H312" s="3">
        <f>400*5758.2</f>
        <v>2303280</v>
      </c>
      <c r="I312" s="3">
        <f>250*5758.2</f>
        <v>1439550</v>
      </c>
      <c r="J312" s="3">
        <f>350*0</f>
        <v>0</v>
      </c>
      <c r="K312" s="4">
        <v>0</v>
      </c>
      <c r="L312" s="3">
        <v>0</v>
      </c>
      <c r="M312" s="3">
        <v>1285.0999999999999</v>
      </c>
      <c r="N312" s="3">
        <f>M312*3686</f>
        <v>4736878.5999999996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306482.45</v>
      </c>
      <c r="V312" s="6">
        <f t="shared" si="123"/>
        <v>3686</v>
      </c>
    </row>
    <row r="313" spans="1:22" ht="42.95" customHeight="1" x14ac:dyDescent="0.25">
      <c r="A313" s="56" t="s">
        <v>30</v>
      </c>
      <c r="B313" s="56"/>
      <c r="C313" s="2">
        <f>SUM(C314)</f>
        <v>300000</v>
      </c>
      <c r="D313" s="2">
        <f t="shared" ref="D313:U313" si="131">SUM(D314)</f>
        <v>0</v>
      </c>
      <c r="E313" s="2">
        <f t="shared" si="131"/>
        <v>0</v>
      </c>
      <c r="F313" s="2">
        <f t="shared" si="131"/>
        <v>0</v>
      </c>
      <c r="G313" s="2">
        <f t="shared" si="131"/>
        <v>0</v>
      </c>
      <c r="H313" s="2">
        <f t="shared" si="131"/>
        <v>0</v>
      </c>
      <c r="I313" s="2">
        <f t="shared" si="131"/>
        <v>0</v>
      </c>
      <c r="J313" s="2">
        <f t="shared" si="131"/>
        <v>0</v>
      </c>
      <c r="K313" s="14">
        <f t="shared" si="131"/>
        <v>0</v>
      </c>
      <c r="L313" s="2">
        <f t="shared" si="131"/>
        <v>0</v>
      </c>
      <c r="M313" s="2">
        <f t="shared" si="131"/>
        <v>0</v>
      </c>
      <c r="N313" s="2">
        <f t="shared" si="131"/>
        <v>0</v>
      </c>
      <c r="O313" s="2">
        <f t="shared" si="131"/>
        <v>0</v>
      </c>
      <c r="P313" s="2">
        <f t="shared" si="131"/>
        <v>0</v>
      </c>
      <c r="Q313" s="2">
        <f t="shared" si="131"/>
        <v>0</v>
      </c>
      <c r="R313" s="2">
        <f t="shared" si="131"/>
        <v>0</v>
      </c>
      <c r="S313" s="2">
        <f t="shared" si="131"/>
        <v>0</v>
      </c>
      <c r="T313" s="2">
        <f t="shared" si="131"/>
        <v>0</v>
      </c>
      <c r="U313" s="2">
        <f t="shared" si="131"/>
        <v>300000</v>
      </c>
      <c r="V313" s="18">
        <f>C313</f>
        <v>300000</v>
      </c>
    </row>
    <row r="314" spans="1:22" ht="21.95" customHeight="1" x14ac:dyDescent="0.25">
      <c r="A314" s="37" t="s">
        <v>1889</v>
      </c>
      <c r="B314" s="8" t="s">
        <v>31</v>
      </c>
      <c r="C314" s="2">
        <f t="shared" si="120"/>
        <v>300000</v>
      </c>
      <c r="D314" s="3">
        <f t="shared" ref="D314" si="132">SUM(E314:J314)</f>
        <v>0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4">
        <v>0</v>
      </c>
      <c r="L314" s="3">
        <v>0</v>
      </c>
      <c r="M314" s="3">
        <v>0</v>
      </c>
      <c r="N314" s="3">
        <f t="shared" ref="N314" si="133">M314*5500</f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300000</v>
      </c>
      <c r="V314" s="6" t="e">
        <f>N314/M314</f>
        <v>#DIV/0!</v>
      </c>
    </row>
    <row r="315" spans="1:22" ht="42.95" customHeight="1" x14ac:dyDescent="0.25">
      <c r="A315" s="56" t="s">
        <v>74</v>
      </c>
      <c r="B315" s="56"/>
      <c r="C315" s="2">
        <f>SUM(C316:C318)</f>
        <v>7505000</v>
      </c>
      <c r="D315" s="2">
        <f t="shared" ref="D315:U315" si="134">SUM(D316:D318)</f>
        <v>0</v>
      </c>
      <c r="E315" s="2">
        <f t="shared" si="134"/>
        <v>0</v>
      </c>
      <c r="F315" s="2">
        <f t="shared" si="134"/>
        <v>0</v>
      </c>
      <c r="G315" s="2">
        <f t="shared" si="134"/>
        <v>0</v>
      </c>
      <c r="H315" s="2">
        <f t="shared" si="134"/>
        <v>0</v>
      </c>
      <c r="I315" s="2">
        <f t="shared" si="134"/>
        <v>0</v>
      </c>
      <c r="J315" s="2">
        <f t="shared" si="134"/>
        <v>0</v>
      </c>
      <c r="K315" s="14">
        <f t="shared" si="134"/>
        <v>0</v>
      </c>
      <c r="L315" s="2">
        <f t="shared" si="134"/>
        <v>0</v>
      </c>
      <c r="M315" s="2">
        <f t="shared" si="134"/>
        <v>1310</v>
      </c>
      <c r="N315" s="2">
        <f t="shared" si="134"/>
        <v>7205000</v>
      </c>
      <c r="O315" s="2">
        <f t="shared" si="134"/>
        <v>0</v>
      </c>
      <c r="P315" s="2">
        <f t="shared" si="134"/>
        <v>0</v>
      </c>
      <c r="Q315" s="2">
        <f t="shared" si="134"/>
        <v>0</v>
      </c>
      <c r="R315" s="2">
        <f t="shared" si="134"/>
        <v>0</v>
      </c>
      <c r="S315" s="2">
        <f t="shared" si="134"/>
        <v>0</v>
      </c>
      <c r="T315" s="2">
        <f t="shared" si="134"/>
        <v>0</v>
      </c>
      <c r="U315" s="2">
        <f t="shared" si="134"/>
        <v>300000</v>
      </c>
    </row>
    <row r="316" spans="1:22" ht="23.1" customHeight="1" x14ac:dyDescent="0.25">
      <c r="A316" s="36" t="s">
        <v>1890</v>
      </c>
      <c r="B316" s="8" t="s">
        <v>1174</v>
      </c>
      <c r="C316" s="2">
        <f t="shared" si="120"/>
        <v>300000</v>
      </c>
      <c r="D316" s="3">
        <f t="shared" ref="D316:D318" si="135">SUM(E316:J316)</f>
        <v>0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11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300000</v>
      </c>
      <c r="V316" s="6" t="e">
        <f t="shared" ref="V316:V318" si="136">N316/M316</f>
        <v>#DIV/0!</v>
      </c>
    </row>
    <row r="317" spans="1:22" ht="23.1" customHeight="1" x14ac:dyDescent="0.25">
      <c r="A317" s="36" t="s">
        <v>1891</v>
      </c>
      <c r="B317" s="8" t="s">
        <v>1175</v>
      </c>
      <c r="C317" s="2">
        <f t="shared" si="120"/>
        <v>4565000</v>
      </c>
      <c r="D317" s="3">
        <f t="shared" si="135"/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4">
        <v>0</v>
      </c>
      <c r="L317" s="3">
        <v>0</v>
      </c>
      <c r="M317" s="3">
        <v>830</v>
      </c>
      <c r="N317" s="3">
        <f t="shared" ref="N317:N318" si="137">M317*5500</f>
        <v>4565000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5">
        <v>0</v>
      </c>
      <c r="U317" s="3">
        <v>0</v>
      </c>
      <c r="V317" s="6">
        <f t="shared" si="136"/>
        <v>5500</v>
      </c>
    </row>
    <row r="318" spans="1:22" ht="23.1" customHeight="1" x14ac:dyDescent="0.25">
      <c r="A318" s="36" t="s">
        <v>1892</v>
      </c>
      <c r="B318" s="8" t="s">
        <v>1176</v>
      </c>
      <c r="C318" s="2">
        <f t="shared" si="120"/>
        <v>2640000</v>
      </c>
      <c r="D318" s="3">
        <f t="shared" si="135"/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4">
        <v>0</v>
      </c>
      <c r="L318" s="3">
        <v>0</v>
      </c>
      <c r="M318" s="3">
        <v>480</v>
      </c>
      <c r="N318" s="3">
        <f t="shared" si="137"/>
        <v>2640000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5">
        <v>0</v>
      </c>
      <c r="U318" s="3">
        <v>0</v>
      </c>
      <c r="V318" s="6">
        <f t="shared" si="136"/>
        <v>5500</v>
      </c>
    </row>
    <row r="319" spans="1:22" ht="45" customHeight="1" x14ac:dyDescent="0.25">
      <c r="A319" s="56" t="s">
        <v>1407</v>
      </c>
      <c r="B319" s="56"/>
      <c r="C319" s="2">
        <f>SUM(C320)</f>
        <v>2051640.0000000002</v>
      </c>
      <c r="D319" s="2">
        <f t="shared" ref="D319:U319" si="138">SUM(D320)</f>
        <v>0</v>
      </c>
      <c r="E319" s="2">
        <f t="shared" si="138"/>
        <v>0</v>
      </c>
      <c r="F319" s="2">
        <f t="shared" si="138"/>
        <v>0</v>
      </c>
      <c r="G319" s="2">
        <f t="shared" si="138"/>
        <v>0</v>
      </c>
      <c r="H319" s="2">
        <f t="shared" si="138"/>
        <v>0</v>
      </c>
      <c r="I319" s="2">
        <f t="shared" si="138"/>
        <v>0</v>
      </c>
      <c r="J319" s="2">
        <f t="shared" si="138"/>
        <v>0</v>
      </c>
      <c r="K319" s="14">
        <f t="shared" si="138"/>
        <v>0</v>
      </c>
      <c r="L319" s="2">
        <f t="shared" si="138"/>
        <v>0</v>
      </c>
      <c r="M319" s="2">
        <f t="shared" si="138"/>
        <v>0</v>
      </c>
      <c r="N319" s="2">
        <f t="shared" si="138"/>
        <v>0</v>
      </c>
      <c r="O319" s="2">
        <f t="shared" si="138"/>
        <v>323.25</v>
      </c>
      <c r="P319" s="2">
        <f t="shared" si="138"/>
        <v>387900</v>
      </c>
      <c r="Q319" s="2">
        <f t="shared" si="138"/>
        <v>554.58000000000004</v>
      </c>
      <c r="R319" s="2">
        <f t="shared" si="138"/>
        <v>1663740.0000000002</v>
      </c>
      <c r="S319" s="2">
        <f t="shared" si="138"/>
        <v>0</v>
      </c>
      <c r="T319" s="2">
        <f t="shared" si="138"/>
        <v>0</v>
      </c>
      <c r="U319" s="2">
        <f t="shared" si="138"/>
        <v>0</v>
      </c>
      <c r="V319" s="18">
        <f>C319</f>
        <v>2051640.0000000002</v>
      </c>
    </row>
    <row r="320" spans="1:22" ht="27" customHeight="1" x14ac:dyDescent="0.25">
      <c r="A320" s="37" t="s">
        <v>1893</v>
      </c>
      <c r="B320" s="8" t="s">
        <v>1408</v>
      </c>
      <c r="C320" s="2">
        <f>D320+L320+N320+P320+R320+S320+T320+U320</f>
        <v>2051640.0000000002</v>
      </c>
      <c r="D320" s="3">
        <f>SUM(E320:J320)</f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4">
        <v>0</v>
      </c>
      <c r="L320" s="3">
        <v>0</v>
      </c>
      <c r="M320" s="3">
        <v>0</v>
      </c>
      <c r="N320" s="3">
        <v>0</v>
      </c>
      <c r="O320" s="3">
        <v>323.25</v>
      </c>
      <c r="P320" s="3">
        <f>O320*1200</f>
        <v>387900</v>
      </c>
      <c r="Q320" s="3">
        <v>554.58000000000004</v>
      </c>
      <c r="R320" s="3">
        <f>Q320*3000</f>
        <v>1663740.0000000002</v>
      </c>
      <c r="S320" s="3">
        <v>0</v>
      </c>
      <c r="T320" s="3">
        <v>0</v>
      </c>
      <c r="U320" s="3">
        <v>0</v>
      </c>
      <c r="V320" s="6" t="e">
        <f>N320/M320</f>
        <v>#DIV/0!</v>
      </c>
    </row>
    <row r="321" spans="1:258" ht="42.95" customHeight="1" x14ac:dyDescent="0.25">
      <c r="A321" s="56" t="s">
        <v>2</v>
      </c>
      <c r="B321" s="56"/>
      <c r="C321" s="2">
        <f>SUM(C322:C324)</f>
        <v>12335800</v>
      </c>
      <c r="D321" s="2">
        <f t="shared" ref="D321:U321" si="139">SUM(D322:D324)</f>
        <v>802800</v>
      </c>
      <c r="E321" s="2">
        <f t="shared" si="139"/>
        <v>312200</v>
      </c>
      <c r="F321" s="2">
        <f t="shared" si="139"/>
        <v>0</v>
      </c>
      <c r="G321" s="2">
        <f t="shared" si="139"/>
        <v>267600</v>
      </c>
      <c r="H321" s="2">
        <f t="shared" si="139"/>
        <v>0</v>
      </c>
      <c r="I321" s="2">
        <f t="shared" si="139"/>
        <v>223000</v>
      </c>
      <c r="J321" s="2">
        <f t="shared" si="139"/>
        <v>0</v>
      </c>
      <c r="K321" s="14">
        <f t="shared" si="139"/>
        <v>0</v>
      </c>
      <c r="L321" s="2">
        <f t="shared" si="139"/>
        <v>0</v>
      </c>
      <c r="M321" s="2">
        <f t="shared" si="139"/>
        <v>1628</v>
      </c>
      <c r="N321" s="2">
        <f t="shared" si="139"/>
        <v>8954000</v>
      </c>
      <c r="O321" s="2">
        <f t="shared" si="139"/>
        <v>0</v>
      </c>
      <c r="P321" s="2">
        <f t="shared" si="139"/>
        <v>0</v>
      </c>
      <c r="Q321" s="2">
        <f t="shared" si="139"/>
        <v>730</v>
      </c>
      <c r="R321" s="2">
        <f t="shared" si="139"/>
        <v>2190000</v>
      </c>
      <c r="S321" s="2">
        <f t="shared" si="139"/>
        <v>189000</v>
      </c>
      <c r="T321" s="2">
        <f t="shared" si="139"/>
        <v>0</v>
      </c>
      <c r="U321" s="2">
        <f t="shared" si="139"/>
        <v>200000</v>
      </c>
    </row>
    <row r="322" spans="1:258" ht="23.1" customHeight="1" x14ac:dyDescent="0.25">
      <c r="A322" s="37" t="s">
        <v>1894</v>
      </c>
      <c r="B322" s="8" t="s">
        <v>77</v>
      </c>
      <c r="C322" s="2">
        <f t="shared" si="120"/>
        <v>6945800</v>
      </c>
      <c r="D322" s="3">
        <f t="shared" ref="D322:D324" si="140">SUM(E322:J322)</f>
        <v>802800</v>
      </c>
      <c r="E322" s="3">
        <f>350*892</f>
        <v>312200</v>
      </c>
      <c r="F322" s="3">
        <f>800*0</f>
        <v>0</v>
      </c>
      <c r="G322" s="3">
        <f>300*892</f>
        <v>267600</v>
      </c>
      <c r="H322" s="3">
        <f>400*0</f>
        <v>0</v>
      </c>
      <c r="I322" s="3">
        <f>250*892</f>
        <v>223000</v>
      </c>
      <c r="J322" s="3">
        <f>350*0</f>
        <v>0</v>
      </c>
      <c r="K322" s="4">
        <v>0</v>
      </c>
      <c r="L322" s="3">
        <v>0</v>
      </c>
      <c r="M322" s="5">
        <v>648</v>
      </c>
      <c r="N322" s="3">
        <f t="shared" ref="N322:N324" si="141">M322*5500</f>
        <v>3564000</v>
      </c>
      <c r="O322" s="3">
        <v>0</v>
      </c>
      <c r="P322" s="3">
        <v>0</v>
      </c>
      <c r="Q322" s="3">
        <v>730</v>
      </c>
      <c r="R322" s="3">
        <f>Q322*3000</f>
        <v>2190000</v>
      </c>
      <c r="S322" s="5">
        <v>189000</v>
      </c>
      <c r="T322" s="3">
        <v>0</v>
      </c>
      <c r="U322" s="3">
        <v>200000</v>
      </c>
      <c r="V322" s="6">
        <f t="shared" ref="V322:V324" si="142">N322/M322</f>
        <v>5500</v>
      </c>
    </row>
    <row r="323" spans="1:258" ht="23.1" customHeight="1" x14ac:dyDescent="0.25">
      <c r="A323" s="37" t="s">
        <v>1895</v>
      </c>
      <c r="B323" s="8" t="s">
        <v>79</v>
      </c>
      <c r="C323" s="2">
        <f t="shared" si="120"/>
        <v>2695000</v>
      </c>
      <c r="D323" s="3">
        <f t="shared" si="140"/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4">
        <v>0</v>
      </c>
      <c r="L323" s="3">
        <v>0</v>
      </c>
      <c r="M323" s="5">
        <v>490</v>
      </c>
      <c r="N323" s="3">
        <f t="shared" si="141"/>
        <v>2695000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5">
        <v>0</v>
      </c>
      <c r="V323" s="6">
        <f t="shared" si="142"/>
        <v>5500</v>
      </c>
    </row>
    <row r="324" spans="1:258" ht="23.1" customHeight="1" x14ac:dyDescent="0.25">
      <c r="A324" s="37" t="s">
        <v>1896</v>
      </c>
      <c r="B324" s="8" t="s">
        <v>80</v>
      </c>
      <c r="C324" s="2">
        <f t="shared" si="120"/>
        <v>2695000</v>
      </c>
      <c r="D324" s="3">
        <f t="shared" si="140"/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4">
        <v>0</v>
      </c>
      <c r="L324" s="3">
        <v>0</v>
      </c>
      <c r="M324" s="5">
        <v>490</v>
      </c>
      <c r="N324" s="3">
        <f t="shared" si="141"/>
        <v>2695000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5">
        <v>0</v>
      </c>
      <c r="V324" s="6">
        <f t="shared" si="142"/>
        <v>5500</v>
      </c>
    </row>
    <row r="325" spans="1:258" ht="45" customHeight="1" x14ac:dyDescent="0.25">
      <c r="A325" s="56" t="s">
        <v>81</v>
      </c>
      <c r="B325" s="56"/>
      <c r="C325" s="2">
        <f>SUM(C326)</f>
        <v>1663600</v>
      </c>
      <c r="D325" s="2">
        <f t="shared" ref="D325:U325" si="143">SUM(D326)</f>
        <v>117600</v>
      </c>
      <c r="E325" s="2">
        <f t="shared" si="143"/>
        <v>117600</v>
      </c>
      <c r="F325" s="2">
        <f t="shared" si="143"/>
        <v>0</v>
      </c>
      <c r="G325" s="2">
        <f t="shared" si="143"/>
        <v>0</v>
      </c>
      <c r="H325" s="2">
        <f t="shared" si="143"/>
        <v>0</v>
      </c>
      <c r="I325" s="2">
        <f t="shared" si="143"/>
        <v>0</v>
      </c>
      <c r="J325" s="2">
        <f t="shared" si="143"/>
        <v>0</v>
      </c>
      <c r="K325" s="14">
        <f t="shared" si="143"/>
        <v>0</v>
      </c>
      <c r="L325" s="2">
        <f t="shared" si="143"/>
        <v>0</v>
      </c>
      <c r="M325" s="2">
        <f t="shared" si="143"/>
        <v>0</v>
      </c>
      <c r="N325" s="2">
        <f t="shared" si="143"/>
        <v>0</v>
      </c>
      <c r="O325" s="2">
        <f t="shared" si="143"/>
        <v>0</v>
      </c>
      <c r="P325" s="2">
        <f t="shared" si="143"/>
        <v>0</v>
      </c>
      <c r="Q325" s="2">
        <f t="shared" si="143"/>
        <v>426</v>
      </c>
      <c r="R325" s="2">
        <f t="shared" si="143"/>
        <v>1278000</v>
      </c>
      <c r="S325" s="2">
        <f t="shared" si="143"/>
        <v>168000</v>
      </c>
      <c r="T325" s="2">
        <f t="shared" si="143"/>
        <v>0</v>
      </c>
      <c r="U325" s="2">
        <f t="shared" si="143"/>
        <v>100000</v>
      </c>
      <c r="V325" s="18">
        <f>C325+C827</f>
        <v>3724450</v>
      </c>
    </row>
    <row r="326" spans="1:258" ht="21.95" customHeight="1" x14ac:dyDescent="0.25">
      <c r="A326" s="36" t="s">
        <v>1897</v>
      </c>
      <c r="B326" s="1" t="s">
        <v>84</v>
      </c>
      <c r="C326" s="2">
        <f t="shared" si="120"/>
        <v>1663600</v>
      </c>
      <c r="D326" s="3">
        <f t="shared" ref="D326" si="144">SUM(E326:J326)</f>
        <v>117600</v>
      </c>
      <c r="E326" s="3">
        <f>350*336</f>
        <v>117600</v>
      </c>
      <c r="F326" s="3">
        <v>0</v>
      </c>
      <c r="G326" s="3">
        <v>0</v>
      </c>
      <c r="H326" s="3">
        <v>0</v>
      </c>
      <c r="I326" s="3">
        <v>0</v>
      </c>
      <c r="J326" s="3">
        <f>350*0</f>
        <v>0</v>
      </c>
      <c r="K326" s="11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426</v>
      </c>
      <c r="R326" s="3">
        <f>Q326*3000</f>
        <v>1278000</v>
      </c>
      <c r="S326" s="5">
        <v>168000</v>
      </c>
      <c r="T326" s="5">
        <v>0</v>
      </c>
      <c r="U326" s="5">
        <v>100000</v>
      </c>
      <c r="V326" s="6" t="e">
        <f>N326/M326</f>
        <v>#DIV/0!</v>
      </c>
    </row>
    <row r="327" spans="1:258" ht="45" customHeight="1" x14ac:dyDescent="0.25">
      <c r="A327" s="56" t="s">
        <v>832</v>
      </c>
      <c r="B327" s="56"/>
      <c r="C327" s="2">
        <f>SUM(C328:C330)</f>
        <v>10026218.4</v>
      </c>
      <c r="D327" s="2">
        <f t="shared" ref="D327:U327" si="145">SUM(D328:D330)</f>
        <v>0</v>
      </c>
      <c r="E327" s="2">
        <f t="shared" si="145"/>
        <v>0</v>
      </c>
      <c r="F327" s="2">
        <f t="shared" si="145"/>
        <v>0</v>
      </c>
      <c r="G327" s="2">
        <f t="shared" si="145"/>
        <v>0</v>
      </c>
      <c r="H327" s="2">
        <f t="shared" si="145"/>
        <v>0</v>
      </c>
      <c r="I327" s="2">
        <f t="shared" si="145"/>
        <v>0</v>
      </c>
      <c r="J327" s="2">
        <f t="shared" si="145"/>
        <v>0</v>
      </c>
      <c r="K327" s="14">
        <f t="shared" si="145"/>
        <v>0</v>
      </c>
      <c r="L327" s="2">
        <f t="shared" si="145"/>
        <v>0</v>
      </c>
      <c r="M327" s="2">
        <f t="shared" si="145"/>
        <v>1724.4</v>
      </c>
      <c r="N327" s="2">
        <f t="shared" si="145"/>
        <v>7390118.4000000004</v>
      </c>
      <c r="O327" s="2">
        <f t="shared" si="145"/>
        <v>0</v>
      </c>
      <c r="P327" s="2">
        <f t="shared" si="145"/>
        <v>0</v>
      </c>
      <c r="Q327" s="2">
        <f t="shared" si="145"/>
        <v>878.7</v>
      </c>
      <c r="R327" s="2">
        <f t="shared" si="145"/>
        <v>2636100</v>
      </c>
      <c r="S327" s="2">
        <f t="shared" si="145"/>
        <v>0</v>
      </c>
      <c r="T327" s="2">
        <f t="shared" si="145"/>
        <v>0</v>
      </c>
      <c r="U327" s="2">
        <f t="shared" si="145"/>
        <v>0</v>
      </c>
    </row>
    <row r="328" spans="1:258" ht="20.100000000000001" customHeight="1" x14ac:dyDescent="0.25">
      <c r="A328" s="37" t="s">
        <v>1898</v>
      </c>
      <c r="B328" s="8" t="s">
        <v>88</v>
      </c>
      <c r="C328" s="2">
        <f>D328+L328+N328+P328+R328+S328+T328+U328</f>
        <v>2930370</v>
      </c>
      <c r="D328" s="3">
        <f>SUM(E328:J328)</f>
        <v>0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4">
        <v>0</v>
      </c>
      <c r="L328" s="3">
        <v>0</v>
      </c>
      <c r="M328" s="3">
        <v>795</v>
      </c>
      <c r="N328" s="20">
        <f>M328*3686</f>
        <v>2930370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6">
        <f>N328/M328</f>
        <v>3686</v>
      </c>
    </row>
    <row r="329" spans="1:258" ht="21.95" customHeight="1" x14ac:dyDescent="0.25">
      <c r="A329" s="37" t="s">
        <v>1899</v>
      </c>
      <c r="B329" s="8" t="s">
        <v>89</v>
      </c>
      <c r="C329" s="2">
        <f t="shared" si="120"/>
        <v>3135000</v>
      </c>
      <c r="D329" s="3">
        <f t="shared" ref="D329:D330" si="146">SUM(E329:J329)</f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4">
        <v>0</v>
      </c>
      <c r="L329" s="3">
        <v>0</v>
      </c>
      <c r="M329" s="3">
        <v>570</v>
      </c>
      <c r="N329" s="3">
        <f t="shared" ref="N329" si="147">M329*5500</f>
        <v>3135000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6">
        <f t="shared" ref="V329:V330" si="148">N329/M329</f>
        <v>5500</v>
      </c>
    </row>
    <row r="330" spans="1:258" ht="21.95" customHeight="1" x14ac:dyDescent="0.25">
      <c r="A330" s="37" t="s">
        <v>1900</v>
      </c>
      <c r="B330" s="8" t="s">
        <v>90</v>
      </c>
      <c r="C330" s="2">
        <f t="shared" si="120"/>
        <v>3960848.4</v>
      </c>
      <c r="D330" s="3">
        <f t="shared" si="146"/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11">
        <v>0</v>
      </c>
      <c r="L330" s="5">
        <v>0</v>
      </c>
      <c r="M330" s="5">
        <v>359.4</v>
      </c>
      <c r="N330" s="5">
        <f>M330*3686</f>
        <v>1324748.3999999999</v>
      </c>
      <c r="O330" s="5">
        <v>0</v>
      </c>
      <c r="P330" s="5">
        <v>0</v>
      </c>
      <c r="Q330" s="5">
        <v>878.7</v>
      </c>
      <c r="R330" s="3">
        <f>Q330*3000</f>
        <v>2636100</v>
      </c>
      <c r="S330" s="5">
        <v>0</v>
      </c>
      <c r="T330" s="5">
        <v>0</v>
      </c>
      <c r="U330" s="5">
        <v>0</v>
      </c>
      <c r="V330" s="6">
        <f t="shared" si="148"/>
        <v>3686</v>
      </c>
      <c r="IX330" s="25"/>
    </row>
    <row r="331" spans="1:258" ht="45" customHeight="1" x14ac:dyDescent="0.25">
      <c r="A331" s="56" t="s">
        <v>92</v>
      </c>
      <c r="B331" s="56"/>
      <c r="C331" s="2">
        <f>SUM(C332)</f>
        <v>2370660</v>
      </c>
      <c r="D331" s="2">
        <f t="shared" ref="D331:U331" si="149">SUM(D332)</f>
        <v>176260</v>
      </c>
      <c r="E331" s="2">
        <f t="shared" si="149"/>
        <v>176260</v>
      </c>
      <c r="F331" s="2">
        <f t="shared" si="149"/>
        <v>0</v>
      </c>
      <c r="G331" s="2">
        <f t="shared" si="149"/>
        <v>0</v>
      </c>
      <c r="H331" s="2">
        <f t="shared" si="149"/>
        <v>0</v>
      </c>
      <c r="I331" s="2">
        <f t="shared" si="149"/>
        <v>0</v>
      </c>
      <c r="J331" s="2">
        <f t="shared" si="149"/>
        <v>0</v>
      </c>
      <c r="K331" s="14">
        <f t="shared" si="149"/>
        <v>0</v>
      </c>
      <c r="L331" s="2">
        <f t="shared" si="149"/>
        <v>0</v>
      </c>
      <c r="M331" s="2">
        <f t="shared" si="149"/>
        <v>380.8</v>
      </c>
      <c r="N331" s="2">
        <f t="shared" si="149"/>
        <v>2094400</v>
      </c>
      <c r="O331" s="2">
        <f t="shared" si="149"/>
        <v>0</v>
      </c>
      <c r="P331" s="2">
        <f t="shared" si="149"/>
        <v>0</v>
      </c>
      <c r="Q331" s="2">
        <f t="shared" si="149"/>
        <v>0</v>
      </c>
      <c r="R331" s="2">
        <f t="shared" si="149"/>
        <v>0</v>
      </c>
      <c r="S331" s="2">
        <f t="shared" si="149"/>
        <v>0</v>
      </c>
      <c r="T331" s="2">
        <f t="shared" si="149"/>
        <v>0</v>
      </c>
      <c r="U331" s="2">
        <f t="shared" si="149"/>
        <v>100000</v>
      </c>
      <c r="V331" s="18">
        <f>C331</f>
        <v>2370660</v>
      </c>
    </row>
    <row r="332" spans="1:258" ht="21.95" customHeight="1" x14ac:dyDescent="0.25">
      <c r="A332" s="37" t="s">
        <v>1901</v>
      </c>
      <c r="B332" s="1" t="s">
        <v>91</v>
      </c>
      <c r="C332" s="2">
        <f t="shared" si="120"/>
        <v>2370660</v>
      </c>
      <c r="D332" s="3">
        <f t="shared" ref="D332" si="150">SUM(E332:J332)</f>
        <v>176260</v>
      </c>
      <c r="E332" s="3">
        <f>350*503.6</f>
        <v>176260</v>
      </c>
      <c r="F332" s="3">
        <v>0</v>
      </c>
      <c r="G332" s="3">
        <v>0</v>
      </c>
      <c r="H332" s="3">
        <f>400*0</f>
        <v>0</v>
      </c>
      <c r="I332" s="3">
        <v>0</v>
      </c>
      <c r="J332" s="3">
        <f>350*0</f>
        <v>0</v>
      </c>
      <c r="K332" s="4">
        <v>0</v>
      </c>
      <c r="L332" s="3">
        <v>0</v>
      </c>
      <c r="M332" s="5">
        <v>380.8</v>
      </c>
      <c r="N332" s="3">
        <f t="shared" ref="N332" si="151">M332*5500</f>
        <v>2094400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100000</v>
      </c>
      <c r="V332" s="6">
        <f>N332/M332</f>
        <v>5500</v>
      </c>
    </row>
    <row r="333" spans="1:258" ht="45" customHeight="1" x14ac:dyDescent="0.25">
      <c r="A333" s="56" t="s">
        <v>93</v>
      </c>
      <c r="B333" s="56"/>
      <c r="C333" s="2">
        <f>SUM(C334:C338)</f>
        <v>16147084.120000001</v>
      </c>
      <c r="D333" s="2">
        <f t="shared" ref="D333:U333" si="152">SUM(D334:D338)</f>
        <v>1375212.12</v>
      </c>
      <c r="E333" s="2">
        <f t="shared" si="152"/>
        <v>151690</v>
      </c>
      <c r="F333" s="2">
        <f t="shared" si="152"/>
        <v>1093502.1200000001</v>
      </c>
      <c r="G333" s="2">
        <f t="shared" si="152"/>
        <v>130020</v>
      </c>
      <c r="H333" s="2">
        <f t="shared" si="152"/>
        <v>0</v>
      </c>
      <c r="I333" s="2">
        <f t="shared" si="152"/>
        <v>0</v>
      </c>
      <c r="J333" s="2">
        <f t="shared" si="152"/>
        <v>0</v>
      </c>
      <c r="K333" s="14">
        <f t="shared" si="152"/>
        <v>5</v>
      </c>
      <c r="L333" s="2">
        <f t="shared" si="152"/>
        <v>11500000</v>
      </c>
      <c r="M333" s="2">
        <f t="shared" si="152"/>
        <v>752</v>
      </c>
      <c r="N333" s="2">
        <f t="shared" si="152"/>
        <v>2771872</v>
      </c>
      <c r="O333" s="2">
        <f t="shared" si="152"/>
        <v>0</v>
      </c>
      <c r="P333" s="2">
        <f t="shared" si="152"/>
        <v>0</v>
      </c>
      <c r="Q333" s="2">
        <f t="shared" si="152"/>
        <v>0</v>
      </c>
      <c r="R333" s="2">
        <f t="shared" si="152"/>
        <v>0</v>
      </c>
      <c r="S333" s="2">
        <f t="shared" si="152"/>
        <v>0</v>
      </c>
      <c r="T333" s="2">
        <f t="shared" si="152"/>
        <v>0</v>
      </c>
      <c r="U333" s="2">
        <f t="shared" si="152"/>
        <v>500000</v>
      </c>
    </row>
    <row r="334" spans="1:258" s="26" customFormat="1" ht="21.95" customHeight="1" x14ac:dyDescent="0.25">
      <c r="A334" s="37" t="s">
        <v>1902</v>
      </c>
      <c r="B334" s="8" t="s">
        <v>94</v>
      </c>
      <c r="C334" s="2">
        <f t="shared" si="120"/>
        <v>2771872</v>
      </c>
      <c r="D334" s="3">
        <f t="shared" ref="D334:D337" si="153">SUM(E334:J334)</f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4">
        <v>0</v>
      </c>
      <c r="L334" s="3">
        <v>0</v>
      </c>
      <c r="M334" s="5">
        <v>752</v>
      </c>
      <c r="N334" s="3">
        <f>M334*3686</f>
        <v>2771872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6">
        <f t="shared" ref="V334:V337" si="154">N334/M334</f>
        <v>3686</v>
      </c>
    </row>
    <row r="335" spans="1:258" s="6" customFormat="1" ht="21.95" customHeight="1" x14ac:dyDescent="0.25">
      <c r="A335" s="37" t="s">
        <v>1903</v>
      </c>
      <c r="B335" s="8" t="s">
        <v>95</v>
      </c>
      <c r="C335" s="2">
        <f>D335+L335+N335+P335+R335+S335+T335+U335</f>
        <v>381710</v>
      </c>
      <c r="D335" s="3">
        <f>SUM(E335:J335)</f>
        <v>281710</v>
      </c>
      <c r="E335" s="5">
        <f>350*433.4</f>
        <v>151690</v>
      </c>
      <c r="F335" s="5">
        <f>800*0</f>
        <v>0</v>
      </c>
      <c r="G335" s="5">
        <f>300*433.4</f>
        <v>130020</v>
      </c>
      <c r="H335" s="5">
        <f>500*0</f>
        <v>0</v>
      </c>
      <c r="I335" s="5">
        <v>0</v>
      </c>
      <c r="J335" s="5">
        <f>350*0</f>
        <v>0</v>
      </c>
      <c r="K335" s="11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100000</v>
      </c>
      <c r="V335" s="6" t="e">
        <f>N335/M335</f>
        <v>#DIV/0!</v>
      </c>
    </row>
    <row r="336" spans="1:258" s="6" customFormat="1" ht="21.95" customHeight="1" x14ac:dyDescent="0.25">
      <c r="A336" s="37" t="s">
        <v>1904</v>
      </c>
      <c r="B336" s="8" t="s">
        <v>98</v>
      </c>
      <c r="C336" s="2">
        <f t="shared" si="120"/>
        <v>4800000</v>
      </c>
      <c r="D336" s="3">
        <f t="shared" si="153"/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11">
        <v>2</v>
      </c>
      <c r="L336" s="5">
        <v>4600000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200000</v>
      </c>
      <c r="V336" s="6" t="e">
        <f t="shared" si="154"/>
        <v>#DIV/0!</v>
      </c>
    </row>
    <row r="337" spans="1:22" ht="21.95" customHeight="1" x14ac:dyDescent="0.25">
      <c r="A337" s="37" t="s">
        <v>1905</v>
      </c>
      <c r="B337" s="8" t="s">
        <v>100</v>
      </c>
      <c r="C337" s="2">
        <f t="shared" si="120"/>
        <v>7100000</v>
      </c>
      <c r="D337" s="3">
        <f t="shared" si="153"/>
        <v>0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4">
        <v>3</v>
      </c>
      <c r="L337" s="3">
        <v>6900000</v>
      </c>
      <c r="M337" s="5">
        <v>0</v>
      </c>
      <c r="N337" s="5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200000</v>
      </c>
      <c r="V337" s="6" t="e">
        <f t="shared" si="154"/>
        <v>#DIV/0!</v>
      </c>
    </row>
    <row r="338" spans="1:22" ht="21.95" customHeight="1" x14ac:dyDescent="0.25">
      <c r="A338" s="37" t="s">
        <v>1906</v>
      </c>
      <c r="B338" s="8" t="s">
        <v>1553</v>
      </c>
      <c r="C338" s="2">
        <f>D338+L338+N338+P338+R338+S338+T338+U338</f>
        <v>1093502.1200000001</v>
      </c>
      <c r="D338" s="3">
        <f>SUM(E338:J338)</f>
        <v>1093502.1200000001</v>
      </c>
      <c r="E338" s="3">
        <v>0</v>
      </c>
      <c r="F338" s="3">
        <v>1093502.1200000001</v>
      </c>
      <c r="G338" s="3">
        <v>0</v>
      </c>
      <c r="H338" s="3">
        <v>0</v>
      </c>
      <c r="I338" s="3">
        <v>0</v>
      </c>
      <c r="J338" s="3">
        <v>0</v>
      </c>
      <c r="K338" s="4">
        <v>0</v>
      </c>
      <c r="L338" s="3">
        <v>0</v>
      </c>
      <c r="M338" s="5">
        <v>0</v>
      </c>
      <c r="N338" s="5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6" t="e">
        <f>N338/M338</f>
        <v>#DIV/0!</v>
      </c>
    </row>
    <row r="339" spans="1:22" ht="50.25" customHeight="1" x14ac:dyDescent="0.25">
      <c r="A339" s="56" t="s">
        <v>102</v>
      </c>
      <c r="B339" s="56"/>
      <c r="C339" s="2">
        <f>SUM(C340:C346)</f>
        <v>28122710</v>
      </c>
      <c r="D339" s="2">
        <f t="shared" ref="D339:U339" si="155">SUM(D340:D346)</f>
        <v>2151660</v>
      </c>
      <c r="E339" s="2">
        <f t="shared" si="155"/>
        <v>320460</v>
      </c>
      <c r="F339" s="2">
        <f t="shared" si="155"/>
        <v>961380</v>
      </c>
      <c r="G339" s="2">
        <f t="shared" si="155"/>
        <v>274680</v>
      </c>
      <c r="H339" s="2">
        <f t="shared" si="155"/>
        <v>366240</v>
      </c>
      <c r="I339" s="2">
        <f t="shared" si="155"/>
        <v>228900</v>
      </c>
      <c r="J339" s="2">
        <f t="shared" si="155"/>
        <v>0</v>
      </c>
      <c r="K339" s="14">
        <f t="shared" si="155"/>
        <v>0</v>
      </c>
      <c r="L339" s="2">
        <f t="shared" si="155"/>
        <v>0</v>
      </c>
      <c r="M339" s="2">
        <f t="shared" si="155"/>
        <v>4493.3999999999996</v>
      </c>
      <c r="N339" s="2">
        <f t="shared" si="155"/>
        <v>22945050</v>
      </c>
      <c r="O339" s="2">
        <f t="shared" si="155"/>
        <v>0</v>
      </c>
      <c r="P339" s="2">
        <f t="shared" si="155"/>
        <v>0</v>
      </c>
      <c r="Q339" s="2">
        <f t="shared" si="155"/>
        <v>942</v>
      </c>
      <c r="R339" s="2">
        <f t="shared" si="155"/>
        <v>2826000</v>
      </c>
      <c r="S339" s="2">
        <f t="shared" si="155"/>
        <v>0</v>
      </c>
      <c r="T339" s="2">
        <f t="shared" si="155"/>
        <v>0</v>
      </c>
      <c r="U339" s="2">
        <f t="shared" si="155"/>
        <v>200000</v>
      </c>
    </row>
    <row r="340" spans="1:22" s="17" customFormat="1" ht="21.95" customHeight="1" x14ac:dyDescent="0.25">
      <c r="A340" s="37" t="s">
        <v>1907</v>
      </c>
      <c r="B340" s="8" t="s">
        <v>103</v>
      </c>
      <c r="C340" s="2">
        <f t="shared" si="120"/>
        <v>3696000</v>
      </c>
      <c r="D340" s="3">
        <f t="shared" ref="D340:D346" si="156">SUM(E340:J340)</f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4">
        <v>0</v>
      </c>
      <c r="L340" s="3">
        <v>0</v>
      </c>
      <c r="M340" s="5">
        <v>672</v>
      </c>
      <c r="N340" s="3">
        <f t="shared" ref="N340:N341" si="157">M340*5500</f>
        <v>3696000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6">
        <f t="shared" ref="V340:V346" si="158">N340/M340</f>
        <v>5500</v>
      </c>
    </row>
    <row r="341" spans="1:22" ht="21.95" customHeight="1" x14ac:dyDescent="0.25">
      <c r="A341" s="37" t="s">
        <v>1908</v>
      </c>
      <c r="B341" s="8" t="s">
        <v>105</v>
      </c>
      <c r="C341" s="2">
        <f t="shared" si="120"/>
        <v>3696000</v>
      </c>
      <c r="D341" s="3">
        <f t="shared" si="156"/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4">
        <v>0</v>
      </c>
      <c r="L341" s="3">
        <v>0</v>
      </c>
      <c r="M341" s="5">
        <v>672</v>
      </c>
      <c r="N341" s="3">
        <f t="shared" si="157"/>
        <v>3696000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6">
        <f t="shared" si="158"/>
        <v>5500</v>
      </c>
    </row>
    <row r="342" spans="1:22" ht="21.95" customHeight="1" x14ac:dyDescent="0.25">
      <c r="A342" s="37" t="s">
        <v>1909</v>
      </c>
      <c r="B342" s="8" t="s">
        <v>1551</v>
      </c>
      <c r="C342" s="2">
        <f t="shared" si="120"/>
        <v>3593850</v>
      </c>
      <c r="D342" s="3">
        <f t="shared" si="156"/>
        <v>0</v>
      </c>
      <c r="E342" s="3">
        <f>350*0</f>
        <v>0</v>
      </c>
      <c r="F342" s="3">
        <f>800*0</f>
        <v>0</v>
      </c>
      <c r="G342" s="3">
        <f>350*0</f>
        <v>0</v>
      </c>
      <c r="H342" s="3">
        <f>400*0</f>
        <v>0</v>
      </c>
      <c r="I342" s="3">
        <f>250*0</f>
        <v>0</v>
      </c>
      <c r="J342" s="3">
        <v>0</v>
      </c>
      <c r="K342" s="11">
        <v>0</v>
      </c>
      <c r="L342" s="5">
        <v>0</v>
      </c>
      <c r="M342" s="5">
        <v>975</v>
      </c>
      <c r="N342" s="5">
        <f>M342*3686</f>
        <v>3593850</v>
      </c>
      <c r="O342" s="5">
        <v>0</v>
      </c>
      <c r="P342" s="5">
        <v>0</v>
      </c>
      <c r="Q342" s="5">
        <v>0</v>
      </c>
      <c r="R342" s="5">
        <f>Q342*3000</f>
        <v>0</v>
      </c>
      <c r="S342" s="5">
        <v>0</v>
      </c>
      <c r="T342" s="5">
        <v>0</v>
      </c>
      <c r="U342" s="5">
        <v>0</v>
      </c>
      <c r="V342" s="6">
        <f t="shared" si="158"/>
        <v>3686</v>
      </c>
    </row>
    <row r="343" spans="1:22" ht="21" customHeight="1" x14ac:dyDescent="0.25">
      <c r="A343" s="37" t="s">
        <v>1910</v>
      </c>
      <c r="B343" s="8" t="s">
        <v>108</v>
      </c>
      <c r="C343" s="2">
        <f t="shared" si="120"/>
        <v>5177660</v>
      </c>
      <c r="D343" s="3">
        <f t="shared" si="156"/>
        <v>2151660</v>
      </c>
      <c r="E343" s="3">
        <f>350*915.6</f>
        <v>320460</v>
      </c>
      <c r="F343" s="3">
        <f>1050*915.6</f>
        <v>961380</v>
      </c>
      <c r="G343" s="3">
        <f>300*915.6</f>
        <v>274680</v>
      </c>
      <c r="H343" s="3">
        <f>400*915.6</f>
        <v>366240</v>
      </c>
      <c r="I343" s="3">
        <f>250*915.6</f>
        <v>228900</v>
      </c>
      <c r="J343" s="3">
        <v>0</v>
      </c>
      <c r="K343" s="4">
        <v>0</v>
      </c>
      <c r="L343" s="3">
        <v>0</v>
      </c>
      <c r="M343" s="5">
        <v>0</v>
      </c>
      <c r="N343" s="5">
        <v>0</v>
      </c>
      <c r="O343" s="3">
        <v>0</v>
      </c>
      <c r="P343" s="3">
        <v>0</v>
      </c>
      <c r="Q343" s="3">
        <v>942</v>
      </c>
      <c r="R343" s="3">
        <f>Q343*3000</f>
        <v>2826000</v>
      </c>
      <c r="S343" s="3">
        <v>0</v>
      </c>
      <c r="T343" s="3">
        <v>0</v>
      </c>
      <c r="U343" s="3">
        <v>200000</v>
      </c>
      <c r="V343" s="6" t="e">
        <f t="shared" si="158"/>
        <v>#DIV/0!</v>
      </c>
    </row>
    <row r="344" spans="1:22" ht="21.95" customHeight="1" x14ac:dyDescent="0.25">
      <c r="A344" s="37" t="s">
        <v>1911</v>
      </c>
      <c r="B344" s="8" t="s">
        <v>113</v>
      </c>
      <c r="C344" s="2">
        <f t="shared" si="120"/>
        <v>3696000</v>
      </c>
      <c r="D344" s="3">
        <f t="shared" si="156"/>
        <v>0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4">
        <v>0</v>
      </c>
      <c r="L344" s="3">
        <v>0</v>
      </c>
      <c r="M344" s="5">
        <v>672</v>
      </c>
      <c r="N344" s="3">
        <f t="shared" ref="N344:N346" si="159">M344*5500</f>
        <v>3696000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6">
        <f t="shared" si="158"/>
        <v>5500</v>
      </c>
    </row>
    <row r="345" spans="1:22" ht="21.95" customHeight="1" x14ac:dyDescent="0.25">
      <c r="A345" s="37" t="s">
        <v>1912</v>
      </c>
      <c r="B345" s="8" t="s">
        <v>114</v>
      </c>
      <c r="C345" s="2">
        <f t="shared" si="120"/>
        <v>4567200</v>
      </c>
      <c r="D345" s="3">
        <f t="shared" si="156"/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4">
        <v>0</v>
      </c>
      <c r="L345" s="3">
        <v>0</v>
      </c>
      <c r="M345" s="5">
        <v>830.4</v>
      </c>
      <c r="N345" s="3">
        <f t="shared" si="159"/>
        <v>4567200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6">
        <f t="shared" si="158"/>
        <v>5500</v>
      </c>
    </row>
    <row r="346" spans="1:22" ht="21.95" customHeight="1" x14ac:dyDescent="0.25">
      <c r="A346" s="37" t="s">
        <v>1913</v>
      </c>
      <c r="B346" s="8" t="s">
        <v>115</v>
      </c>
      <c r="C346" s="2">
        <f t="shared" si="120"/>
        <v>3696000</v>
      </c>
      <c r="D346" s="3">
        <f t="shared" si="156"/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4">
        <v>0</v>
      </c>
      <c r="L346" s="3">
        <v>0</v>
      </c>
      <c r="M346" s="5">
        <v>672</v>
      </c>
      <c r="N346" s="3">
        <f t="shared" si="159"/>
        <v>3696000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6">
        <f t="shared" si="158"/>
        <v>5500</v>
      </c>
    </row>
    <row r="347" spans="1:22" ht="45" customHeight="1" x14ac:dyDescent="0.25">
      <c r="A347" s="56" t="s">
        <v>116</v>
      </c>
      <c r="B347" s="56"/>
      <c r="C347" s="2">
        <f>SUM(C348)</f>
        <v>1375000</v>
      </c>
      <c r="D347" s="2">
        <f t="shared" ref="D347:U347" si="160">SUM(D348)</f>
        <v>0</v>
      </c>
      <c r="E347" s="2">
        <f t="shared" si="160"/>
        <v>0</v>
      </c>
      <c r="F347" s="2">
        <f t="shared" si="160"/>
        <v>0</v>
      </c>
      <c r="G347" s="2">
        <f t="shared" si="160"/>
        <v>0</v>
      </c>
      <c r="H347" s="2">
        <f t="shared" si="160"/>
        <v>0</v>
      </c>
      <c r="I347" s="2">
        <f t="shared" si="160"/>
        <v>0</v>
      </c>
      <c r="J347" s="2">
        <f t="shared" si="160"/>
        <v>0</v>
      </c>
      <c r="K347" s="14">
        <f t="shared" si="160"/>
        <v>0</v>
      </c>
      <c r="L347" s="2">
        <f t="shared" si="160"/>
        <v>0</v>
      </c>
      <c r="M347" s="2">
        <f t="shared" si="160"/>
        <v>250</v>
      </c>
      <c r="N347" s="2">
        <f t="shared" si="160"/>
        <v>1375000</v>
      </c>
      <c r="O347" s="2">
        <f t="shared" si="160"/>
        <v>0</v>
      </c>
      <c r="P347" s="2">
        <f t="shared" si="160"/>
        <v>0</v>
      </c>
      <c r="Q347" s="2">
        <f t="shared" si="160"/>
        <v>0</v>
      </c>
      <c r="R347" s="2">
        <f t="shared" si="160"/>
        <v>0</v>
      </c>
      <c r="S347" s="2">
        <f t="shared" si="160"/>
        <v>0</v>
      </c>
      <c r="T347" s="2">
        <f t="shared" si="160"/>
        <v>0</v>
      </c>
      <c r="U347" s="2">
        <f t="shared" si="160"/>
        <v>0</v>
      </c>
      <c r="V347" s="18"/>
    </row>
    <row r="348" spans="1:22" ht="21.95" customHeight="1" x14ac:dyDescent="0.25">
      <c r="A348" s="37" t="s">
        <v>1914</v>
      </c>
      <c r="B348" s="8" t="s">
        <v>118</v>
      </c>
      <c r="C348" s="2">
        <f t="shared" si="120"/>
        <v>1375000</v>
      </c>
      <c r="D348" s="3">
        <f t="shared" ref="D348" si="161">SUM(E348:J348)</f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4">
        <v>0</v>
      </c>
      <c r="L348" s="3">
        <v>0</v>
      </c>
      <c r="M348" s="5">
        <v>250</v>
      </c>
      <c r="N348" s="3">
        <f t="shared" ref="N348" si="162">M348*5500</f>
        <v>1375000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6">
        <f>N348/M348</f>
        <v>5500</v>
      </c>
    </row>
    <row r="349" spans="1:22" ht="45" customHeight="1" x14ac:dyDescent="0.25">
      <c r="A349" s="56" t="s">
        <v>1537</v>
      </c>
      <c r="B349" s="56"/>
      <c r="C349" s="2">
        <f>SUM(C350)</f>
        <v>100000</v>
      </c>
      <c r="D349" s="2">
        <f t="shared" ref="D349:U349" si="163">SUM(D350)</f>
        <v>0</v>
      </c>
      <c r="E349" s="2">
        <f t="shared" si="163"/>
        <v>0</v>
      </c>
      <c r="F349" s="2">
        <f t="shared" si="163"/>
        <v>0</v>
      </c>
      <c r="G349" s="2">
        <f t="shared" si="163"/>
        <v>0</v>
      </c>
      <c r="H349" s="2">
        <f t="shared" si="163"/>
        <v>0</v>
      </c>
      <c r="I349" s="2">
        <f t="shared" si="163"/>
        <v>0</v>
      </c>
      <c r="J349" s="2">
        <f t="shared" si="163"/>
        <v>0</v>
      </c>
      <c r="K349" s="14">
        <f t="shared" si="163"/>
        <v>0</v>
      </c>
      <c r="L349" s="2">
        <f t="shared" si="163"/>
        <v>0</v>
      </c>
      <c r="M349" s="2">
        <f t="shared" si="163"/>
        <v>0</v>
      </c>
      <c r="N349" s="2">
        <f t="shared" si="163"/>
        <v>0</v>
      </c>
      <c r="O349" s="2">
        <f t="shared" si="163"/>
        <v>0</v>
      </c>
      <c r="P349" s="2">
        <f t="shared" si="163"/>
        <v>0</v>
      </c>
      <c r="Q349" s="2">
        <f t="shared" si="163"/>
        <v>0</v>
      </c>
      <c r="R349" s="2">
        <f t="shared" si="163"/>
        <v>0</v>
      </c>
      <c r="S349" s="2">
        <f t="shared" si="163"/>
        <v>0</v>
      </c>
      <c r="T349" s="2">
        <f t="shared" si="163"/>
        <v>0</v>
      </c>
      <c r="U349" s="2">
        <f t="shared" si="163"/>
        <v>100000</v>
      </c>
      <c r="V349" s="18"/>
    </row>
    <row r="350" spans="1:22" ht="21.95" customHeight="1" x14ac:dyDescent="0.25">
      <c r="A350" s="37" t="s">
        <v>1915</v>
      </c>
      <c r="B350" s="8" t="s">
        <v>1538</v>
      </c>
      <c r="C350" s="2">
        <f>D350+L350+N350+P350+R350+S350+T350+U350</f>
        <v>100000</v>
      </c>
      <c r="D350" s="3">
        <f t="shared" ref="D350" si="164">SUM(E350:J350)</f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4">
        <v>0</v>
      </c>
      <c r="L350" s="3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100000</v>
      </c>
      <c r="V350" s="6" t="e">
        <f t="shared" ref="V350" si="165">N350/M350</f>
        <v>#DIV/0!</v>
      </c>
    </row>
    <row r="351" spans="1:22" ht="45" customHeight="1" x14ac:dyDescent="0.25">
      <c r="A351" s="56" t="s">
        <v>124</v>
      </c>
      <c r="B351" s="56"/>
      <c r="C351" s="2">
        <f>SUM(C352:C354)</f>
        <v>5918775</v>
      </c>
      <c r="D351" s="2">
        <f t="shared" ref="D351:U351" si="166">SUM(D352:D354)</f>
        <v>0</v>
      </c>
      <c r="E351" s="2">
        <f t="shared" si="166"/>
        <v>0</v>
      </c>
      <c r="F351" s="2">
        <f t="shared" si="166"/>
        <v>0</v>
      </c>
      <c r="G351" s="2">
        <f t="shared" si="166"/>
        <v>0</v>
      </c>
      <c r="H351" s="2">
        <f t="shared" si="166"/>
        <v>0</v>
      </c>
      <c r="I351" s="2">
        <f t="shared" si="166"/>
        <v>0</v>
      </c>
      <c r="J351" s="2">
        <f t="shared" si="166"/>
        <v>0</v>
      </c>
      <c r="K351" s="14">
        <f t="shared" si="166"/>
        <v>0</v>
      </c>
      <c r="L351" s="2">
        <f t="shared" si="166"/>
        <v>0</v>
      </c>
      <c r="M351" s="2">
        <f t="shared" si="166"/>
        <v>967.05</v>
      </c>
      <c r="N351" s="2">
        <f t="shared" si="166"/>
        <v>5318775</v>
      </c>
      <c r="O351" s="2">
        <f t="shared" si="166"/>
        <v>0</v>
      </c>
      <c r="P351" s="2">
        <f t="shared" si="166"/>
        <v>0</v>
      </c>
      <c r="Q351" s="2">
        <f t="shared" si="166"/>
        <v>0</v>
      </c>
      <c r="R351" s="2">
        <f t="shared" si="166"/>
        <v>0</v>
      </c>
      <c r="S351" s="2">
        <f t="shared" si="166"/>
        <v>0</v>
      </c>
      <c r="T351" s="2">
        <f t="shared" si="166"/>
        <v>0</v>
      </c>
      <c r="U351" s="2">
        <f t="shared" si="166"/>
        <v>600000</v>
      </c>
    </row>
    <row r="352" spans="1:22" ht="21.95" customHeight="1" x14ac:dyDescent="0.25">
      <c r="A352" s="37" t="s">
        <v>1916</v>
      </c>
      <c r="B352" s="1" t="s">
        <v>121</v>
      </c>
      <c r="C352" s="2">
        <f t="shared" si="120"/>
        <v>808500</v>
      </c>
      <c r="D352" s="3">
        <f t="shared" ref="D352:D354" si="167">SUM(E352:J352)</f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4">
        <v>0</v>
      </c>
      <c r="L352" s="3">
        <v>0</v>
      </c>
      <c r="M352" s="3">
        <v>147</v>
      </c>
      <c r="N352" s="3">
        <f t="shared" ref="N352:N354" si="168">M352*5500</f>
        <v>808500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6">
        <f t="shared" ref="V352:V354" si="169">N352/M352</f>
        <v>5500</v>
      </c>
    </row>
    <row r="353" spans="1:22" ht="21.95" customHeight="1" x14ac:dyDescent="0.25">
      <c r="A353" s="37" t="s">
        <v>1917</v>
      </c>
      <c r="B353" s="1" t="s">
        <v>122</v>
      </c>
      <c r="C353" s="2">
        <f>D353+L353+N353+P353+R353+S353+T353+U353</f>
        <v>3191875</v>
      </c>
      <c r="D353" s="3">
        <f>SUM(E353:J353)</f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11">
        <v>0</v>
      </c>
      <c r="L353" s="5">
        <v>0</v>
      </c>
      <c r="M353" s="5">
        <v>471.25</v>
      </c>
      <c r="N353" s="5">
        <f>M353*5500</f>
        <v>2591875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600000</v>
      </c>
      <c r="V353" s="6">
        <f>N353/M353</f>
        <v>5500</v>
      </c>
    </row>
    <row r="354" spans="1:22" ht="21.95" customHeight="1" x14ac:dyDescent="0.25">
      <c r="A354" s="37" t="s">
        <v>1918</v>
      </c>
      <c r="B354" s="1" t="s">
        <v>123</v>
      </c>
      <c r="C354" s="2">
        <f t="shared" si="120"/>
        <v>1918400</v>
      </c>
      <c r="D354" s="3">
        <f t="shared" si="167"/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11">
        <v>0</v>
      </c>
      <c r="L354" s="5">
        <v>0</v>
      </c>
      <c r="M354" s="5">
        <v>348.8</v>
      </c>
      <c r="N354" s="3">
        <f t="shared" si="168"/>
        <v>1918400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6">
        <f t="shared" si="169"/>
        <v>5500</v>
      </c>
    </row>
    <row r="355" spans="1:22" ht="45" customHeight="1" x14ac:dyDescent="0.25">
      <c r="A355" s="56" t="s">
        <v>127</v>
      </c>
      <c r="B355" s="56"/>
      <c r="C355" s="2">
        <f>SUM(C356)</f>
        <v>2374300</v>
      </c>
      <c r="D355" s="2">
        <f t="shared" ref="D355:U355" si="170">SUM(D356)</f>
        <v>109200</v>
      </c>
      <c r="E355" s="2">
        <f t="shared" si="170"/>
        <v>109200</v>
      </c>
      <c r="F355" s="2">
        <f t="shared" si="170"/>
        <v>0</v>
      </c>
      <c r="G355" s="2">
        <f t="shared" si="170"/>
        <v>0</v>
      </c>
      <c r="H355" s="2">
        <f t="shared" si="170"/>
        <v>0</v>
      </c>
      <c r="I355" s="2">
        <f t="shared" si="170"/>
        <v>0</v>
      </c>
      <c r="J355" s="2">
        <f t="shared" si="170"/>
        <v>0</v>
      </c>
      <c r="K355" s="14">
        <f t="shared" si="170"/>
        <v>0</v>
      </c>
      <c r="L355" s="2">
        <f t="shared" si="170"/>
        <v>0</v>
      </c>
      <c r="M355" s="2">
        <f t="shared" si="170"/>
        <v>282</v>
      </c>
      <c r="N355" s="2">
        <f t="shared" si="170"/>
        <v>1551000</v>
      </c>
      <c r="O355" s="2">
        <f t="shared" si="170"/>
        <v>0</v>
      </c>
      <c r="P355" s="2">
        <f t="shared" si="170"/>
        <v>0</v>
      </c>
      <c r="Q355" s="2">
        <f t="shared" si="170"/>
        <v>155.69999999999999</v>
      </c>
      <c r="R355" s="2">
        <f t="shared" si="170"/>
        <v>467099.99999999994</v>
      </c>
      <c r="S355" s="2">
        <f t="shared" si="170"/>
        <v>147000</v>
      </c>
      <c r="T355" s="2">
        <f t="shared" si="170"/>
        <v>0</v>
      </c>
      <c r="U355" s="2">
        <f t="shared" si="170"/>
        <v>100000</v>
      </c>
      <c r="V355" s="18"/>
    </row>
    <row r="356" spans="1:22" ht="21.95" customHeight="1" x14ac:dyDescent="0.25">
      <c r="A356" s="36" t="s">
        <v>1919</v>
      </c>
      <c r="B356" s="8" t="s">
        <v>125</v>
      </c>
      <c r="C356" s="2">
        <f t="shared" si="120"/>
        <v>2374300</v>
      </c>
      <c r="D356" s="3">
        <f t="shared" ref="D356" si="171">SUM(E356:J356)</f>
        <v>109200</v>
      </c>
      <c r="E356" s="3">
        <f>350*312</f>
        <v>109200</v>
      </c>
      <c r="F356" s="3">
        <f>800*0</f>
        <v>0</v>
      </c>
      <c r="G356" s="3">
        <f>350*0</f>
        <v>0</v>
      </c>
      <c r="H356" s="3">
        <f>400*0</f>
        <v>0</v>
      </c>
      <c r="I356" s="3">
        <f>250*0</f>
        <v>0</v>
      </c>
      <c r="J356" s="3">
        <v>0</v>
      </c>
      <c r="K356" s="11">
        <v>0</v>
      </c>
      <c r="L356" s="5">
        <v>0</v>
      </c>
      <c r="M356" s="5">
        <v>282</v>
      </c>
      <c r="N356" s="3">
        <f t="shared" ref="N356" si="172">M356*5500</f>
        <v>1551000</v>
      </c>
      <c r="O356" s="5">
        <v>0</v>
      </c>
      <c r="P356" s="5">
        <v>0</v>
      </c>
      <c r="Q356" s="5">
        <v>155.69999999999999</v>
      </c>
      <c r="R356" s="3">
        <f>Q356*3000</f>
        <v>467099.99999999994</v>
      </c>
      <c r="S356" s="5">
        <v>147000</v>
      </c>
      <c r="T356" s="5">
        <v>0</v>
      </c>
      <c r="U356" s="5">
        <v>100000</v>
      </c>
      <c r="V356" s="6">
        <f t="shared" ref="V356" si="173">N356/M356</f>
        <v>5500</v>
      </c>
    </row>
    <row r="357" spans="1:22" ht="45" customHeight="1" x14ac:dyDescent="0.25">
      <c r="A357" s="56" t="s">
        <v>131</v>
      </c>
      <c r="B357" s="56"/>
      <c r="C357" s="2">
        <f>SUM(C358:C359)</f>
        <v>7572300</v>
      </c>
      <c r="D357" s="2">
        <f t="shared" ref="D357:U357" si="174">SUM(D358:D359)</f>
        <v>0</v>
      </c>
      <c r="E357" s="2">
        <f t="shared" si="174"/>
        <v>0</v>
      </c>
      <c r="F357" s="2">
        <f t="shared" si="174"/>
        <v>0</v>
      </c>
      <c r="G357" s="2">
        <f t="shared" si="174"/>
        <v>0</v>
      </c>
      <c r="H357" s="2">
        <f t="shared" si="174"/>
        <v>0</v>
      </c>
      <c r="I357" s="2">
        <f t="shared" si="174"/>
        <v>0</v>
      </c>
      <c r="J357" s="2">
        <f t="shared" si="174"/>
        <v>0</v>
      </c>
      <c r="K357" s="14">
        <f t="shared" si="174"/>
        <v>0</v>
      </c>
      <c r="L357" s="2">
        <f t="shared" si="174"/>
        <v>0</v>
      </c>
      <c r="M357" s="2">
        <f t="shared" si="174"/>
        <v>1888</v>
      </c>
      <c r="N357" s="2">
        <f t="shared" si="174"/>
        <v>7572300</v>
      </c>
      <c r="O357" s="2">
        <f t="shared" si="174"/>
        <v>0</v>
      </c>
      <c r="P357" s="2">
        <f t="shared" si="174"/>
        <v>0</v>
      </c>
      <c r="Q357" s="2">
        <f t="shared" si="174"/>
        <v>0</v>
      </c>
      <c r="R357" s="2">
        <f t="shared" si="174"/>
        <v>0</v>
      </c>
      <c r="S357" s="2">
        <f t="shared" si="174"/>
        <v>0</v>
      </c>
      <c r="T357" s="2">
        <f t="shared" si="174"/>
        <v>0</v>
      </c>
      <c r="U357" s="2">
        <f t="shared" si="174"/>
        <v>0</v>
      </c>
    </row>
    <row r="358" spans="1:22" ht="21.95" customHeight="1" x14ac:dyDescent="0.25">
      <c r="A358" s="37" t="s">
        <v>1920</v>
      </c>
      <c r="B358" s="8" t="s">
        <v>1543</v>
      </c>
      <c r="C358" s="2">
        <f t="shared" ref="C358:C425" si="175">D358+L358+N358+P358+R358+S358+T358+U358</f>
        <v>5713300</v>
      </c>
      <c r="D358" s="3">
        <f t="shared" ref="D358:D359" si="176">SUM(E358:J358)</f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4">
        <v>0</v>
      </c>
      <c r="L358" s="3">
        <v>0</v>
      </c>
      <c r="M358" s="3">
        <v>1550</v>
      </c>
      <c r="N358" s="3">
        <f>M358*3686</f>
        <v>5713300</v>
      </c>
      <c r="O358" s="3">
        <v>0</v>
      </c>
      <c r="P358" s="3">
        <v>0</v>
      </c>
      <c r="Q358" s="3">
        <v>0</v>
      </c>
      <c r="R358" s="5">
        <v>0</v>
      </c>
      <c r="S358" s="3">
        <v>0</v>
      </c>
      <c r="T358" s="3">
        <v>0</v>
      </c>
      <c r="U358" s="3">
        <v>0</v>
      </c>
      <c r="V358" s="6">
        <f t="shared" ref="V358:V359" si="177">N358/M358</f>
        <v>3686</v>
      </c>
    </row>
    <row r="359" spans="1:22" ht="21.95" customHeight="1" x14ac:dyDescent="0.25">
      <c r="A359" s="37" t="s">
        <v>1921</v>
      </c>
      <c r="B359" s="8" t="s">
        <v>128</v>
      </c>
      <c r="C359" s="2">
        <f t="shared" si="175"/>
        <v>1859000</v>
      </c>
      <c r="D359" s="3">
        <f t="shared" si="176"/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4">
        <v>0</v>
      </c>
      <c r="L359" s="3">
        <v>0</v>
      </c>
      <c r="M359" s="3">
        <v>338</v>
      </c>
      <c r="N359" s="3">
        <f t="shared" ref="N359" si="178">M359*5500</f>
        <v>1859000</v>
      </c>
      <c r="O359" s="3">
        <v>0</v>
      </c>
      <c r="P359" s="3">
        <v>0</v>
      </c>
      <c r="Q359" s="3">
        <v>0</v>
      </c>
      <c r="R359" s="5">
        <v>0</v>
      </c>
      <c r="S359" s="3">
        <v>0</v>
      </c>
      <c r="T359" s="3">
        <v>0</v>
      </c>
      <c r="U359" s="3">
        <v>0</v>
      </c>
      <c r="V359" s="6">
        <f t="shared" si="177"/>
        <v>5500</v>
      </c>
    </row>
    <row r="360" spans="1:22" ht="45" customHeight="1" x14ac:dyDescent="0.25">
      <c r="A360" s="56" t="s">
        <v>1547</v>
      </c>
      <c r="B360" s="56"/>
      <c r="C360" s="2">
        <f>SUM(C361)</f>
        <v>1782000</v>
      </c>
      <c r="D360" s="2">
        <f t="shared" ref="D360:U360" si="179">SUM(D361)</f>
        <v>0</v>
      </c>
      <c r="E360" s="2">
        <f t="shared" si="179"/>
        <v>0</v>
      </c>
      <c r="F360" s="2">
        <f t="shared" si="179"/>
        <v>0</v>
      </c>
      <c r="G360" s="2">
        <f t="shared" si="179"/>
        <v>0</v>
      </c>
      <c r="H360" s="2">
        <f t="shared" si="179"/>
        <v>0</v>
      </c>
      <c r="I360" s="2">
        <f t="shared" si="179"/>
        <v>0</v>
      </c>
      <c r="J360" s="2">
        <f t="shared" si="179"/>
        <v>0</v>
      </c>
      <c r="K360" s="14">
        <f t="shared" si="179"/>
        <v>0</v>
      </c>
      <c r="L360" s="2">
        <f t="shared" si="179"/>
        <v>0</v>
      </c>
      <c r="M360" s="2">
        <f t="shared" si="179"/>
        <v>324</v>
      </c>
      <c r="N360" s="2">
        <f t="shared" si="179"/>
        <v>1782000</v>
      </c>
      <c r="O360" s="2">
        <f t="shared" si="179"/>
        <v>0</v>
      </c>
      <c r="P360" s="2">
        <f t="shared" si="179"/>
        <v>0</v>
      </c>
      <c r="Q360" s="2">
        <f t="shared" si="179"/>
        <v>0</v>
      </c>
      <c r="R360" s="2">
        <f t="shared" si="179"/>
        <v>0</v>
      </c>
      <c r="S360" s="2">
        <f t="shared" si="179"/>
        <v>0</v>
      </c>
      <c r="T360" s="2">
        <f t="shared" si="179"/>
        <v>0</v>
      </c>
      <c r="U360" s="2">
        <f t="shared" si="179"/>
        <v>0</v>
      </c>
      <c r="V360" s="18">
        <f>C360</f>
        <v>1782000</v>
      </c>
    </row>
    <row r="361" spans="1:22" ht="21.95" customHeight="1" x14ac:dyDescent="0.25">
      <c r="A361" s="37" t="s">
        <v>1922</v>
      </c>
      <c r="B361" s="8" t="s">
        <v>129</v>
      </c>
      <c r="C361" s="2">
        <f t="shared" si="175"/>
        <v>1782000</v>
      </c>
      <c r="D361" s="3">
        <f t="shared" ref="D361" si="180">SUM(E361:J361)</f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4">
        <v>0</v>
      </c>
      <c r="L361" s="3">
        <v>0</v>
      </c>
      <c r="M361" s="3">
        <v>324</v>
      </c>
      <c r="N361" s="3">
        <f t="shared" ref="N361" si="181">M361*5500</f>
        <v>1782000</v>
      </c>
      <c r="O361" s="3">
        <v>0</v>
      </c>
      <c r="P361" s="3">
        <v>0</v>
      </c>
      <c r="Q361" s="3">
        <v>0</v>
      </c>
      <c r="R361" s="5">
        <v>0</v>
      </c>
      <c r="S361" s="3">
        <v>0</v>
      </c>
      <c r="T361" s="3">
        <v>0</v>
      </c>
      <c r="U361" s="3">
        <v>0</v>
      </c>
      <c r="V361" s="6">
        <f t="shared" ref="V361" si="182">N361/M361</f>
        <v>5500</v>
      </c>
    </row>
    <row r="362" spans="1:22" ht="45" customHeight="1" x14ac:dyDescent="0.25">
      <c r="A362" s="74" t="s">
        <v>132</v>
      </c>
      <c r="B362" s="75"/>
      <c r="C362" s="2">
        <f>SUM(C363)</f>
        <v>1447480</v>
      </c>
      <c r="D362" s="2">
        <f t="shared" ref="D362:U362" si="183">SUM(D363)</f>
        <v>0</v>
      </c>
      <c r="E362" s="2">
        <f t="shared" si="183"/>
        <v>0</v>
      </c>
      <c r="F362" s="2">
        <f t="shared" si="183"/>
        <v>0</v>
      </c>
      <c r="G362" s="2">
        <f t="shared" si="183"/>
        <v>0</v>
      </c>
      <c r="H362" s="2">
        <f t="shared" si="183"/>
        <v>0</v>
      </c>
      <c r="I362" s="2">
        <f t="shared" si="183"/>
        <v>0</v>
      </c>
      <c r="J362" s="2">
        <f t="shared" si="183"/>
        <v>0</v>
      </c>
      <c r="K362" s="14">
        <f t="shared" si="183"/>
        <v>0</v>
      </c>
      <c r="L362" s="2">
        <f t="shared" si="183"/>
        <v>0</v>
      </c>
      <c r="M362" s="2">
        <f t="shared" si="183"/>
        <v>0</v>
      </c>
      <c r="N362" s="2">
        <f t="shared" si="183"/>
        <v>0</v>
      </c>
      <c r="O362" s="2">
        <f t="shared" si="183"/>
        <v>0</v>
      </c>
      <c r="P362" s="2">
        <f t="shared" si="183"/>
        <v>0</v>
      </c>
      <c r="Q362" s="2">
        <f t="shared" si="183"/>
        <v>496</v>
      </c>
      <c r="R362" s="2">
        <f t="shared" si="183"/>
        <v>1292080</v>
      </c>
      <c r="S362" s="2">
        <f t="shared" si="183"/>
        <v>155400</v>
      </c>
      <c r="T362" s="2">
        <f t="shared" si="183"/>
        <v>0</v>
      </c>
      <c r="U362" s="2">
        <f t="shared" si="183"/>
        <v>0</v>
      </c>
      <c r="V362" s="18" t="e">
        <f>C362+#REF!</f>
        <v>#REF!</v>
      </c>
    </row>
    <row r="363" spans="1:22" ht="21" customHeight="1" x14ac:dyDescent="0.25">
      <c r="A363" s="37" t="s">
        <v>1923</v>
      </c>
      <c r="B363" s="8" t="s">
        <v>1395</v>
      </c>
      <c r="C363" s="2">
        <f t="shared" ref="C363" si="184">D363+L363+N363+P363+R363+S363+T363+U363</f>
        <v>1447480</v>
      </c>
      <c r="D363" s="3">
        <f>SUM(E363:J363)</f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4">
        <v>0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496</v>
      </c>
      <c r="R363" s="3">
        <v>1292080</v>
      </c>
      <c r="S363" s="3">
        <v>155400</v>
      </c>
      <c r="T363" s="3">
        <v>0</v>
      </c>
      <c r="U363" s="3">
        <v>0</v>
      </c>
      <c r="V363" s="6" t="e">
        <f>N363/M363</f>
        <v>#DIV/0!</v>
      </c>
    </row>
    <row r="364" spans="1:22" ht="45" customHeight="1" x14ac:dyDescent="0.25">
      <c r="A364" s="56" t="s">
        <v>133</v>
      </c>
      <c r="B364" s="56"/>
      <c r="C364" s="2">
        <f>SUM(C365:C367)</f>
        <v>3593850</v>
      </c>
      <c r="D364" s="2">
        <f t="shared" ref="D364:U364" si="185">SUM(D365:D367)</f>
        <v>0</v>
      </c>
      <c r="E364" s="2">
        <f t="shared" si="185"/>
        <v>0</v>
      </c>
      <c r="F364" s="2">
        <f t="shared" si="185"/>
        <v>0</v>
      </c>
      <c r="G364" s="2">
        <f t="shared" si="185"/>
        <v>0</v>
      </c>
      <c r="H364" s="2">
        <f t="shared" si="185"/>
        <v>0</v>
      </c>
      <c r="I364" s="2">
        <f t="shared" si="185"/>
        <v>0</v>
      </c>
      <c r="J364" s="2">
        <f t="shared" si="185"/>
        <v>0</v>
      </c>
      <c r="K364" s="14">
        <f t="shared" si="185"/>
        <v>0</v>
      </c>
      <c r="L364" s="2">
        <f t="shared" si="185"/>
        <v>0</v>
      </c>
      <c r="M364" s="2">
        <f t="shared" si="185"/>
        <v>975</v>
      </c>
      <c r="N364" s="2">
        <f t="shared" si="185"/>
        <v>3593850</v>
      </c>
      <c r="O364" s="2">
        <f t="shared" si="185"/>
        <v>0</v>
      </c>
      <c r="P364" s="2">
        <f t="shared" si="185"/>
        <v>0</v>
      </c>
      <c r="Q364" s="2">
        <f t="shared" si="185"/>
        <v>0</v>
      </c>
      <c r="R364" s="2">
        <f t="shared" si="185"/>
        <v>0</v>
      </c>
      <c r="S364" s="2">
        <f t="shared" si="185"/>
        <v>0</v>
      </c>
      <c r="T364" s="2">
        <f t="shared" si="185"/>
        <v>0</v>
      </c>
      <c r="U364" s="2">
        <f t="shared" si="185"/>
        <v>0</v>
      </c>
    </row>
    <row r="365" spans="1:22" ht="21.95" customHeight="1" x14ac:dyDescent="0.25">
      <c r="A365" s="36" t="s">
        <v>1924</v>
      </c>
      <c r="B365" s="8" t="s">
        <v>1355</v>
      </c>
      <c r="C365" s="2">
        <f t="shared" si="175"/>
        <v>1197950</v>
      </c>
      <c r="D365" s="3">
        <f t="shared" ref="D365:D367" si="186">SUM(E365:J365)</f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11">
        <v>0</v>
      </c>
      <c r="L365" s="5">
        <v>0</v>
      </c>
      <c r="M365" s="5">
        <v>325</v>
      </c>
      <c r="N365" s="3">
        <f t="shared" ref="N365:N367" si="187">M365*3686</f>
        <v>1197950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6">
        <f t="shared" ref="V365:V367" si="188">N365/M365</f>
        <v>3686</v>
      </c>
    </row>
    <row r="366" spans="1:22" ht="21.95" customHeight="1" x14ac:dyDescent="0.25">
      <c r="A366" s="36" t="s">
        <v>1925</v>
      </c>
      <c r="B366" s="8" t="s">
        <v>137</v>
      </c>
      <c r="C366" s="2">
        <f t="shared" si="175"/>
        <v>1197950</v>
      </c>
      <c r="D366" s="3">
        <f t="shared" si="186"/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4">
        <v>0</v>
      </c>
      <c r="L366" s="3">
        <v>0</v>
      </c>
      <c r="M366" s="3">
        <v>325</v>
      </c>
      <c r="N366" s="3">
        <f t="shared" si="187"/>
        <v>1197950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6">
        <f t="shared" si="188"/>
        <v>3686</v>
      </c>
    </row>
    <row r="367" spans="1:22" ht="21.95" customHeight="1" x14ac:dyDescent="0.25">
      <c r="A367" s="36" t="s">
        <v>1926</v>
      </c>
      <c r="B367" s="8" t="s">
        <v>138</v>
      </c>
      <c r="C367" s="2">
        <f t="shared" si="175"/>
        <v>1197950</v>
      </c>
      <c r="D367" s="3">
        <f t="shared" si="186"/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4">
        <v>0</v>
      </c>
      <c r="L367" s="3">
        <v>0</v>
      </c>
      <c r="M367" s="3">
        <v>325</v>
      </c>
      <c r="N367" s="3">
        <f t="shared" si="187"/>
        <v>1197950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6">
        <f t="shared" si="188"/>
        <v>3686</v>
      </c>
    </row>
    <row r="368" spans="1:22" ht="45" customHeight="1" x14ac:dyDescent="0.25">
      <c r="A368" s="56" t="s">
        <v>139</v>
      </c>
      <c r="B368" s="56"/>
      <c r="C368" s="2">
        <f>SUM(C369:C371)</f>
        <v>5080172.4800000004</v>
      </c>
      <c r="D368" s="2">
        <f t="shared" ref="D368:U368" si="189">SUM(D369:D371)</f>
        <v>0</v>
      </c>
      <c r="E368" s="2">
        <f t="shared" si="189"/>
        <v>0</v>
      </c>
      <c r="F368" s="2">
        <f t="shared" si="189"/>
        <v>0</v>
      </c>
      <c r="G368" s="2">
        <f t="shared" si="189"/>
        <v>0</v>
      </c>
      <c r="H368" s="2">
        <f t="shared" si="189"/>
        <v>0</v>
      </c>
      <c r="I368" s="2">
        <f t="shared" si="189"/>
        <v>0</v>
      </c>
      <c r="J368" s="2">
        <f t="shared" si="189"/>
        <v>0</v>
      </c>
      <c r="K368" s="14">
        <f t="shared" si="189"/>
        <v>0</v>
      </c>
      <c r="L368" s="2">
        <f t="shared" si="189"/>
        <v>0</v>
      </c>
      <c r="M368" s="2">
        <f t="shared" si="189"/>
        <v>1063.5700000000002</v>
      </c>
      <c r="N368" s="2">
        <f t="shared" si="189"/>
        <v>5080172.4800000004</v>
      </c>
      <c r="O368" s="2">
        <f t="shared" si="189"/>
        <v>0</v>
      </c>
      <c r="P368" s="2">
        <f t="shared" si="189"/>
        <v>0</v>
      </c>
      <c r="Q368" s="2">
        <f t="shared" si="189"/>
        <v>0</v>
      </c>
      <c r="R368" s="2">
        <f t="shared" si="189"/>
        <v>0</v>
      </c>
      <c r="S368" s="2">
        <f t="shared" si="189"/>
        <v>0</v>
      </c>
      <c r="T368" s="2">
        <f t="shared" si="189"/>
        <v>0</v>
      </c>
      <c r="U368" s="2">
        <f t="shared" si="189"/>
        <v>0</v>
      </c>
    </row>
    <row r="369" spans="1:22" ht="32.25" customHeight="1" x14ac:dyDescent="0.25">
      <c r="A369" s="36" t="s">
        <v>1927</v>
      </c>
      <c r="B369" s="8" t="s">
        <v>1396</v>
      </c>
      <c r="C369" s="2">
        <f t="shared" ref="C369" si="190">D369+L369+N369+P369+R369+S369+T369+U369</f>
        <v>1563527.48</v>
      </c>
      <c r="D369" s="3">
        <f t="shared" ref="D369" si="191">SUM(E369:J369)</f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4">
        <v>0</v>
      </c>
      <c r="L369" s="3">
        <v>0</v>
      </c>
      <c r="M369" s="3">
        <v>424.18</v>
      </c>
      <c r="N369" s="5">
        <f>M369*3686</f>
        <v>1563527.48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6">
        <f t="shared" ref="V369" si="192">N369/M369</f>
        <v>3686</v>
      </c>
    </row>
    <row r="370" spans="1:22" ht="21.95" customHeight="1" x14ac:dyDescent="0.25">
      <c r="A370" s="36" t="s">
        <v>1928</v>
      </c>
      <c r="B370" s="8" t="s">
        <v>140</v>
      </c>
      <c r="C370" s="2">
        <f t="shared" si="175"/>
        <v>1944360</v>
      </c>
      <c r="D370" s="3">
        <f t="shared" ref="D370:D371" si="193">SUM(E370:J370)</f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4">
        <v>0</v>
      </c>
      <c r="L370" s="3">
        <v>0</v>
      </c>
      <c r="M370" s="3">
        <v>353.52</v>
      </c>
      <c r="N370" s="3">
        <f t="shared" ref="N370:N371" si="194">M370*5500</f>
        <v>1944360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6">
        <f t="shared" ref="V370:V371" si="195">N370/M370</f>
        <v>5500</v>
      </c>
    </row>
    <row r="371" spans="1:22" ht="21.95" customHeight="1" x14ac:dyDescent="0.25">
      <c r="A371" s="36" t="s">
        <v>1929</v>
      </c>
      <c r="B371" s="8" t="s">
        <v>1346</v>
      </c>
      <c r="C371" s="2">
        <f t="shared" si="175"/>
        <v>1572285</v>
      </c>
      <c r="D371" s="3">
        <f t="shared" si="193"/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4">
        <v>0</v>
      </c>
      <c r="L371" s="3">
        <v>0</v>
      </c>
      <c r="M371" s="3">
        <v>285.87</v>
      </c>
      <c r="N371" s="3">
        <f t="shared" si="194"/>
        <v>1572285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6">
        <f t="shared" si="195"/>
        <v>5500</v>
      </c>
    </row>
    <row r="372" spans="1:22" ht="45" customHeight="1" x14ac:dyDescent="0.25">
      <c r="A372" s="56" t="s">
        <v>142</v>
      </c>
      <c r="B372" s="56"/>
      <c r="C372" s="2">
        <f t="shared" ref="C372:U372" si="196">SUM(C373:C373)</f>
        <v>1023000</v>
      </c>
      <c r="D372" s="2">
        <f t="shared" si="196"/>
        <v>0</v>
      </c>
      <c r="E372" s="2">
        <f t="shared" si="196"/>
        <v>0</v>
      </c>
      <c r="F372" s="2">
        <f t="shared" si="196"/>
        <v>0</v>
      </c>
      <c r="G372" s="2">
        <f t="shared" si="196"/>
        <v>0</v>
      </c>
      <c r="H372" s="2">
        <f t="shared" si="196"/>
        <v>0</v>
      </c>
      <c r="I372" s="2">
        <f t="shared" si="196"/>
        <v>0</v>
      </c>
      <c r="J372" s="2">
        <f t="shared" si="196"/>
        <v>0</v>
      </c>
      <c r="K372" s="14">
        <f t="shared" si="196"/>
        <v>0</v>
      </c>
      <c r="L372" s="2">
        <f t="shared" si="196"/>
        <v>0</v>
      </c>
      <c r="M372" s="2">
        <f t="shared" si="196"/>
        <v>186</v>
      </c>
      <c r="N372" s="2">
        <f t="shared" si="196"/>
        <v>1023000</v>
      </c>
      <c r="O372" s="2">
        <f t="shared" si="196"/>
        <v>0</v>
      </c>
      <c r="P372" s="2">
        <f t="shared" si="196"/>
        <v>0</v>
      </c>
      <c r="Q372" s="2">
        <f t="shared" si="196"/>
        <v>0</v>
      </c>
      <c r="R372" s="2">
        <f t="shared" si="196"/>
        <v>0</v>
      </c>
      <c r="S372" s="2">
        <f t="shared" si="196"/>
        <v>0</v>
      </c>
      <c r="T372" s="2">
        <f t="shared" si="196"/>
        <v>0</v>
      </c>
      <c r="U372" s="2">
        <f t="shared" si="196"/>
        <v>0</v>
      </c>
      <c r="V372" s="18">
        <f>C372</f>
        <v>1023000</v>
      </c>
    </row>
    <row r="373" spans="1:22" ht="21.95" customHeight="1" x14ac:dyDescent="0.25">
      <c r="A373" s="37" t="s">
        <v>1930</v>
      </c>
      <c r="B373" s="8" t="s">
        <v>144</v>
      </c>
      <c r="C373" s="2">
        <f t="shared" si="175"/>
        <v>1023000</v>
      </c>
      <c r="D373" s="3">
        <f t="shared" ref="D373" si="197">SUM(E373:J373)</f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4">
        <v>0</v>
      </c>
      <c r="L373" s="3">
        <v>0</v>
      </c>
      <c r="M373" s="3">
        <v>186</v>
      </c>
      <c r="N373" s="3">
        <f t="shared" ref="N373" si="198">M373*5500</f>
        <v>1023000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6">
        <f t="shared" ref="V373" si="199">N373/M373</f>
        <v>5500</v>
      </c>
    </row>
    <row r="374" spans="1:22" ht="45" customHeight="1" x14ac:dyDescent="0.25">
      <c r="A374" s="56" t="s">
        <v>1400</v>
      </c>
      <c r="B374" s="56"/>
      <c r="C374" s="2">
        <f>SUM(C375)</f>
        <v>1027363.6</v>
      </c>
      <c r="D374" s="2">
        <f t="shared" ref="D374:U374" si="200">SUM(D375)</f>
        <v>0</v>
      </c>
      <c r="E374" s="2">
        <f t="shared" si="200"/>
        <v>0</v>
      </c>
      <c r="F374" s="2">
        <f t="shared" si="200"/>
        <v>0</v>
      </c>
      <c r="G374" s="2">
        <f t="shared" si="200"/>
        <v>0</v>
      </c>
      <c r="H374" s="2">
        <f t="shared" si="200"/>
        <v>0</v>
      </c>
      <c r="I374" s="2">
        <f t="shared" si="200"/>
        <v>0</v>
      </c>
      <c r="J374" s="2">
        <f t="shared" si="200"/>
        <v>0</v>
      </c>
      <c r="K374" s="14">
        <f t="shared" si="200"/>
        <v>0</v>
      </c>
      <c r="L374" s="2">
        <f t="shared" si="200"/>
        <v>0</v>
      </c>
      <c r="M374" s="2">
        <f t="shared" si="200"/>
        <v>327.60000000000002</v>
      </c>
      <c r="N374" s="2">
        <f t="shared" si="200"/>
        <v>1027363.6</v>
      </c>
      <c r="O374" s="2">
        <f t="shared" si="200"/>
        <v>0</v>
      </c>
      <c r="P374" s="2">
        <f t="shared" si="200"/>
        <v>0</v>
      </c>
      <c r="Q374" s="2">
        <f t="shared" si="200"/>
        <v>0</v>
      </c>
      <c r="R374" s="2">
        <f t="shared" si="200"/>
        <v>0</v>
      </c>
      <c r="S374" s="2">
        <f t="shared" si="200"/>
        <v>0</v>
      </c>
      <c r="T374" s="2">
        <f t="shared" si="200"/>
        <v>0</v>
      </c>
      <c r="U374" s="2">
        <f t="shared" si="200"/>
        <v>0</v>
      </c>
      <c r="V374" s="18">
        <f>C374</f>
        <v>1027363.6</v>
      </c>
    </row>
    <row r="375" spans="1:22" ht="21.75" customHeight="1" x14ac:dyDescent="0.25">
      <c r="A375" s="37" t="s">
        <v>1931</v>
      </c>
      <c r="B375" s="8" t="s">
        <v>1401</v>
      </c>
      <c r="C375" s="2">
        <f>D375+L375+N375+P375+R375+S375+T375+U375</f>
        <v>1027363.6</v>
      </c>
      <c r="D375" s="3">
        <f>SUM(E375:J375)</f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4">
        <v>0</v>
      </c>
      <c r="L375" s="3">
        <v>0</v>
      </c>
      <c r="M375" s="3">
        <v>327.60000000000002</v>
      </c>
      <c r="N375" s="5">
        <v>1027363.6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6">
        <f>N375/M375</f>
        <v>3136.0305250305246</v>
      </c>
    </row>
    <row r="376" spans="1:22" ht="45" customHeight="1" x14ac:dyDescent="0.25">
      <c r="A376" s="56" t="s">
        <v>148</v>
      </c>
      <c r="B376" s="56"/>
      <c r="C376" s="2">
        <f>SUM(C377:C382)</f>
        <v>17916000</v>
      </c>
      <c r="D376" s="2">
        <f t="shared" ref="D376:U376" si="201">SUM(D377:D382)</f>
        <v>0</v>
      </c>
      <c r="E376" s="2">
        <f t="shared" si="201"/>
        <v>0</v>
      </c>
      <c r="F376" s="2">
        <f t="shared" si="201"/>
        <v>0</v>
      </c>
      <c r="G376" s="2">
        <f t="shared" si="201"/>
        <v>0</v>
      </c>
      <c r="H376" s="2">
        <f t="shared" si="201"/>
        <v>0</v>
      </c>
      <c r="I376" s="2">
        <f t="shared" si="201"/>
        <v>0</v>
      </c>
      <c r="J376" s="2">
        <f t="shared" si="201"/>
        <v>0</v>
      </c>
      <c r="K376" s="14">
        <f t="shared" si="201"/>
        <v>0</v>
      </c>
      <c r="L376" s="2">
        <f t="shared" si="201"/>
        <v>0</v>
      </c>
      <c r="M376" s="2">
        <f t="shared" si="201"/>
        <v>1872</v>
      </c>
      <c r="N376" s="2">
        <f t="shared" si="201"/>
        <v>10296000</v>
      </c>
      <c r="O376" s="2">
        <f t="shared" si="201"/>
        <v>0</v>
      </c>
      <c r="P376" s="2">
        <f t="shared" si="201"/>
        <v>0</v>
      </c>
      <c r="Q376" s="2">
        <f t="shared" si="201"/>
        <v>2440</v>
      </c>
      <c r="R376" s="2">
        <f t="shared" si="201"/>
        <v>7320000</v>
      </c>
      <c r="S376" s="2">
        <f t="shared" si="201"/>
        <v>0</v>
      </c>
      <c r="T376" s="2">
        <f t="shared" si="201"/>
        <v>0</v>
      </c>
      <c r="U376" s="2">
        <f t="shared" si="201"/>
        <v>300000</v>
      </c>
    </row>
    <row r="377" spans="1:22" ht="21.95" customHeight="1" x14ac:dyDescent="0.25">
      <c r="A377" s="37" t="s">
        <v>1932</v>
      </c>
      <c r="B377" s="8" t="s">
        <v>149</v>
      </c>
      <c r="C377" s="2">
        <f t="shared" si="175"/>
        <v>2387000</v>
      </c>
      <c r="D377" s="3">
        <f t="shared" ref="D377:D382" si="202">SUM(E377:J377)</f>
        <v>0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4">
        <v>0</v>
      </c>
      <c r="L377" s="3">
        <v>0</v>
      </c>
      <c r="M377" s="3">
        <v>434</v>
      </c>
      <c r="N377" s="3">
        <f t="shared" ref="N377:N379" si="203">M377*5500</f>
        <v>2387000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6">
        <f t="shared" ref="V377:V382" si="204">N377/M377</f>
        <v>5500</v>
      </c>
    </row>
    <row r="378" spans="1:22" ht="21.95" customHeight="1" x14ac:dyDescent="0.25">
      <c r="A378" s="37" t="s">
        <v>1933</v>
      </c>
      <c r="B378" s="8" t="s">
        <v>150</v>
      </c>
      <c r="C378" s="2">
        <f t="shared" si="175"/>
        <v>2387000</v>
      </c>
      <c r="D378" s="3">
        <f t="shared" si="202"/>
        <v>0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4">
        <v>0</v>
      </c>
      <c r="L378" s="3">
        <v>0</v>
      </c>
      <c r="M378" s="3">
        <v>434</v>
      </c>
      <c r="N378" s="3">
        <f t="shared" si="203"/>
        <v>2387000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6">
        <f t="shared" si="204"/>
        <v>5500</v>
      </c>
    </row>
    <row r="379" spans="1:22" ht="21.95" customHeight="1" x14ac:dyDescent="0.25">
      <c r="A379" s="37" t="s">
        <v>1934</v>
      </c>
      <c r="B379" s="8" t="s">
        <v>151</v>
      </c>
      <c r="C379" s="2">
        <f t="shared" si="175"/>
        <v>2035000</v>
      </c>
      <c r="D379" s="3">
        <f t="shared" si="202"/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4">
        <v>0</v>
      </c>
      <c r="L379" s="3">
        <v>0</v>
      </c>
      <c r="M379" s="3">
        <v>370</v>
      </c>
      <c r="N379" s="3">
        <f t="shared" si="203"/>
        <v>2035000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6">
        <f t="shared" si="204"/>
        <v>5500</v>
      </c>
    </row>
    <row r="380" spans="1:22" ht="21.95" customHeight="1" x14ac:dyDescent="0.25">
      <c r="A380" s="37" t="s">
        <v>1935</v>
      </c>
      <c r="B380" s="8" t="s">
        <v>152</v>
      </c>
      <c r="C380" s="2">
        <f t="shared" si="175"/>
        <v>300000</v>
      </c>
      <c r="D380" s="3">
        <f t="shared" si="202"/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4">
        <v>0</v>
      </c>
      <c r="L380" s="3"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300000</v>
      </c>
      <c r="V380" s="6" t="e">
        <f t="shared" si="204"/>
        <v>#DIV/0!</v>
      </c>
    </row>
    <row r="381" spans="1:22" ht="21.95" customHeight="1" x14ac:dyDescent="0.25">
      <c r="A381" s="37" t="s">
        <v>1936</v>
      </c>
      <c r="B381" s="8" t="s">
        <v>1172</v>
      </c>
      <c r="C381" s="2">
        <f t="shared" si="175"/>
        <v>3487000</v>
      </c>
      <c r="D381" s="3">
        <f t="shared" si="202"/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4">
        <v>0</v>
      </c>
      <c r="L381" s="3">
        <v>0</v>
      </c>
      <c r="M381" s="3">
        <v>634</v>
      </c>
      <c r="N381" s="3">
        <f t="shared" ref="N381" si="205">M381*5500</f>
        <v>3487000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6">
        <f t="shared" si="204"/>
        <v>5500</v>
      </c>
    </row>
    <row r="382" spans="1:22" ht="21.95" customHeight="1" x14ac:dyDescent="0.25">
      <c r="A382" s="37" t="s">
        <v>1937</v>
      </c>
      <c r="B382" s="8" t="s">
        <v>1173</v>
      </c>
      <c r="C382" s="2">
        <f t="shared" si="175"/>
        <v>7320000</v>
      </c>
      <c r="D382" s="3">
        <f t="shared" si="202"/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4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2440</v>
      </c>
      <c r="R382" s="3">
        <f>Q382*3000</f>
        <v>7320000</v>
      </c>
      <c r="S382" s="3">
        <v>0</v>
      </c>
      <c r="T382" s="3">
        <v>0</v>
      </c>
      <c r="U382" s="3">
        <v>0</v>
      </c>
      <c r="V382" s="6" t="e">
        <f t="shared" si="204"/>
        <v>#DIV/0!</v>
      </c>
    </row>
    <row r="383" spans="1:22" ht="45" customHeight="1" x14ac:dyDescent="0.25">
      <c r="A383" s="56" t="s">
        <v>1561</v>
      </c>
      <c r="B383" s="56"/>
      <c r="C383" s="2">
        <f>SUM(C384)</f>
        <v>1315270</v>
      </c>
      <c r="D383" s="2">
        <f t="shared" ref="D383:U383" si="206">SUM(D384)</f>
        <v>0</v>
      </c>
      <c r="E383" s="2">
        <f t="shared" si="206"/>
        <v>0</v>
      </c>
      <c r="F383" s="2">
        <f t="shared" si="206"/>
        <v>0</v>
      </c>
      <c r="G383" s="2">
        <f t="shared" si="206"/>
        <v>0</v>
      </c>
      <c r="H383" s="2">
        <f t="shared" si="206"/>
        <v>0</v>
      </c>
      <c r="I383" s="2">
        <f t="shared" si="206"/>
        <v>0</v>
      </c>
      <c r="J383" s="2">
        <f t="shared" si="206"/>
        <v>0</v>
      </c>
      <c r="K383" s="14">
        <f t="shared" si="206"/>
        <v>0</v>
      </c>
      <c r="L383" s="2">
        <f t="shared" si="206"/>
        <v>0</v>
      </c>
      <c r="M383" s="2">
        <f t="shared" si="206"/>
        <v>239.14</v>
      </c>
      <c r="N383" s="2">
        <f t="shared" si="206"/>
        <v>1315270</v>
      </c>
      <c r="O383" s="2">
        <f t="shared" si="206"/>
        <v>0</v>
      </c>
      <c r="P383" s="2">
        <f t="shared" si="206"/>
        <v>0</v>
      </c>
      <c r="Q383" s="2">
        <f t="shared" si="206"/>
        <v>0</v>
      </c>
      <c r="R383" s="2">
        <f t="shared" si="206"/>
        <v>0</v>
      </c>
      <c r="S383" s="2">
        <f t="shared" si="206"/>
        <v>0</v>
      </c>
      <c r="T383" s="2">
        <f t="shared" si="206"/>
        <v>0</v>
      </c>
      <c r="U383" s="2">
        <f t="shared" si="206"/>
        <v>0</v>
      </c>
    </row>
    <row r="384" spans="1:22" ht="21.95" customHeight="1" x14ac:dyDescent="0.25">
      <c r="A384" s="37" t="s">
        <v>1938</v>
      </c>
      <c r="B384" s="8" t="s">
        <v>159</v>
      </c>
      <c r="C384" s="2">
        <f t="shared" si="175"/>
        <v>1315270</v>
      </c>
      <c r="D384" s="3">
        <f t="shared" ref="D384" si="207">SUM(E384:J384)</f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4">
        <v>0</v>
      </c>
      <c r="L384" s="3">
        <v>0</v>
      </c>
      <c r="M384" s="3">
        <v>239.14</v>
      </c>
      <c r="N384" s="3">
        <f t="shared" ref="N384" si="208">M384*5500</f>
        <v>1315270</v>
      </c>
      <c r="O384" s="3">
        <v>0</v>
      </c>
      <c r="P384" s="3">
        <v>0</v>
      </c>
      <c r="Q384" s="3">
        <v>0</v>
      </c>
      <c r="R384" s="5">
        <v>0</v>
      </c>
      <c r="S384" s="3">
        <v>0</v>
      </c>
      <c r="T384" s="3">
        <v>0</v>
      </c>
      <c r="U384" s="3">
        <v>0</v>
      </c>
      <c r="V384" s="6">
        <f t="shared" ref="V384" si="209">N384/M384</f>
        <v>5500</v>
      </c>
    </row>
    <row r="385" spans="1:22" ht="45" customHeight="1" x14ac:dyDescent="0.25">
      <c r="A385" s="56" t="s">
        <v>163</v>
      </c>
      <c r="B385" s="56"/>
      <c r="C385" s="2">
        <f>SUM(C386:C407)</f>
        <v>160263219.59999999</v>
      </c>
      <c r="D385" s="2">
        <f t="shared" ref="D385:U385" si="210">SUM(D386:D407)</f>
        <v>19239110</v>
      </c>
      <c r="E385" s="2">
        <f t="shared" si="210"/>
        <v>5999840</v>
      </c>
      <c r="F385" s="2">
        <f t="shared" si="210"/>
        <v>8725080</v>
      </c>
      <c r="G385" s="2">
        <f t="shared" si="210"/>
        <v>2273100</v>
      </c>
      <c r="H385" s="2">
        <f t="shared" si="210"/>
        <v>346840</v>
      </c>
      <c r="I385" s="2">
        <f t="shared" si="210"/>
        <v>1894250</v>
      </c>
      <c r="J385" s="2">
        <f t="shared" si="210"/>
        <v>0</v>
      </c>
      <c r="K385" s="14">
        <f t="shared" si="210"/>
        <v>4</v>
      </c>
      <c r="L385" s="2">
        <f t="shared" si="210"/>
        <v>8600000</v>
      </c>
      <c r="M385" s="2">
        <f t="shared" si="210"/>
        <v>12407.410000000002</v>
      </c>
      <c r="N385" s="2">
        <f t="shared" si="210"/>
        <v>59321591.539999999</v>
      </c>
      <c r="O385" s="2">
        <f t="shared" si="210"/>
        <v>0</v>
      </c>
      <c r="P385" s="2">
        <f t="shared" si="210"/>
        <v>0</v>
      </c>
      <c r="Q385" s="2">
        <f t="shared" si="210"/>
        <v>22395.33</v>
      </c>
      <c r="R385" s="2">
        <f t="shared" si="210"/>
        <v>65469359.5</v>
      </c>
      <c r="S385" s="2">
        <f t="shared" si="210"/>
        <v>5714519.1100000003</v>
      </c>
      <c r="T385" s="2">
        <f t="shared" si="210"/>
        <v>0</v>
      </c>
      <c r="U385" s="2">
        <f t="shared" si="210"/>
        <v>1918639.45</v>
      </c>
    </row>
    <row r="386" spans="1:22" ht="21.95" customHeight="1" x14ac:dyDescent="0.25">
      <c r="A386" s="37" t="s">
        <v>1939</v>
      </c>
      <c r="B386" s="8" t="s">
        <v>1389</v>
      </c>
      <c r="C386" s="2">
        <f>D386+L386+N386+P386+R386+S386+T386+U386</f>
        <v>4150591.5</v>
      </c>
      <c r="D386" s="3">
        <f>SUM(E386:J386)</f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4">
        <v>0</v>
      </c>
      <c r="L386" s="3">
        <v>0</v>
      </c>
      <c r="M386" s="5">
        <v>1093.7</v>
      </c>
      <c r="N386" s="5">
        <v>4150591.5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6">
        <f>N386/M386</f>
        <v>3795</v>
      </c>
    </row>
    <row r="387" spans="1:22" ht="21.95" customHeight="1" x14ac:dyDescent="0.25">
      <c r="A387" s="37" t="s">
        <v>1940</v>
      </c>
      <c r="B387" s="21" t="s">
        <v>168</v>
      </c>
      <c r="C387" s="2">
        <f t="shared" si="175"/>
        <v>19400625.039999999</v>
      </c>
      <c r="D387" s="3">
        <f t="shared" ref="D387:D407" si="211">SUM(E387:J387)</f>
        <v>1997940</v>
      </c>
      <c r="E387" s="3">
        <v>1997940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4">
        <v>0</v>
      </c>
      <c r="L387" s="3">
        <v>0</v>
      </c>
      <c r="M387" s="3">
        <v>1741.64</v>
      </c>
      <c r="N387" s="3">
        <f>M387*3686</f>
        <v>6419685.04</v>
      </c>
      <c r="O387" s="3">
        <v>0</v>
      </c>
      <c r="P387" s="3">
        <v>0</v>
      </c>
      <c r="Q387" s="5">
        <v>3661</v>
      </c>
      <c r="R387" s="3">
        <f t="shared" ref="R387:R390" si="212">Q387*3000</f>
        <v>10983000</v>
      </c>
      <c r="S387" s="3">
        <v>0</v>
      </c>
      <c r="T387" s="3">
        <v>0</v>
      </c>
      <c r="U387" s="3">
        <v>0</v>
      </c>
      <c r="V387" s="6">
        <f t="shared" ref="V387:V407" si="213">N387/M387</f>
        <v>3686</v>
      </c>
    </row>
    <row r="388" spans="1:22" ht="21.95" customHeight="1" x14ac:dyDescent="0.25">
      <c r="A388" s="37" t="s">
        <v>1941</v>
      </c>
      <c r="B388" s="8" t="s">
        <v>1404</v>
      </c>
      <c r="C388" s="2">
        <f>D388+L388+N388+P388+R388+S388+T388+U388</f>
        <v>20043863.609999999</v>
      </c>
      <c r="D388" s="3">
        <f>SUM(E388:J388)</f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4">
        <v>0</v>
      </c>
      <c r="L388" s="5">
        <v>0</v>
      </c>
      <c r="M388" s="3">
        <v>1528.1</v>
      </c>
      <c r="N388" s="5">
        <v>4584300</v>
      </c>
      <c r="O388" s="3">
        <v>0</v>
      </c>
      <c r="P388" s="3">
        <v>0</v>
      </c>
      <c r="Q388" s="3">
        <v>3740.9</v>
      </c>
      <c r="R388" s="3">
        <v>9745044.5</v>
      </c>
      <c r="S388" s="3">
        <v>5714519.1100000003</v>
      </c>
      <c r="T388" s="3">
        <v>0</v>
      </c>
      <c r="U388" s="3">
        <v>0</v>
      </c>
      <c r="V388" s="6">
        <f>N388/M388</f>
        <v>3000</v>
      </c>
    </row>
    <row r="389" spans="1:22" ht="21.95" customHeight="1" x14ac:dyDescent="0.25">
      <c r="A389" s="37" t="s">
        <v>1942</v>
      </c>
      <c r="B389" s="21" t="s">
        <v>164</v>
      </c>
      <c r="C389" s="2">
        <f t="shared" si="175"/>
        <v>29471200</v>
      </c>
      <c r="D389" s="3">
        <f t="shared" si="211"/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4">
        <v>4</v>
      </c>
      <c r="L389" s="3">
        <v>8600000</v>
      </c>
      <c r="M389" s="3">
        <v>0</v>
      </c>
      <c r="N389" s="3">
        <v>0</v>
      </c>
      <c r="O389" s="3">
        <v>0</v>
      </c>
      <c r="P389" s="3">
        <v>0</v>
      </c>
      <c r="Q389" s="5">
        <v>6890.4</v>
      </c>
      <c r="R389" s="3">
        <f t="shared" si="212"/>
        <v>20671200</v>
      </c>
      <c r="S389" s="3">
        <v>0</v>
      </c>
      <c r="T389" s="3">
        <v>0</v>
      </c>
      <c r="U389" s="3">
        <v>200000</v>
      </c>
      <c r="V389" s="6" t="e">
        <f t="shared" si="213"/>
        <v>#DIV/0!</v>
      </c>
    </row>
    <row r="390" spans="1:22" ht="21.95" customHeight="1" x14ac:dyDescent="0.25">
      <c r="A390" s="37" t="s">
        <v>1943</v>
      </c>
      <c r="B390" s="1" t="s">
        <v>836</v>
      </c>
      <c r="C390" s="2">
        <f t="shared" si="175"/>
        <v>4570116.22</v>
      </c>
      <c r="D390" s="3">
        <f t="shared" si="211"/>
        <v>668250</v>
      </c>
      <c r="E390" s="3">
        <f>350*742.5</f>
        <v>259875</v>
      </c>
      <c r="F390" s="3">
        <f>800*0</f>
        <v>0</v>
      </c>
      <c r="G390" s="3">
        <f>300*742.5</f>
        <v>222750</v>
      </c>
      <c r="H390" s="3">
        <f>400*0</f>
        <v>0</v>
      </c>
      <c r="I390" s="3">
        <f>250*742.5</f>
        <v>185625</v>
      </c>
      <c r="J390" s="3">
        <f t="shared" ref="J390:J403" si="214">350*0</f>
        <v>0</v>
      </c>
      <c r="K390" s="4">
        <v>0</v>
      </c>
      <c r="L390" s="3">
        <v>0</v>
      </c>
      <c r="M390" s="3">
        <v>426.86</v>
      </c>
      <c r="N390" s="3">
        <f t="shared" ref="N390:N398" si="215">M390*5500</f>
        <v>2347730</v>
      </c>
      <c r="O390" s="3">
        <v>0</v>
      </c>
      <c r="P390" s="3">
        <f>O390*410</f>
        <v>0</v>
      </c>
      <c r="Q390" s="3">
        <v>479.5</v>
      </c>
      <c r="R390" s="3">
        <f t="shared" si="212"/>
        <v>1438500</v>
      </c>
      <c r="S390" s="3">
        <v>0</v>
      </c>
      <c r="T390" s="3">
        <v>0</v>
      </c>
      <c r="U390" s="3">
        <v>115636.22</v>
      </c>
      <c r="V390" s="6">
        <f t="shared" si="213"/>
        <v>5500</v>
      </c>
    </row>
    <row r="391" spans="1:22" ht="21.95" customHeight="1" x14ac:dyDescent="0.25">
      <c r="A391" s="37" t="s">
        <v>1944</v>
      </c>
      <c r="B391" s="1" t="s">
        <v>183</v>
      </c>
      <c r="C391" s="2">
        <f>D391+L391+N391+P391+R391+S391+T391+U391</f>
        <v>2827870</v>
      </c>
      <c r="D391" s="3">
        <f t="shared" si="211"/>
        <v>1224820</v>
      </c>
      <c r="E391" s="3">
        <f>350*521.2</f>
        <v>182420.00000000003</v>
      </c>
      <c r="F391" s="3">
        <f>1050*521.2</f>
        <v>547260</v>
      </c>
      <c r="G391" s="3">
        <f>300*521.2</f>
        <v>156360</v>
      </c>
      <c r="H391" s="3">
        <f>400*521.2</f>
        <v>208480.00000000003</v>
      </c>
      <c r="I391" s="3">
        <f>250*521.2</f>
        <v>130300.00000000001</v>
      </c>
      <c r="J391" s="3">
        <f t="shared" si="214"/>
        <v>0</v>
      </c>
      <c r="K391" s="4">
        <v>0</v>
      </c>
      <c r="L391" s="3">
        <v>0</v>
      </c>
      <c r="M391" s="3">
        <v>255.1</v>
      </c>
      <c r="N391" s="3">
        <f>M391*5500</f>
        <v>1403050</v>
      </c>
      <c r="O391" s="3">
        <v>0</v>
      </c>
      <c r="P391" s="3">
        <f>O391*410</f>
        <v>0</v>
      </c>
      <c r="Q391" s="5">
        <v>0</v>
      </c>
      <c r="R391" s="3">
        <v>0</v>
      </c>
      <c r="S391" s="3">
        <f>S91</f>
        <v>0</v>
      </c>
      <c r="T391" s="3">
        <v>0</v>
      </c>
      <c r="U391" s="3">
        <v>200000</v>
      </c>
      <c r="V391" s="6">
        <f t="shared" si="213"/>
        <v>5500</v>
      </c>
    </row>
    <row r="392" spans="1:22" ht="21.95" customHeight="1" x14ac:dyDescent="0.25">
      <c r="A392" s="37" t="s">
        <v>1945</v>
      </c>
      <c r="B392" s="1" t="s">
        <v>175</v>
      </c>
      <c r="C392" s="2">
        <f t="shared" si="175"/>
        <v>8302170</v>
      </c>
      <c r="D392" s="3">
        <f t="shared" si="211"/>
        <v>561890</v>
      </c>
      <c r="E392" s="3">
        <f>350*1605.4</f>
        <v>561890</v>
      </c>
      <c r="F392" s="3">
        <f>800*0</f>
        <v>0</v>
      </c>
      <c r="G392" s="3">
        <v>0</v>
      </c>
      <c r="H392" s="3">
        <f>400*0</f>
        <v>0</v>
      </c>
      <c r="I392" s="3">
        <v>0</v>
      </c>
      <c r="J392" s="3">
        <f t="shared" si="214"/>
        <v>0</v>
      </c>
      <c r="K392" s="4">
        <v>0</v>
      </c>
      <c r="L392" s="3">
        <v>0</v>
      </c>
      <c r="M392" s="3">
        <v>883.2</v>
      </c>
      <c r="N392" s="3">
        <f t="shared" si="215"/>
        <v>4857600</v>
      </c>
      <c r="O392" s="3">
        <v>0</v>
      </c>
      <c r="P392" s="3">
        <f>O392*410</f>
        <v>0</v>
      </c>
      <c r="Q392" s="3">
        <v>927.56</v>
      </c>
      <c r="R392" s="3">
        <f t="shared" ref="R392:R398" si="216">Q392*3000</f>
        <v>2782680</v>
      </c>
      <c r="S392" s="3">
        <v>0</v>
      </c>
      <c r="T392" s="3">
        <v>0</v>
      </c>
      <c r="U392" s="3">
        <v>100000</v>
      </c>
      <c r="V392" s="6">
        <f t="shared" si="213"/>
        <v>5500</v>
      </c>
    </row>
    <row r="393" spans="1:22" ht="21.95" customHeight="1" x14ac:dyDescent="0.25">
      <c r="A393" s="37" t="s">
        <v>1946</v>
      </c>
      <c r="B393" s="1" t="s">
        <v>177</v>
      </c>
      <c r="C393" s="2">
        <f t="shared" si="175"/>
        <v>3702150</v>
      </c>
      <c r="D393" s="3">
        <f t="shared" ref="D393" si="217">SUM(E393:J393)</f>
        <v>143395</v>
      </c>
      <c r="E393" s="3">
        <f>350*409.7</f>
        <v>143395</v>
      </c>
      <c r="F393" s="3">
        <v>0</v>
      </c>
      <c r="G393" s="3">
        <v>0</v>
      </c>
      <c r="H393" s="3">
        <f>500*0</f>
        <v>0</v>
      </c>
      <c r="I393" s="3">
        <v>0</v>
      </c>
      <c r="J393" s="3">
        <f t="shared" si="214"/>
        <v>0</v>
      </c>
      <c r="K393" s="4">
        <v>0</v>
      </c>
      <c r="L393" s="3">
        <v>0</v>
      </c>
      <c r="M393" s="3">
        <v>374.1</v>
      </c>
      <c r="N393" s="3">
        <f t="shared" ref="N393" si="218">M393*5300</f>
        <v>1982730.0000000002</v>
      </c>
      <c r="O393" s="3">
        <v>0</v>
      </c>
      <c r="P393" s="3">
        <v>0</v>
      </c>
      <c r="Q393" s="3">
        <v>605</v>
      </c>
      <c r="R393" s="3">
        <f t="shared" ref="R393" si="219">Q393*2605</f>
        <v>1576025</v>
      </c>
      <c r="S393" s="3">
        <f>S1262</f>
        <v>0</v>
      </c>
      <c r="T393" s="3">
        <v>0</v>
      </c>
      <c r="U393" s="3">
        <v>0</v>
      </c>
      <c r="V393" s="6">
        <f t="shared" si="213"/>
        <v>5300</v>
      </c>
    </row>
    <row r="394" spans="1:22" ht="21.95" customHeight="1" x14ac:dyDescent="0.25">
      <c r="A394" s="37" t="s">
        <v>1947</v>
      </c>
      <c r="B394" s="21" t="s">
        <v>178</v>
      </c>
      <c r="C394" s="2">
        <f t="shared" si="175"/>
        <v>5090629.82</v>
      </c>
      <c r="D394" s="3">
        <f t="shared" si="211"/>
        <v>1396200</v>
      </c>
      <c r="E394" s="3">
        <f>350*716</f>
        <v>250600</v>
      </c>
      <c r="F394" s="3">
        <f>1050*716</f>
        <v>751800</v>
      </c>
      <c r="G394" s="3">
        <f>300*716</f>
        <v>214800</v>
      </c>
      <c r="H394" s="3">
        <f>400*0</f>
        <v>0</v>
      </c>
      <c r="I394" s="3">
        <f>250*716</f>
        <v>179000</v>
      </c>
      <c r="J394" s="3">
        <f t="shared" si="214"/>
        <v>0</v>
      </c>
      <c r="K394" s="4">
        <v>0</v>
      </c>
      <c r="L394" s="3">
        <v>0</v>
      </c>
      <c r="M394" s="3">
        <v>386</v>
      </c>
      <c r="N394" s="3">
        <f t="shared" si="215"/>
        <v>2123000</v>
      </c>
      <c r="O394" s="3">
        <v>0</v>
      </c>
      <c r="P394" s="3">
        <v>0</v>
      </c>
      <c r="Q394" s="3">
        <v>480</v>
      </c>
      <c r="R394" s="3">
        <f t="shared" si="216"/>
        <v>1440000</v>
      </c>
      <c r="S394" s="3">
        <f>S1304</f>
        <v>0</v>
      </c>
      <c r="T394" s="3">
        <v>0</v>
      </c>
      <c r="U394" s="3">
        <v>131429.82</v>
      </c>
      <c r="V394" s="6">
        <f t="shared" si="213"/>
        <v>5500</v>
      </c>
    </row>
    <row r="395" spans="1:22" ht="21.95" customHeight="1" x14ac:dyDescent="0.25">
      <c r="A395" s="37" t="s">
        <v>1948</v>
      </c>
      <c r="B395" s="21" t="s">
        <v>179</v>
      </c>
      <c r="C395" s="2">
        <f t="shared" si="175"/>
        <v>5005230.3499999996</v>
      </c>
      <c r="D395" s="3">
        <f t="shared" si="211"/>
        <v>1372605</v>
      </c>
      <c r="E395" s="3">
        <f>350*703.9</f>
        <v>246365</v>
      </c>
      <c r="F395" s="3">
        <f>1050*703.9</f>
        <v>739095</v>
      </c>
      <c r="G395" s="3">
        <f>300*703.9</f>
        <v>211170</v>
      </c>
      <c r="H395" s="3">
        <f>400*0</f>
        <v>0</v>
      </c>
      <c r="I395" s="3">
        <f>250*703.9</f>
        <v>175975</v>
      </c>
      <c r="J395" s="3">
        <f t="shared" si="214"/>
        <v>0</v>
      </c>
      <c r="K395" s="4">
        <v>0</v>
      </c>
      <c r="L395" s="3">
        <v>0</v>
      </c>
      <c r="M395" s="3">
        <v>364</v>
      </c>
      <c r="N395" s="3">
        <f t="shared" si="215"/>
        <v>2002000</v>
      </c>
      <c r="O395" s="3">
        <v>0</v>
      </c>
      <c r="P395" s="3">
        <v>0</v>
      </c>
      <c r="Q395" s="3">
        <v>500</v>
      </c>
      <c r="R395" s="3">
        <f t="shared" si="216"/>
        <v>1500000</v>
      </c>
      <c r="S395" s="3">
        <f>S1305</f>
        <v>0</v>
      </c>
      <c r="T395" s="3">
        <v>0</v>
      </c>
      <c r="U395" s="3">
        <v>130625.35</v>
      </c>
      <c r="V395" s="6">
        <f t="shared" si="213"/>
        <v>5500</v>
      </c>
    </row>
    <row r="396" spans="1:22" ht="21.95" customHeight="1" x14ac:dyDescent="0.25">
      <c r="A396" s="37" t="s">
        <v>1949</v>
      </c>
      <c r="B396" s="1" t="s">
        <v>182</v>
      </c>
      <c r="C396" s="2">
        <f t="shared" si="175"/>
        <v>3047495</v>
      </c>
      <c r="D396" s="3">
        <f t="shared" si="211"/>
        <v>812865</v>
      </c>
      <c r="E396" s="3">
        <f>350*345.9</f>
        <v>121064.99999999999</v>
      </c>
      <c r="F396" s="3">
        <f>1050*345.9</f>
        <v>363195</v>
      </c>
      <c r="G396" s="3">
        <f>300*345.9</f>
        <v>103770</v>
      </c>
      <c r="H396" s="3">
        <f>400*345.9</f>
        <v>138360</v>
      </c>
      <c r="I396" s="3">
        <f>250*345.9</f>
        <v>86475</v>
      </c>
      <c r="J396" s="3">
        <f t="shared" si="214"/>
        <v>0</v>
      </c>
      <c r="K396" s="4">
        <v>0</v>
      </c>
      <c r="L396" s="3">
        <v>0</v>
      </c>
      <c r="M396" s="3">
        <v>206.26</v>
      </c>
      <c r="N396" s="3">
        <f t="shared" si="215"/>
        <v>1134430</v>
      </c>
      <c r="O396" s="3">
        <v>0</v>
      </c>
      <c r="P396" s="3">
        <v>0</v>
      </c>
      <c r="Q396" s="3">
        <v>333.4</v>
      </c>
      <c r="R396" s="3">
        <f t="shared" si="216"/>
        <v>1000199.9999999999</v>
      </c>
      <c r="S396" s="3">
        <f>S920</f>
        <v>0</v>
      </c>
      <c r="T396" s="3">
        <v>0</v>
      </c>
      <c r="U396" s="3">
        <v>100000</v>
      </c>
      <c r="V396" s="6">
        <f t="shared" si="213"/>
        <v>5500</v>
      </c>
    </row>
    <row r="397" spans="1:22" ht="21.95" customHeight="1" x14ac:dyDescent="0.25">
      <c r="A397" s="37" t="s">
        <v>1950</v>
      </c>
      <c r="B397" s="21" t="s">
        <v>181</v>
      </c>
      <c r="C397" s="2">
        <f>D397+L397+N397+P397+R397+S397+T397+U397</f>
        <v>1751401.81</v>
      </c>
      <c r="D397" s="3">
        <f>SUM(E397:J397)</f>
        <v>1631955</v>
      </c>
      <c r="E397" s="3">
        <f>350*836.9</f>
        <v>292915</v>
      </c>
      <c r="F397" s="3">
        <f>1050*836.9</f>
        <v>878745</v>
      </c>
      <c r="G397" s="3">
        <f>300*836.9</f>
        <v>251070</v>
      </c>
      <c r="H397" s="3">
        <f>400*0</f>
        <v>0</v>
      </c>
      <c r="I397" s="3">
        <f>250*836.9</f>
        <v>209225</v>
      </c>
      <c r="J397" s="3">
        <f t="shared" si="214"/>
        <v>0</v>
      </c>
      <c r="K397" s="4">
        <v>0</v>
      </c>
      <c r="L397" s="3">
        <v>0</v>
      </c>
      <c r="M397" s="3">
        <v>0</v>
      </c>
      <c r="N397" s="3">
        <f>M397*5300</f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119446.81</v>
      </c>
      <c r="V397" s="6" t="e">
        <f>N397/M397</f>
        <v>#DIV/0!</v>
      </c>
    </row>
    <row r="398" spans="1:22" ht="21.95" customHeight="1" x14ac:dyDescent="0.25">
      <c r="A398" s="37" t="s">
        <v>1951</v>
      </c>
      <c r="B398" s="1" t="s">
        <v>180</v>
      </c>
      <c r="C398" s="2">
        <f t="shared" si="175"/>
        <v>3820100</v>
      </c>
      <c r="D398" s="3">
        <f t="shared" si="211"/>
        <v>982020</v>
      </c>
      <c r="E398" s="3">
        <f>350*503.6</f>
        <v>176260</v>
      </c>
      <c r="F398" s="3">
        <f>1050*503.6</f>
        <v>528780</v>
      </c>
      <c r="G398" s="3">
        <f>300*503.6</f>
        <v>151080</v>
      </c>
      <c r="H398" s="3">
        <f>400*0</f>
        <v>0</v>
      </c>
      <c r="I398" s="3">
        <f>250*503.6</f>
        <v>125900</v>
      </c>
      <c r="J398" s="3">
        <f t="shared" si="214"/>
        <v>0</v>
      </c>
      <c r="K398" s="4">
        <v>0</v>
      </c>
      <c r="L398" s="3">
        <v>0</v>
      </c>
      <c r="M398" s="3">
        <v>278.38</v>
      </c>
      <c r="N398" s="3">
        <f t="shared" si="215"/>
        <v>1531090</v>
      </c>
      <c r="O398" s="3">
        <v>0</v>
      </c>
      <c r="P398" s="3">
        <v>0</v>
      </c>
      <c r="Q398" s="3">
        <v>402.33</v>
      </c>
      <c r="R398" s="3">
        <f t="shared" si="216"/>
        <v>1206990</v>
      </c>
      <c r="S398" s="3">
        <v>0</v>
      </c>
      <c r="T398" s="3">
        <v>0</v>
      </c>
      <c r="U398" s="3">
        <v>100000</v>
      </c>
      <c r="V398" s="6">
        <f t="shared" si="213"/>
        <v>5500</v>
      </c>
    </row>
    <row r="399" spans="1:22" ht="21.95" customHeight="1" x14ac:dyDescent="0.25">
      <c r="A399" s="37" t="s">
        <v>1952</v>
      </c>
      <c r="B399" s="21" t="s">
        <v>186</v>
      </c>
      <c r="C399" s="2">
        <f t="shared" si="175"/>
        <v>13846530</v>
      </c>
      <c r="D399" s="3">
        <f t="shared" si="211"/>
        <v>3762330</v>
      </c>
      <c r="E399" s="3">
        <f>350*1929.4</f>
        <v>675290</v>
      </c>
      <c r="F399" s="3">
        <f>1050*1929.4</f>
        <v>2025870</v>
      </c>
      <c r="G399" s="3">
        <f>300*1929.4</f>
        <v>578820</v>
      </c>
      <c r="H399" s="3">
        <f>400*0</f>
        <v>0</v>
      </c>
      <c r="I399" s="3">
        <f>250*1929.4</f>
        <v>482350</v>
      </c>
      <c r="J399" s="3">
        <f t="shared" si="214"/>
        <v>0</v>
      </c>
      <c r="K399" s="4">
        <v>0</v>
      </c>
      <c r="L399" s="3">
        <v>0</v>
      </c>
      <c r="M399" s="5">
        <v>1083.4000000000001</v>
      </c>
      <c r="N399" s="5">
        <f>M399*5500</f>
        <v>5958700.0000000009</v>
      </c>
      <c r="O399" s="3">
        <v>0</v>
      </c>
      <c r="P399" s="3">
        <v>0</v>
      </c>
      <c r="Q399" s="3">
        <v>1308.5</v>
      </c>
      <c r="R399" s="3">
        <f t="shared" ref="R399:R407" si="220">Q399*3000</f>
        <v>3925500</v>
      </c>
      <c r="S399" s="3">
        <v>0</v>
      </c>
      <c r="T399" s="3">
        <v>0</v>
      </c>
      <c r="U399" s="3">
        <v>200000</v>
      </c>
      <c r="V399" s="6">
        <f t="shared" si="213"/>
        <v>5500</v>
      </c>
    </row>
    <row r="400" spans="1:22" ht="21.95" customHeight="1" x14ac:dyDescent="0.25">
      <c r="A400" s="37" t="s">
        <v>1953</v>
      </c>
      <c r="B400" s="1" t="s">
        <v>184</v>
      </c>
      <c r="C400" s="2">
        <f t="shared" si="175"/>
        <v>5015130</v>
      </c>
      <c r="D400" s="3">
        <f t="shared" si="211"/>
        <v>919380</v>
      </c>
      <c r="E400" s="3">
        <f>350*656.7</f>
        <v>229845.00000000003</v>
      </c>
      <c r="F400" s="3">
        <f>1050*656.7</f>
        <v>689535</v>
      </c>
      <c r="G400" s="3">
        <v>0</v>
      </c>
      <c r="H400" s="3">
        <f>400*0</f>
        <v>0</v>
      </c>
      <c r="I400" s="3">
        <v>0</v>
      </c>
      <c r="J400" s="3">
        <f t="shared" si="214"/>
        <v>0</v>
      </c>
      <c r="K400" s="4">
        <v>0</v>
      </c>
      <c r="L400" s="3">
        <v>0</v>
      </c>
      <c r="M400" s="3">
        <v>368.3</v>
      </c>
      <c r="N400" s="3">
        <f t="shared" ref="N400:N407" si="221">M400*5500</f>
        <v>2025650</v>
      </c>
      <c r="O400" s="3">
        <v>0</v>
      </c>
      <c r="P400" s="3">
        <v>0</v>
      </c>
      <c r="Q400" s="5">
        <v>656.7</v>
      </c>
      <c r="R400" s="3">
        <f t="shared" si="220"/>
        <v>1970100.0000000002</v>
      </c>
      <c r="S400" s="3">
        <f>S1137</f>
        <v>0</v>
      </c>
      <c r="T400" s="3">
        <v>0</v>
      </c>
      <c r="U400" s="3">
        <v>100000</v>
      </c>
      <c r="V400" s="6">
        <f t="shared" si="213"/>
        <v>5500</v>
      </c>
    </row>
    <row r="401" spans="1:22" ht="21.95" customHeight="1" x14ac:dyDescent="0.25">
      <c r="A401" s="37" t="s">
        <v>1954</v>
      </c>
      <c r="B401" s="1" t="s">
        <v>185</v>
      </c>
      <c r="C401" s="2">
        <f t="shared" si="175"/>
        <v>5359260</v>
      </c>
      <c r="D401" s="3">
        <f t="shared" si="211"/>
        <v>1145760</v>
      </c>
      <c r="E401" s="3">
        <f>350*818.4</f>
        <v>286440</v>
      </c>
      <c r="F401" s="3">
        <f>1050*818.4</f>
        <v>859320</v>
      </c>
      <c r="G401" s="3">
        <v>0</v>
      </c>
      <c r="H401" s="3">
        <f>400*0</f>
        <v>0</v>
      </c>
      <c r="I401" s="3">
        <v>0</v>
      </c>
      <c r="J401" s="3">
        <f t="shared" si="214"/>
        <v>0</v>
      </c>
      <c r="K401" s="4">
        <v>0</v>
      </c>
      <c r="L401" s="3">
        <v>0</v>
      </c>
      <c r="M401" s="3">
        <v>428</v>
      </c>
      <c r="N401" s="3">
        <f t="shared" si="221"/>
        <v>2354000</v>
      </c>
      <c r="O401" s="3">
        <v>0</v>
      </c>
      <c r="P401" s="3">
        <v>0</v>
      </c>
      <c r="Q401" s="3">
        <v>586.5</v>
      </c>
      <c r="R401" s="3">
        <f t="shared" si="220"/>
        <v>1759500</v>
      </c>
      <c r="S401" s="3">
        <v>0</v>
      </c>
      <c r="T401" s="3">
        <v>0</v>
      </c>
      <c r="U401" s="3">
        <v>100000</v>
      </c>
      <c r="V401" s="6">
        <f t="shared" si="213"/>
        <v>5500</v>
      </c>
    </row>
    <row r="402" spans="1:22" ht="21.95" customHeight="1" x14ac:dyDescent="0.25">
      <c r="A402" s="37" t="s">
        <v>1955</v>
      </c>
      <c r="B402" s="1" t="s">
        <v>187</v>
      </c>
      <c r="C402" s="2">
        <f>D402+L402+N402+P402+R402+S402+T402+U402</f>
        <v>5061145</v>
      </c>
      <c r="D402" s="3">
        <f>SUM(E402:J402)</f>
        <v>1546545</v>
      </c>
      <c r="E402" s="3">
        <f>350*793.1</f>
        <v>277585</v>
      </c>
      <c r="F402" s="3">
        <f>1050*793.1</f>
        <v>832755</v>
      </c>
      <c r="G402" s="3">
        <f>300*793.1</f>
        <v>237930</v>
      </c>
      <c r="H402" s="3">
        <v>0</v>
      </c>
      <c r="I402" s="3">
        <f>250*793.1</f>
        <v>198275</v>
      </c>
      <c r="J402" s="3">
        <f t="shared" si="214"/>
        <v>0</v>
      </c>
      <c r="K402" s="4">
        <v>0</v>
      </c>
      <c r="L402" s="3">
        <v>0</v>
      </c>
      <c r="M402" s="3">
        <v>346.8</v>
      </c>
      <c r="N402" s="3">
        <f t="shared" ref="N402" si="222">M402*5500</f>
        <v>1907400</v>
      </c>
      <c r="O402" s="3">
        <v>0</v>
      </c>
      <c r="P402" s="3">
        <f>O402*410</f>
        <v>0</v>
      </c>
      <c r="Q402" s="3">
        <v>502.4</v>
      </c>
      <c r="R402" s="3">
        <f>Q402*3000</f>
        <v>1507200</v>
      </c>
      <c r="S402" s="3">
        <v>0</v>
      </c>
      <c r="T402" s="3">
        <v>0</v>
      </c>
      <c r="U402" s="3">
        <v>100000</v>
      </c>
      <c r="V402" s="6">
        <f>N402/M402</f>
        <v>5500</v>
      </c>
    </row>
    <row r="403" spans="1:22" ht="21.95" customHeight="1" x14ac:dyDescent="0.25">
      <c r="A403" s="37" t="s">
        <v>1956</v>
      </c>
      <c r="B403" s="1" t="s">
        <v>188</v>
      </c>
      <c r="C403" s="2">
        <f t="shared" si="175"/>
        <v>2069697.4399999997</v>
      </c>
      <c r="D403" s="3">
        <f t="shared" si="211"/>
        <v>128380</v>
      </c>
      <c r="E403" s="3">
        <f>350*366.8</f>
        <v>128380</v>
      </c>
      <c r="F403" s="3">
        <f>1050*0</f>
        <v>0</v>
      </c>
      <c r="G403" s="3">
        <f>300*0</f>
        <v>0</v>
      </c>
      <c r="H403" s="3">
        <f>400*0</f>
        <v>0</v>
      </c>
      <c r="I403" s="3">
        <f>250*0</f>
        <v>0</v>
      </c>
      <c r="J403" s="3">
        <f t="shared" si="214"/>
        <v>0</v>
      </c>
      <c r="K403" s="4">
        <v>0</v>
      </c>
      <c r="L403" s="3">
        <v>0</v>
      </c>
      <c r="M403" s="3">
        <v>163.19999999999999</v>
      </c>
      <c r="N403" s="3">
        <f t="shared" si="221"/>
        <v>897599.99999999988</v>
      </c>
      <c r="O403" s="3">
        <v>0</v>
      </c>
      <c r="P403" s="3">
        <f>O403*410</f>
        <v>0</v>
      </c>
      <c r="Q403" s="3">
        <v>308.77999999999997</v>
      </c>
      <c r="R403" s="3">
        <f t="shared" si="220"/>
        <v>926339.99999999988</v>
      </c>
      <c r="S403" s="3">
        <v>0</v>
      </c>
      <c r="T403" s="3">
        <v>0</v>
      </c>
      <c r="U403" s="3">
        <v>117377.44</v>
      </c>
      <c r="V403" s="6">
        <f t="shared" si="213"/>
        <v>5500</v>
      </c>
    </row>
    <row r="404" spans="1:22" ht="21.95" customHeight="1" x14ac:dyDescent="0.25">
      <c r="A404" s="37" t="s">
        <v>1957</v>
      </c>
      <c r="B404" s="21" t="s">
        <v>189</v>
      </c>
      <c r="C404" s="2">
        <f t="shared" si="175"/>
        <v>5364165</v>
      </c>
      <c r="D404" s="3">
        <f t="shared" si="211"/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4">
        <v>0</v>
      </c>
      <c r="L404" s="3">
        <v>0</v>
      </c>
      <c r="M404" s="3">
        <v>614.07000000000005</v>
      </c>
      <c r="N404" s="3">
        <f t="shared" si="221"/>
        <v>3377385.0000000005</v>
      </c>
      <c r="O404" s="3">
        <v>0</v>
      </c>
      <c r="P404" s="3">
        <f>O404*410</f>
        <v>0</v>
      </c>
      <c r="Q404" s="3">
        <v>662.26</v>
      </c>
      <c r="R404" s="3">
        <f t="shared" si="220"/>
        <v>1986780</v>
      </c>
      <c r="S404" s="3">
        <f>S924</f>
        <v>0</v>
      </c>
      <c r="T404" s="3">
        <v>0</v>
      </c>
      <c r="U404" s="3">
        <v>0</v>
      </c>
      <c r="V404" s="6">
        <f t="shared" si="213"/>
        <v>5500</v>
      </c>
    </row>
    <row r="405" spans="1:22" ht="21.95" customHeight="1" x14ac:dyDescent="0.25">
      <c r="A405" s="37" t="s">
        <v>1958</v>
      </c>
      <c r="B405" s="21" t="s">
        <v>190</v>
      </c>
      <c r="C405" s="2">
        <f t="shared" si="175"/>
        <v>3491248.81</v>
      </c>
      <c r="D405" s="3">
        <f t="shared" si="211"/>
        <v>944775</v>
      </c>
      <c r="E405" s="3">
        <f>350*484.5</f>
        <v>169575</v>
      </c>
      <c r="F405" s="3">
        <f>1050*484.5</f>
        <v>508725</v>
      </c>
      <c r="G405" s="3">
        <f>300*484.5</f>
        <v>145350</v>
      </c>
      <c r="H405" s="3">
        <f>400*0</f>
        <v>0</v>
      </c>
      <c r="I405" s="3">
        <f>250*484.5</f>
        <v>121125</v>
      </c>
      <c r="J405" s="3">
        <f>350*0</f>
        <v>0</v>
      </c>
      <c r="K405" s="4">
        <v>0</v>
      </c>
      <c r="L405" s="3">
        <v>0</v>
      </c>
      <c r="M405" s="3">
        <v>253.1</v>
      </c>
      <c r="N405" s="3">
        <f t="shared" si="221"/>
        <v>1392050</v>
      </c>
      <c r="O405" s="3">
        <v>0</v>
      </c>
      <c r="P405" s="3">
        <f>O405*410</f>
        <v>0</v>
      </c>
      <c r="Q405" s="3">
        <v>350.1</v>
      </c>
      <c r="R405" s="3">
        <f t="shared" si="220"/>
        <v>1050300</v>
      </c>
      <c r="S405" s="3">
        <f>S926</f>
        <v>0</v>
      </c>
      <c r="T405" s="3">
        <v>0</v>
      </c>
      <c r="U405" s="3">
        <v>104123.81</v>
      </c>
      <c r="V405" s="6">
        <f t="shared" si="213"/>
        <v>5500</v>
      </c>
    </row>
    <row r="406" spans="1:22" ht="21.95" customHeight="1" x14ac:dyDescent="0.25">
      <c r="A406" s="37" t="s">
        <v>1959</v>
      </c>
      <c r="B406" s="1" t="s">
        <v>191</v>
      </c>
      <c r="C406" s="2">
        <f t="shared" si="175"/>
        <v>4749800</v>
      </c>
      <c r="D406" s="3">
        <f t="shared" si="211"/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4">
        <v>0</v>
      </c>
      <c r="L406" s="3">
        <v>0</v>
      </c>
      <c r="M406" s="3">
        <v>863.6</v>
      </c>
      <c r="N406" s="3">
        <f t="shared" si="221"/>
        <v>4749800</v>
      </c>
      <c r="O406" s="3">
        <v>0</v>
      </c>
      <c r="P406" s="3">
        <v>0</v>
      </c>
      <c r="Q406" s="3">
        <v>0</v>
      </c>
      <c r="R406" s="3">
        <f t="shared" si="220"/>
        <v>0</v>
      </c>
      <c r="S406" s="3">
        <v>0</v>
      </c>
      <c r="T406" s="3">
        <v>0</v>
      </c>
      <c r="U406" s="3">
        <v>0</v>
      </c>
      <c r="V406" s="6">
        <f t="shared" si="213"/>
        <v>5500</v>
      </c>
    </row>
    <row r="407" spans="1:22" ht="21.95" customHeight="1" x14ac:dyDescent="0.25">
      <c r="A407" s="37" t="s">
        <v>1960</v>
      </c>
      <c r="B407" s="1" t="s">
        <v>192</v>
      </c>
      <c r="C407" s="2">
        <f t="shared" si="175"/>
        <v>4122800</v>
      </c>
      <c r="D407" s="3">
        <f t="shared" si="211"/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4">
        <v>0</v>
      </c>
      <c r="L407" s="3">
        <v>0</v>
      </c>
      <c r="M407" s="3">
        <v>749.6</v>
      </c>
      <c r="N407" s="3">
        <f t="shared" si="221"/>
        <v>4122800</v>
      </c>
      <c r="O407" s="3">
        <v>0</v>
      </c>
      <c r="P407" s="3">
        <v>0</v>
      </c>
      <c r="Q407" s="3">
        <v>0</v>
      </c>
      <c r="R407" s="3">
        <f t="shared" si="220"/>
        <v>0</v>
      </c>
      <c r="S407" s="3">
        <v>0</v>
      </c>
      <c r="T407" s="3">
        <v>0</v>
      </c>
      <c r="U407" s="3">
        <v>0</v>
      </c>
      <c r="V407" s="6">
        <f t="shared" si="213"/>
        <v>5500</v>
      </c>
    </row>
    <row r="408" spans="1:22" ht="45" customHeight="1" x14ac:dyDescent="0.25">
      <c r="A408" s="56" t="s">
        <v>223</v>
      </c>
      <c r="B408" s="56"/>
      <c r="C408" s="2">
        <f>SUM(C409)</f>
        <v>4202040.5</v>
      </c>
      <c r="D408" s="2">
        <f t="shared" ref="D408:U408" si="223">SUM(D409)</f>
        <v>189220.5</v>
      </c>
      <c r="E408" s="2">
        <f t="shared" si="223"/>
        <v>189220.5</v>
      </c>
      <c r="F408" s="2">
        <f t="shared" si="223"/>
        <v>0</v>
      </c>
      <c r="G408" s="2">
        <f t="shared" si="223"/>
        <v>0</v>
      </c>
      <c r="H408" s="2">
        <f t="shared" si="223"/>
        <v>0</v>
      </c>
      <c r="I408" s="2">
        <f t="shared" si="223"/>
        <v>0</v>
      </c>
      <c r="J408" s="2">
        <f t="shared" si="223"/>
        <v>0</v>
      </c>
      <c r="K408" s="14">
        <f t="shared" si="223"/>
        <v>0</v>
      </c>
      <c r="L408" s="2">
        <f t="shared" si="223"/>
        <v>0</v>
      </c>
      <c r="M408" s="2">
        <f t="shared" si="223"/>
        <v>395.68</v>
      </c>
      <c r="N408" s="2">
        <f t="shared" si="223"/>
        <v>2176240</v>
      </c>
      <c r="O408" s="2">
        <f t="shared" si="223"/>
        <v>0</v>
      </c>
      <c r="P408" s="2">
        <f t="shared" si="223"/>
        <v>0</v>
      </c>
      <c r="Q408" s="2">
        <f t="shared" si="223"/>
        <v>526.08000000000004</v>
      </c>
      <c r="R408" s="2">
        <f t="shared" si="223"/>
        <v>1578240.0000000002</v>
      </c>
      <c r="S408" s="2">
        <f t="shared" si="223"/>
        <v>158340</v>
      </c>
      <c r="T408" s="2">
        <f t="shared" si="223"/>
        <v>0</v>
      </c>
      <c r="U408" s="2">
        <f t="shared" si="223"/>
        <v>100000</v>
      </c>
    </row>
    <row r="409" spans="1:22" ht="21.95" customHeight="1" x14ac:dyDescent="0.25">
      <c r="A409" s="37" t="s">
        <v>1961</v>
      </c>
      <c r="B409" s="8" t="s">
        <v>225</v>
      </c>
      <c r="C409" s="2">
        <f t="shared" si="175"/>
        <v>4202040.5</v>
      </c>
      <c r="D409" s="3">
        <f t="shared" ref="D409" si="224">SUM(E409:J409)</f>
        <v>189220.5</v>
      </c>
      <c r="E409" s="3">
        <f>350*540.63</f>
        <v>189220.5</v>
      </c>
      <c r="F409" s="3">
        <f>1050*0</f>
        <v>0</v>
      </c>
      <c r="G409" s="3">
        <f>300*0</f>
        <v>0</v>
      </c>
      <c r="H409" s="3">
        <f>400*0</f>
        <v>0</v>
      </c>
      <c r="I409" s="3">
        <f>250*0</f>
        <v>0</v>
      </c>
      <c r="J409" s="3">
        <f>350*0</f>
        <v>0</v>
      </c>
      <c r="K409" s="4">
        <v>0</v>
      </c>
      <c r="L409" s="3">
        <v>0</v>
      </c>
      <c r="M409" s="3">
        <v>395.68</v>
      </c>
      <c r="N409" s="3">
        <f t="shared" ref="N409" si="225">M409*5500</f>
        <v>2176240</v>
      </c>
      <c r="O409" s="3">
        <v>0</v>
      </c>
      <c r="P409" s="3">
        <v>0</v>
      </c>
      <c r="Q409" s="3">
        <v>526.08000000000004</v>
      </c>
      <c r="R409" s="3">
        <f>Q409*3000</f>
        <v>1578240.0000000002</v>
      </c>
      <c r="S409" s="3">
        <v>158340</v>
      </c>
      <c r="T409" s="3">
        <v>0</v>
      </c>
      <c r="U409" s="3">
        <v>100000</v>
      </c>
      <c r="V409" s="6">
        <f t="shared" ref="V409" si="226">N409/M409</f>
        <v>5500</v>
      </c>
    </row>
    <row r="410" spans="1:22" ht="45" customHeight="1" x14ac:dyDescent="0.25">
      <c r="A410" s="56" t="s">
        <v>222</v>
      </c>
      <c r="B410" s="56"/>
      <c r="C410" s="2">
        <f>SUM(C411:C419)</f>
        <v>29337050.77</v>
      </c>
      <c r="D410" s="2">
        <f t="shared" ref="D410:U410" si="227">SUM(D411:D419)</f>
        <v>9580180.5</v>
      </c>
      <c r="E410" s="2">
        <f t="shared" si="227"/>
        <v>1573229</v>
      </c>
      <c r="F410" s="2">
        <f t="shared" si="227"/>
        <v>4719687</v>
      </c>
      <c r="G410" s="2">
        <f t="shared" si="227"/>
        <v>1348482</v>
      </c>
      <c r="H410" s="2">
        <f t="shared" si="227"/>
        <v>1053300</v>
      </c>
      <c r="I410" s="2">
        <f t="shared" si="227"/>
        <v>885482.5</v>
      </c>
      <c r="J410" s="2">
        <f t="shared" si="227"/>
        <v>0</v>
      </c>
      <c r="K410" s="14">
        <f t="shared" si="227"/>
        <v>0</v>
      </c>
      <c r="L410" s="2">
        <f t="shared" si="227"/>
        <v>0</v>
      </c>
      <c r="M410" s="2">
        <f t="shared" si="227"/>
        <v>2113.77</v>
      </c>
      <c r="N410" s="2">
        <f t="shared" si="227"/>
        <v>11625735</v>
      </c>
      <c r="O410" s="2">
        <f t="shared" si="227"/>
        <v>0</v>
      </c>
      <c r="P410" s="2">
        <f t="shared" si="227"/>
        <v>0</v>
      </c>
      <c r="Q410" s="2">
        <f t="shared" si="227"/>
        <v>2193.38</v>
      </c>
      <c r="R410" s="2">
        <f t="shared" si="227"/>
        <v>6580140</v>
      </c>
      <c r="S410" s="2">
        <f t="shared" si="227"/>
        <v>300300</v>
      </c>
      <c r="T410" s="2">
        <f t="shared" si="227"/>
        <v>0</v>
      </c>
      <c r="U410" s="2">
        <f t="shared" si="227"/>
        <v>1250695.27</v>
      </c>
    </row>
    <row r="411" spans="1:22" ht="21.95" customHeight="1" x14ac:dyDescent="0.25">
      <c r="A411" s="37" t="s">
        <v>1962</v>
      </c>
      <c r="B411" s="8" t="s">
        <v>213</v>
      </c>
      <c r="C411" s="2">
        <f t="shared" si="175"/>
        <v>4906582</v>
      </c>
      <c r="D411" s="3">
        <f t="shared" ref="D411:D419" si="228">SUM(E411:J411)</f>
        <v>1003017</v>
      </c>
      <c r="E411" s="3">
        <f>350*590.01</f>
        <v>206503.5</v>
      </c>
      <c r="F411" s="3">
        <f>1050*590.01</f>
        <v>619510.5</v>
      </c>
      <c r="G411" s="3">
        <f>300*590.01</f>
        <v>177003</v>
      </c>
      <c r="H411" s="3">
        <f>400*0</f>
        <v>0</v>
      </c>
      <c r="I411" s="3">
        <f>250*0</f>
        <v>0</v>
      </c>
      <c r="J411" s="3">
        <f t="shared" ref="J411:J416" si="229">350*0</f>
        <v>0</v>
      </c>
      <c r="K411" s="4">
        <v>0</v>
      </c>
      <c r="L411" s="3">
        <v>0</v>
      </c>
      <c r="M411" s="5">
        <v>432.03</v>
      </c>
      <c r="N411" s="3">
        <f t="shared" ref="N411:N417" si="230">M411*5500</f>
        <v>2376165</v>
      </c>
      <c r="O411" s="3">
        <v>0</v>
      </c>
      <c r="P411" s="3">
        <v>0</v>
      </c>
      <c r="Q411" s="3">
        <v>475.8</v>
      </c>
      <c r="R411" s="3">
        <f t="shared" ref="R411:R419" si="231">Q411*3000</f>
        <v>1427400</v>
      </c>
      <c r="S411" s="3">
        <v>0</v>
      </c>
      <c r="T411" s="3">
        <v>0</v>
      </c>
      <c r="U411" s="3">
        <v>100000</v>
      </c>
      <c r="V411" s="6">
        <f t="shared" ref="V411:V419" si="232">N411/M411</f>
        <v>5500</v>
      </c>
    </row>
    <row r="412" spans="1:22" ht="21.95" customHeight="1" x14ac:dyDescent="0.25">
      <c r="A412" s="37" t="s">
        <v>1963</v>
      </c>
      <c r="B412" s="8" t="s">
        <v>214</v>
      </c>
      <c r="C412" s="2">
        <f t="shared" si="175"/>
        <v>300000</v>
      </c>
      <c r="D412" s="3">
        <f t="shared" si="228"/>
        <v>0</v>
      </c>
      <c r="E412" s="3">
        <v>0</v>
      </c>
      <c r="F412" s="3">
        <v>0</v>
      </c>
      <c r="G412" s="3">
        <v>0</v>
      </c>
      <c r="H412" s="3">
        <f>400*0</f>
        <v>0</v>
      </c>
      <c r="I412" s="3">
        <f>250*0</f>
        <v>0</v>
      </c>
      <c r="J412" s="3">
        <f t="shared" si="229"/>
        <v>0</v>
      </c>
      <c r="K412" s="4">
        <v>0</v>
      </c>
      <c r="L412" s="3">
        <v>0</v>
      </c>
      <c r="M412" s="5">
        <v>0</v>
      </c>
      <c r="N412" s="3">
        <v>0</v>
      </c>
      <c r="O412" s="3">
        <v>0</v>
      </c>
      <c r="P412" s="3">
        <v>0</v>
      </c>
      <c r="Q412" s="3">
        <v>0</v>
      </c>
      <c r="R412" s="3">
        <f t="shared" si="231"/>
        <v>0</v>
      </c>
      <c r="S412" s="3">
        <v>0</v>
      </c>
      <c r="T412" s="3">
        <v>0</v>
      </c>
      <c r="U412" s="3">
        <v>300000</v>
      </c>
      <c r="V412" s="6" t="e">
        <f t="shared" si="232"/>
        <v>#DIV/0!</v>
      </c>
    </row>
    <row r="413" spans="1:22" ht="21.95" customHeight="1" x14ac:dyDescent="0.25">
      <c r="A413" s="37" t="s">
        <v>1964</v>
      </c>
      <c r="B413" s="8" t="s">
        <v>215</v>
      </c>
      <c r="C413" s="2">
        <f t="shared" si="175"/>
        <v>300000</v>
      </c>
      <c r="D413" s="3">
        <f t="shared" si="228"/>
        <v>0</v>
      </c>
      <c r="E413" s="3">
        <v>0</v>
      </c>
      <c r="F413" s="3">
        <v>0</v>
      </c>
      <c r="G413" s="3">
        <v>0</v>
      </c>
      <c r="H413" s="3">
        <f>400*0</f>
        <v>0</v>
      </c>
      <c r="I413" s="3">
        <f>250*0</f>
        <v>0</v>
      </c>
      <c r="J413" s="3">
        <f t="shared" si="229"/>
        <v>0</v>
      </c>
      <c r="K413" s="11">
        <v>0</v>
      </c>
      <c r="L413" s="5">
        <v>0</v>
      </c>
      <c r="M413" s="5">
        <v>0</v>
      </c>
      <c r="N413" s="3">
        <v>0</v>
      </c>
      <c r="O413" s="5">
        <v>0</v>
      </c>
      <c r="P413" s="5">
        <v>0</v>
      </c>
      <c r="Q413" s="5">
        <v>0</v>
      </c>
      <c r="R413" s="3">
        <f t="shared" si="231"/>
        <v>0</v>
      </c>
      <c r="S413" s="5">
        <v>0</v>
      </c>
      <c r="T413" s="3">
        <v>0</v>
      </c>
      <c r="U413" s="5">
        <v>300000</v>
      </c>
      <c r="V413" s="6" t="e">
        <f t="shared" si="232"/>
        <v>#DIV/0!</v>
      </c>
    </row>
    <row r="414" spans="1:22" ht="21.95" customHeight="1" x14ac:dyDescent="0.25">
      <c r="A414" s="37" t="s">
        <v>1965</v>
      </c>
      <c r="B414" s="8" t="s">
        <v>216</v>
      </c>
      <c r="C414" s="2">
        <f t="shared" si="175"/>
        <v>4183820</v>
      </c>
      <c r="D414" s="3">
        <f t="shared" si="228"/>
        <v>617100</v>
      </c>
      <c r="E414" s="3">
        <f>350*363</f>
        <v>127050</v>
      </c>
      <c r="F414" s="3">
        <f>1050*363</f>
        <v>381150</v>
      </c>
      <c r="G414" s="3">
        <f>300*363</f>
        <v>108900</v>
      </c>
      <c r="H414" s="3">
        <f>400*0</f>
        <v>0</v>
      </c>
      <c r="I414" s="3">
        <f>250*0</f>
        <v>0</v>
      </c>
      <c r="J414" s="3">
        <f t="shared" si="229"/>
        <v>0</v>
      </c>
      <c r="K414" s="4">
        <v>0</v>
      </c>
      <c r="L414" s="3">
        <v>0</v>
      </c>
      <c r="M414" s="3">
        <v>472.36</v>
      </c>
      <c r="N414" s="3">
        <f t="shared" si="230"/>
        <v>2597980</v>
      </c>
      <c r="O414" s="3">
        <v>0</v>
      </c>
      <c r="P414" s="3">
        <v>0</v>
      </c>
      <c r="Q414" s="3">
        <v>289.58</v>
      </c>
      <c r="R414" s="3">
        <f t="shared" si="231"/>
        <v>868740</v>
      </c>
      <c r="S414" s="3">
        <v>0</v>
      </c>
      <c r="T414" s="3">
        <v>0</v>
      </c>
      <c r="U414" s="3">
        <v>100000</v>
      </c>
      <c r="V414" s="6">
        <f t="shared" si="232"/>
        <v>5500</v>
      </c>
    </row>
    <row r="415" spans="1:22" ht="21.95" customHeight="1" x14ac:dyDescent="0.25">
      <c r="A415" s="37" t="s">
        <v>1966</v>
      </c>
      <c r="B415" s="8" t="s">
        <v>217</v>
      </c>
      <c r="C415" s="2">
        <f t="shared" si="175"/>
        <v>5314806</v>
      </c>
      <c r="D415" s="3">
        <f t="shared" si="228"/>
        <v>998166</v>
      </c>
      <c r="E415" s="3">
        <f>350*511.88</f>
        <v>179158</v>
      </c>
      <c r="F415" s="3">
        <f>1050*511.88</f>
        <v>537474</v>
      </c>
      <c r="G415" s="3">
        <f>300*511.88</f>
        <v>153564</v>
      </c>
      <c r="H415" s="3">
        <v>0</v>
      </c>
      <c r="I415" s="3">
        <f>250*511.88</f>
        <v>127970</v>
      </c>
      <c r="J415" s="3">
        <f t="shared" si="229"/>
        <v>0</v>
      </c>
      <c r="K415" s="4">
        <v>0</v>
      </c>
      <c r="L415" s="3">
        <v>0</v>
      </c>
      <c r="M415" s="3">
        <v>487.88</v>
      </c>
      <c r="N415" s="3">
        <f t="shared" si="230"/>
        <v>2683340</v>
      </c>
      <c r="O415" s="3">
        <v>0</v>
      </c>
      <c r="P415" s="3">
        <v>0</v>
      </c>
      <c r="Q415" s="3">
        <v>457.2</v>
      </c>
      <c r="R415" s="3">
        <f t="shared" si="231"/>
        <v>1371600</v>
      </c>
      <c r="S415" s="3">
        <v>161700</v>
      </c>
      <c r="T415" s="3">
        <v>0</v>
      </c>
      <c r="U415" s="3">
        <v>100000</v>
      </c>
      <c r="V415" s="6">
        <f t="shared" si="232"/>
        <v>5500</v>
      </c>
    </row>
    <row r="416" spans="1:22" ht="21.95" customHeight="1" x14ac:dyDescent="0.25">
      <c r="A416" s="37" t="s">
        <v>1967</v>
      </c>
      <c r="B416" s="8" t="s">
        <v>218</v>
      </c>
      <c r="C416" s="2">
        <f t="shared" si="175"/>
        <v>4489610</v>
      </c>
      <c r="D416" s="3">
        <f t="shared" si="228"/>
        <v>773760</v>
      </c>
      <c r="E416" s="3">
        <f>350*396.8</f>
        <v>138880</v>
      </c>
      <c r="F416" s="3">
        <f>1050*396.8</f>
        <v>416640</v>
      </c>
      <c r="G416" s="3">
        <f>300*396.8</f>
        <v>119040</v>
      </c>
      <c r="H416" s="3">
        <v>0</v>
      </c>
      <c r="I416" s="3">
        <f>250*396.8</f>
        <v>99200</v>
      </c>
      <c r="J416" s="3">
        <f t="shared" si="229"/>
        <v>0</v>
      </c>
      <c r="K416" s="4">
        <v>0</v>
      </c>
      <c r="L416" s="3">
        <v>0</v>
      </c>
      <c r="M416" s="3">
        <v>371.5</v>
      </c>
      <c r="N416" s="3">
        <f t="shared" si="230"/>
        <v>2043250</v>
      </c>
      <c r="O416" s="3">
        <v>0</v>
      </c>
      <c r="P416" s="3">
        <v>0</v>
      </c>
      <c r="Q416" s="3">
        <v>478</v>
      </c>
      <c r="R416" s="3">
        <f t="shared" si="231"/>
        <v>1434000</v>
      </c>
      <c r="S416" s="3">
        <v>138600</v>
      </c>
      <c r="T416" s="3">
        <v>0</v>
      </c>
      <c r="U416" s="3">
        <v>100000</v>
      </c>
      <c r="V416" s="6">
        <f t="shared" si="232"/>
        <v>5500</v>
      </c>
    </row>
    <row r="417" spans="1:22" ht="21.95" customHeight="1" x14ac:dyDescent="0.25">
      <c r="A417" s="37" t="s">
        <v>1968</v>
      </c>
      <c r="B417" s="8" t="s">
        <v>1413</v>
      </c>
      <c r="C417" s="2">
        <f t="shared" si="175"/>
        <v>3403400</v>
      </c>
      <c r="D417" s="3">
        <f t="shared" si="228"/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4">
        <v>0</v>
      </c>
      <c r="L417" s="3">
        <v>0</v>
      </c>
      <c r="M417" s="3">
        <v>350</v>
      </c>
      <c r="N417" s="3">
        <f t="shared" si="230"/>
        <v>1925000</v>
      </c>
      <c r="O417" s="3">
        <v>0</v>
      </c>
      <c r="P417" s="3">
        <v>0</v>
      </c>
      <c r="Q417" s="3">
        <v>492.8</v>
      </c>
      <c r="R417" s="3">
        <f t="shared" si="231"/>
        <v>1478400</v>
      </c>
      <c r="S417" s="3">
        <v>0</v>
      </c>
      <c r="T417" s="3">
        <v>0</v>
      </c>
      <c r="U417" s="3">
        <v>0</v>
      </c>
      <c r="V417" s="6">
        <f t="shared" si="232"/>
        <v>5500</v>
      </c>
    </row>
    <row r="418" spans="1:22" ht="21.95" customHeight="1" x14ac:dyDescent="0.25">
      <c r="A418" s="37" t="s">
        <v>1969</v>
      </c>
      <c r="B418" s="8" t="s">
        <v>1534</v>
      </c>
      <c r="C418" s="2">
        <f t="shared" si="175"/>
        <v>3200647.32</v>
      </c>
      <c r="D418" s="3">
        <f t="shared" si="228"/>
        <v>3075586</v>
      </c>
      <c r="E418" s="3">
        <f>350*1308.76</f>
        <v>458066</v>
      </c>
      <c r="F418" s="3">
        <f>1050*1308.76</f>
        <v>1374198</v>
      </c>
      <c r="G418" s="3">
        <f>300*1308.76</f>
        <v>392628</v>
      </c>
      <c r="H418" s="3">
        <f>400*1308.76</f>
        <v>523504</v>
      </c>
      <c r="I418" s="3">
        <f>250*1308.76</f>
        <v>327190</v>
      </c>
      <c r="J418" s="3">
        <v>0</v>
      </c>
      <c r="K418" s="4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f t="shared" si="231"/>
        <v>0</v>
      </c>
      <c r="S418" s="3">
        <v>0</v>
      </c>
      <c r="T418" s="3">
        <v>0</v>
      </c>
      <c r="U418" s="3">
        <v>125061.32</v>
      </c>
      <c r="V418" s="6" t="e">
        <f t="shared" si="232"/>
        <v>#DIV/0!</v>
      </c>
    </row>
    <row r="419" spans="1:22" ht="21.95" customHeight="1" x14ac:dyDescent="0.25">
      <c r="A419" s="37" t="s">
        <v>1637</v>
      </c>
      <c r="B419" s="8" t="s">
        <v>1535</v>
      </c>
      <c r="C419" s="2">
        <f t="shared" si="175"/>
        <v>3238185.45</v>
      </c>
      <c r="D419" s="3">
        <f t="shared" si="228"/>
        <v>3112551.5</v>
      </c>
      <c r="E419" s="3">
        <f>350*1324.49</f>
        <v>463571.5</v>
      </c>
      <c r="F419" s="3">
        <f>1050*1324.49</f>
        <v>1390714.5</v>
      </c>
      <c r="G419" s="3">
        <f>300*1324.49</f>
        <v>397347</v>
      </c>
      <c r="H419" s="3">
        <f>400*1324.49</f>
        <v>529796</v>
      </c>
      <c r="I419" s="3">
        <f>250*1324.49</f>
        <v>331122.5</v>
      </c>
      <c r="J419" s="3">
        <v>0</v>
      </c>
      <c r="K419" s="4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f t="shared" si="231"/>
        <v>0</v>
      </c>
      <c r="S419" s="3">
        <v>0</v>
      </c>
      <c r="T419" s="3">
        <v>0</v>
      </c>
      <c r="U419" s="3">
        <v>125633.95</v>
      </c>
      <c r="V419" s="6" t="e">
        <f t="shared" si="232"/>
        <v>#DIV/0!</v>
      </c>
    </row>
    <row r="420" spans="1:22" ht="45" customHeight="1" x14ac:dyDescent="0.25">
      <c r="A420" s="56" t="s">
        <v>226</v>
      </c>
      <c r="B420" s="56"/>
      <c r="C420" s="2">
        <f>SUM(C421:C427)</f>
        <v>32627738.5</v>
      </c>
      <c r="D420" s="2">
        <f t="shared" ref="D420:U420" si="233">SUM(D421:D427)</f>
        <v>3662825</v>
      </c>
      <c r="E420" s="2">
        <f t="shared" si="233"/>
        <v>749385</v>
      </c>
      <c r="F420" s="2">
        <f t="shared" si="233"/>
        <v>1454460</v>
      </c>
      <c r="G420" s="2">
        <f t="shared" si="233"/>
        <v>558600</v>
      </c>
      <c r="H420" s="2">
        <f t="shared" si="233"/>
        <v>554080</v>
      </c>
      <c r="I420" s="2">
        <f t="shared" si="233"/>
        <v>346300</v>
      </c>
      <c r="J420" s="2">
        <f t="shared" si="233"/>
        <v>0</v>
      </c>
      <c r="K420" s="14">
        <f t="shared" si="233"/>
        <v>0</v>
      </c>
      <c r="L420" s="2">
        <f t="shared" si="233"/>
        <v>0</v>
      </c>
      <c r="M420" s="2">
        <f t="shared" si="233"/>
        <v>2922.94</v>
      </c>
      <c r="N420" s="2">
        <f t="shared" si="233"/>
        <v>15180507.5</v>
      </c>
      <c r="O420" s="2">
        <f t="shared" si="233"/>
        <v>0</v>
      </c>
      <c r="P420" s="2">
        <f t="shared" si="233"/>
        <v>0</v>
      </c>
      <c r="Q420" s="2">
        <f t="shared" si="233"/>
        <v>4088.44</v>
      </c>
      <c r="R420" s="2">
        <f t="shared" si="233"/>
        <v>12265320</v>
      </c>
      <c r="S420" s="2">
        <f t="shared" si="233"/>
        <v>919086</v>
      </c>
      <c r="T420" s="2">
        <f t="shared" si="233"/>
        <v>0</v>
      </c>
      <c r="U420" s="2">
        <f t="shared" si="233"/>
        <v>600000</v>
      </c>
    </row>
    <row r="421" spans="1:22" ht="21.95" customHeight="1" x14ac:dyDescent="0.25">
      <c r="A421" s="37" t="s">
        <v>839</v>
      </c>
      <c r="B421" s="8" t="s">
        <v>227</v>
      </c>
      <c r="C421" s="2">
        <f t="shared" si="175"/>
        <v>6722142</v>
      </c>
      <c r="D421" s="3">
        <f t="shared" ref="D421:D427" si="234">SUM(E421:J421)</f>
        <v>1627610</v>
      </c>
      <c r="E421" s="3">
        <f>350*692.6</f>
        <v>242410</v>
      </c>
      <c r="F421" s="3">
        <f>1050*692.6</f>
        <v>727230</v>
      </c>
      <c r="G421" s="3">
        <f>300*692.6</f>
        <v>207780</v>
      </c>
      <c r="H421" s="3">
        <f>400*692.6</f>
        <v>277040</v>
      </c>
      <c r="I421" s="3">
        <f>250*692.6</f>
        <v>173150</v>
      </c>
      <c r="J421" s="3">
        <f>350*0</f>
        <v>0</v>
      </c>
      <c r="K421" s="4">
        <v>0</v>
      </c>
      <c r="L421" s="3">
        <v>0</v>
      </c>
      <c r="M421" s="3">
        <v>525.6</v>
      </c>
      <c r="N421" s="3">
        <f>M421*5500</f>
        <v>2890800</v>
      </c>
      <c r="O421" s="3">
        <v>0</v>
      </c>
      <c r="P421" s="3">
        <v>0</v>
      </c>
      <c r="Q421" s="3">
        <v>639</v>
      </c>
      <c r="R421" s="3">
        <f t="shared" ref="R421:R427" si="235">Q421*3000</f>
        <v>1917000</v>
      </c>
      <c r="S421" s="3">
        <v>186732</v>
      </c>
      <c r="T421" s="3">
        <v>0</v>
      </c>
      <c r="U421" s="3">
        <v>100000</v>
      </c>
      <c r="V421" s="6">
        <f t="shared" ref="V421:V427" si="236">N421/M421</f>
        <v>5500</v>
      </c>
    </row>
    <row r="422" spans="1:22" ht="21.95" customHeight="1" x14ac:dyDescent="0.25">
      <c r="A422" s="37" t="s">
        <v>840</v>
      </c>
      <c r="B422" s="8" t="s">
        <v>228</v>
      </c>
      <c r="C422" s="2">
        <f t="shared" si="175"/>
        <v>6710000</v>
      </c>
      <c r="D422" s="3">
        <f t="shared" si="234"/>
        <v>1627610</v>
      </c>
      <c r="E422" s="3">
        <f>350*692.6</f>
        <v>242410</v>
      </c>
      <c r="F422" s="3">
        <f>1050*692.6</f>
        <v>727230</v>
      </c>
      <c r="G422" s="3">
        <f>300*692.6</f>
        <v>207780</v>
      </c>
      <c r="H422" s="3">
        <f>400*692.6</f>
        <v>277040</v>
      </c>
      <c r="I422" s="3">
        <f>250*692.6</f>
        <v>173150</v>
      </c>
      <c r="J422" s="3">
        <f>350*0</f>
        <v>0</v>
      </c>
      <c r="K422" s="4">
        <v>0</v>
      </c>
      <c r="L422" s="3">
        <v>0</v>
      </c>
      <c r="M422" s="3">
        <v>523.4</v>
      </c>
      <c r="N422" s="3">
        <f>M422*5500</f>
        <v>2878700</v>
      </c>
      <c r="O422" s="3">
        <v>0</v>
      </c>
      <c r="P422" s="3">
        <v>0</v>
      </c>
      <c r="Q422" s="3">
        <v>639</v>
      </c>
      <c r="R422" s="3">
        <f t="shared" si="235"/>
        <v>1917000</v>
      </c>
      <c r="S422" s="3">
        <v>186690</v>
      </c>
      <c r="T422" s="3">
        <v>0</v>
      </c>
      <c r="U422" s="3">
        <v>100000</v>
      </c>
      <c r="V422" s="6">
        <f t="shared" si="236"/>
        <v>5500</v>
      </c>
    </row>
    <row r="423" spans="1:22" ht="21.95" customHeight="1" x14ac:dyDescent="0.25">
      <c r="A423" s="37" t="s">
        <v>841</v>
      </c>
      <c r="B423" s="8" t="s">
        <v>232</v>
      </c>
      <c r="C423" s="2">
        <f t="shared" si="175"/>
        <v>4758880</v>
      </c>
      <c r="D423" s="3">
        <f t="shared" si="234"/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4">
        <v>0</v>
      </c>
      <c r="L423" s="3">
        <v>0</v>
      </c>
      <c r="M423" s="3">
        <v>459.48</v>
      </c>
      <c r="N423" s="3">
        <f t="shared" ref="N423" si="237">M423*5500</f>
        <v>2527140</v>
      </c>
      <c r="O423" s="3">
        <v>0</v>
      </c>
      <c r="P423" s="3">
        <v>0</v>
      </c>
      <c r="Q423" s="3">
        <v>648</v>
      </c>
      <c r="R423" s="3">
        <f t="shared" si="235"/>
        <v>1944000</v>
      </c>
      <c r="S423" s="3">
        <v>187740</v>
      </c>
      <c r="T423" s="3">
        <v>0</v>
      </c>
      <c r="U423" s="3">
        <v>100000</v>
      </c>
      <c r="V423" s="6">
        <f t="shared" si="236"/>
        <v>5500</v>
      </c>
    </row>
    <row r="424" spans="1:22" ht="21.95" customHeight="1" x14ac:dyDescent="0.25">
      <c r="A424" s="37" t="s">
        <v>842</v>
      </c>
      <c r="B424" s="8" t="s">
        <v>235</v>
      </c>
      <c r="C424" s="2">
        <f t="shared" si="175"/>
        <v>4003590</v>
      </c>
      <c r="D424" s="3">
        <f t="shared" si="234"/>
        <v>309920</v>
      </c>
      <c r="E424" s="3">
        <f>350*476.8</f>
        <v>166880</v>
      </c>
      <c r="F424" s="3">
        <v>0</v>
      </c>
      <c r="G424" s="3">
        <f>300*476.8</f>
        <v>143040</v>
      </c>
      <c r="H424" s="3">
        <v>0</v>
      </c>
      <c r="I424" s="3">
        <v>0</v>
      </c>
      <c r="J424" s="3">
        <f>350*0</f>
        <v>0</v>
      </c>
      <c r="K424" s="4">
        <v>0</v>
      </c>
      <c r="L424" s="3">
        <v>0</v>
      </c>
      <c r="M424" s="3">
        <v>365.4</v>
      </c>
      <c r="N424" s="3">
        <f t="shared" ref="N424" si="238">M424*5500</f>
        <v>2009699.9999999998</v>
      </c>
      <c r="O424" s="3">
        <v>0</v>
      </c>
      <c r="P424" s="3">
        <v>0</v>
      </c>
      <c r="Q424" s="3">
        <v>482</v>
      </c>
      <c r="R424" s="3">
        <f t="shared" si="235"/>
        <v>1446000</v>
      </c>
      <c r="S424" s="3">
        <v>137970</v>
      </c>
      <c r="T424" s="3">
        <v>0</v>
      </c>
      <c r="U424" s="3">
        <v>100000</v>
      </c>
      <c r="V424" s="6">
        <f t="shared" si="236"/>
        <v>5500</v>
      </c>
    </row>
    <row r="425" spans="1:22" ht="21.95" customHeight="1" x14ac:dyDescent="0.25">
      <c r="A425" s="37" t="s">
        <v>843</v>
      </c>
      <c r="B425" s="8" t="s">
        <v>238</v>
      </c>
      <c r="C425" s="2">
        <f t="shared" si="175"/>
        <v>3955890</v>
      </c>
      <c r="D425" s="3">
        <f t="shared" si="234"/>
        <v>97685.000000000015</v>
      </c>
      <c r="E425" s="3">
        <f>350*279.1</f>
        <v>97685.000000000015</v>
      </c>
      <c r="F425" s="3">
        <f>800*0</f>
        <v>0</v>
      </c>
      <c r="G425" s="3">
        <v>0</v>
      </c>
      <c r="H425" s="3">
        <f>400*0</f>
        <v>0</v>
      </c>
      <c r="I425" s="3">
        <v>0</v>
      </c>
      <c r="J425" s="3">
        <v>0</v>
      </c>
      <c r="K425" s="4">
        <v>0</v>
      </c>
      <c r="L425" s="3">
        <v>0</v>
      </c>
      <c r="M425" s="3">
        <v>351.87</v>
      </c>
      <c r="N425" s="3">
        <f t="shared" ref="N425" si="239">M425*5500</f>
        <v>1935285</v>
      </c>
      <c r="O425" s="3">
        <v>0</v>
      </c>
      <c r="P425" s="3">
        <v>0</v>
      </c>
      <c r="Q425" s="3">
        <v>568.44000000000005</v>
      </c>
      <c r="R425" s="3">
        <f t="shared" si="235"/>
        <v>1705320.0000000002</v>
      </c>
      <c r="S425" s="3">
        <v>117600</v>
      </c>
      <c r="T425" s="3">
        <v>0</v>
      </c>
      <c r="U425" s="3">
        <v>100000</v>
      </c>
      <c r="V425" s="6">
        <f t="shared" si="236"/>
        <v>5500</v>
      </c>
    </row>
    <row r="426" spans="1:22" ht="21.95" customHeight="1" x14ac:dyDescent="0.25">
      <c r="A426" s="37" t="s">
        <v>844</v>
      </c>
      <c r="B426" s="8" t="s">
        <v>1353</v>
      </c>
      <c r="C426" s="2">
        <f t="shared" ref="C426:C502" si="240">D426+L426+N426+P426+R426+S426+T426+U426</f>
        <v>3985962.5</v>
      </c>
      <c r="D426" s="3">
        <f t="shared" si="234"/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4">
        <v>0</v>
      </c>
      <c r="L426" s="3">
        <v>0</v>
      </c>
      <c r="M426" s="3">
        <v>493.75</v>
      </c>
      <c r="N426" s="3">
        <f>M426*3686</f>
        <v>1819962.5</v>
      </c>
      <c r="O426" s="3">
        <v>0</v>
      </c>
      <c r="P426" s="3">
        <v>0</v>
      </c>
      <c r="Q426" s="3">
        <v>722</v>
      </c>
      <c r="R426" s="3">
        <f t="shared" si="235"/>
        <v>2166000</v>
      </c>
      <c r="S426" s="3">
        <v>0</v>
      </c>
      <c r="T426" s="3">
        <v>0</v>
      </c>
      <c r="U426" s="3">
        <v>0</v>
      </c>
      <c r="V426" s="6">
        <f t="shared" si="236"/>
        <v>3686</v>
      </c>
    </row>
    <row r="427" spans="1:22" ht="21.95" customHeight="1" x14ac:dyDescent="0.25">
      <c r="A427" s="37" t="s">
        <v>845</v>
      </c>
      <c r="B427" s="8" t="s">
        <v>240</v>
      </c>
      <c r="C427" s="2">
        <f t="shared" si="240"/>
        <v>2491274</v>
      </c>
      <c r="D427" s="3">
        <f t="shared" si="234"/>
        <v>0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4">
        <v>0</v>
      </c>
      <c r="L427" s="3">
        <v>0</v>
      </c>
      <c r="M427" s="3">
        <v>203.44</v>
      </c>
      <c r="N427" s="3">
        <f t="shared" ref="N427" si="241">M427*5500</f>
        <v>1118920</v>
      </c>
      <c r="O427" s="3">
        <v>0</v>
      </c>
      <c r="P427" s="3">
        <v>0</v>
      </c>
      <c r="Q427" s="3">
        <v>390</v>
      </c>
      <c r="R427" s="3">
        <f t="shared" si="235"/>
        <v>1170000</v>
      </c>
      <c r="S427" s="3">
        <v>102354</v>
      </c>
      <c r="T427" s="3">
        <v>0</v>
      </c>
      <c r="U427" s="3">
        <v>100000</v>
      </c>
      <c r="V427" s="6">
        <f t="shared" si="236"/>
        <v>5500</v>
      </c>
    </row>
    <row r="428" spans="1:22" ht="45" customHeight="1" x14ac:dyDescent="0.25">
      <c r="A428" s="56" t="s">
        <v>1562</v>
      </c>
      <c r="B428" s="56"/>
      <c r="C428" s="2">
        <f>SUM(C429)</f>
        <v>3462550</v>
      </c>
      <c r="D428" s="2">
        <f t="shared" ref="D428:U428" si="242">SUM(D429)</f>
        <v>0</v>
      </c>
      <c r="E428" s="2">
        <f t="shared" si="242"/>
        <v>0</v>
      </c>
      <c r="F428" s="2">
        <f t="shared" si="242"/>
        <v>0</v>
      </c>
      <c r="G428" s="2">
        <f t="shared" si="242"/>
        <v>0</v>
      </c>
      <c r="H428" s="2">
        <f t="shared" si="242"/>
        <v>0</v>
      </c>
      <c r="I428" s="2">
        <f t="shared" si="242"/>
        <v>0</v>
      </c>
      <c r="J428" s="2">
        <f t="shared" si="242"/>
        <v>0</v>
      </c>
      <c r="K428" s="14">
        <f t="shared" si="242"/>
        <v>0</v>
      </c>
      <c r="L428" s="2">
        <f t="shared" si="242"/>
        <v>0</v>
      </c>
      <c r="M428" s="2">
        <f t="shared" si="242"/>
        <v>360.1</v>
      </c>
      <c r="N428" s="2">
        <f t="shared" si="242"/>
        <v>1980550.0000000002</v>
      </c>
      <c r="O428" s="2">
        <f t="shared" si="242"/>
        <v>0</v>
      </c>
      <c r="P428" s="2">
        <f t="shared" si="242"/>
        <v>0</v>
      </c>
      <c r="Q428" s="2">
        <f t="shared" si="242"/>
        <v>494</v>
      </c>
      <c r="R428" s="2">
        <f t="shared" si="242"/>
        <v>1482000</v>
      </c>
      <c r="S428" s="2">
        <f t="shared" si="242"/>
        <v>0</v>
      </c>
      <c r="T428" s="2">
        <f t="shared" si="242"/>
        <v>0</v>
      </c>
      <c r="U428" s="2">
        <f t="shared" si="242"/>
        <v>0</v>
      </c>
      <c r="V428" s="18">
        <f>C428</f>
        <v>3462550</v>
      </c>
    </row>
    <row r="429" spans="1:22" ht="21.95" customHeight="1" x14ac:dyDescent="0.25">
      <c r="A429" s="37" t="s">
        <v>846</v>
      </c>
      <c r="B429" s="8" t="s">
        <v>1354</v>
      </c>
      <c r="C429" s="2">
        <f t="shared" si="240"/>
        <v>3462550</v>
      </c>
      <c r="D429" s="3">
        <f t="shared" ref="D429" si="243">SUM(E429:J429)</f>
        <v>0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4">
        <v>0</v>
      </c>
      <c r="L429" s="3">
        <v>0</v>
      </c>
      <c r="M429" s="3">
        <v>360.1</v>
      </c>
      <c r="N429" s="3">
        <f t="shared" ref="N429" si="244">M429*5500</f>
        <v>1980550.0000000002</v>
      </c>
      <c r="O429" s="3">
        <v>0</v>
      </c>
      <c r="P429" s="3">
        <v>0</v>
      </c>
      <c r="Q429" s="3">
        <v>494</v>
      </c>
      <c r="R429" s="3">
        <f>Q429*3000</f>
        <v>1482000</v>
      </c>
      <c r="S429" s="3">
        <v>0</v>
      </c>
      <c r="T429" s="3">
        <v>0</v>
      </c>
      <c r="U429" s="3">
        <v>0</v>
      </c>
      <c r="V429" s="6">
        <f t="shared" ref="V429" si="245">N429/M429</f>
        <v>5500</v>
      </c>
    </row>
    <row r="430" spans="1:22" ht="45" customHeight="1" x14ac:dyDescent="0.25">
      <c r="A430" s="56" t="s">
        <v>243</v>
      </c>
      <c r="B430" s="56"/>
      <c r="C430" s="2">
        <f>SUM(C431)</f>
        <v>5815810</v>
      </c>
      <c r="D430" s="2">
        <f t="shared" ref="D430:U430" si="246">SUM(D431)</f>
        <v>1002510</v>
      </c>
      <c r="E430" s="2">
        <f t="shared" si="246"/>
        <v>389865.00000000006</v>
      </c>
      <c r="F430" s="2">
        <f t="shared" si="246"/>
        <v>0</v>
      </c>
      <c r="G430" s="2">
        <f t="shared" si="246"/>
        <v>334170</v>
      </c>
      <c r="H430" s="2">
        <f t="shared" si="246"/>
        <v>0</v>
      </c>
      <c r="I430" s="2">
        <f t="shared" si="246"/>
        <v>278475</v>
      </c>
      <c r="J430" s="2">
        <f t="shared" si="246"/>
        <v>0</v>
      </c>
      <c r="K430" s="14">
        <f t="shared" si="246"/>
        <v>0</v>
      </c>
      <c r="L430" s="2">
        <f t="shared" si="246"/>
        <v>0</v>
      </c>
      <c r="M430" s="2">
        <f t="shared" si="246"/>
        <v>0</v>
      </c>
      <c r="N430" s="2">
        <f t="shared" si="246"/>
        <v>0</v>
      </c>
      <c r="O430" s="2">
        <f t="shared" si="246"/>
        <v>0</v>
      </c>
      <c r="P430" s="2">
        <f t="shared" si="246"/>
        <v>0</v>
      </c>
      <c r="Q430" s="2">
        <f t="shared" si="246"/>
        <v>985.9</v>
      </c>
      <c r="R430" s="2">
        <f t="shared" si="246"/>
        <v>2957700</v>
      </c>
      <c r="S430" s="2">
        <f t="shared" si="246"/>
        <v>1755600</v>
      </c>
      <c r="T430" s="2">
        <f t="shared" si="246"/>
        <v>0</v>
      </c>
      <c r="U430" s="2">
        <f t="shared" si="246"/>
        <v>100000</v>
      </c>
      <c r="V430" s="18">
        <f>C430</f>
        <v>5815810</v>
      </c>
    </row>
    <row r="431" spans="1:22" ht="21.95" customHeight="1" x14ac:dyDescent="0.25">
      <c r="A431" s="37" t="s">
        <v>847</v>
      </c>
      <c r="B431" s="8" t="s">
        <v>241</v>
      </c>
      <c r="C431" s="2">
        <f t="shared" si="240"/>
        <v>5815810</v>
      </c>
      <c r="D431" s="3">
        <f t="shared" ref="D431" si="247">SUM(E431:J431)</f>
        <v>1002510</v>
      </c>
      <c r="E431" s="3">
        <f>350*1113.9</f>
        <v>389865.00000000006</v>
      </c>
      <c r="F431" s="3">
        <v>0</v>
      </c>
      <c r="G431" s="3">
        <f>300*1113.9</f>
        <v>334170</v>
      </c>
      <c r="H431" s="3">
        <v>0</v>
      </c>
      <c r="I431" s="3">
        <f>250*1113.9</f>
        <v>278475</v>
      </c>
      <c r="J431" s="3">
        <f>350*0</f>
        <v>0</v>
      </c>
      <c r="K431" s="4">
        <v>0</v>
      </c>
      <c r="L431" s="3">
        <v>0</v>
      </c>
      <c r="M431" s="3">
        <v>0</v>
      </c>
      <c r="N431" s="3">
        <f t="shared" ref="N431" si="248">M431*5500</f>
        <v>0</v>
      </c>
      <c r="O431" s="3">
        <v>0</v>
      </c>
      <c r="P431" s="3">
        <v>0</v>
      </c>
      <c r="Q431" s="3">
        <v>985.9</v>
      </c>
      <c r="R431" s="3">
        <f>Q431*3000</f>
        <v>2957700</v>
      </c>
      <c r="S431" s="3">
        <v>1755600</v>
      </c>
      <c r="T431" s="3">
        <v>0</v>
      </c>
      <c r="U431" s="3">
        <v>100000</v>
      </c>
      <c r="V431" s="6" t="e">
        <f t="shared" ref="V431" si="249">N431/M431</f>
        <v>#DIV/0!</v>
      </c>
    </row>
    <row r="432" spans="1:22" ht="45" customHeight="1" x14ac:dyDescent="0.25">
      <c r="A432" s="56" t="s">
        <v>268</v>
      </c>
      <c r="B432" s="56"/>
      <c r="C432" s="2">
        <f>SUM(C433:C450)</f>
        <v>144430871.86000001</v>
      </c>
      <c r="D432" s="2">
        <f t="shared" ref="D432:U432" si="250">SUM(D433:D450)</f>
        <v>36060225.519999996</v>
      </c>
      <c r="E432" s="2">
        <f t="shared" si="250"/>
        <v>6391302.6100000003</v>
      </c>
      <c r="F432" s="2">
        <f t="shared" si="250"/>
        <v>19512240.379999999</v>
      </c>
      <c r="G432" s="2">
        <f t="shared" si="250"/>
        <v>5469901.9199999999</v>
      </c>
      <c r="H432" s="2">
        <f t="shared" si="250"/>
        <v>0</v>
      </c>
      <c r="I432" s="2">
        <f t="shared" si="250"/>
        <v>4686780.6100000003</v>
      </c>
      <c r="J432" s="2">
        <f t="shared" si="250"/>
        <v>0</v>
      </c>
      <c r="K432" s="14">
        <f t="shared" si="250"/>
        <v>0</v>
      </c>
      <c r="L432" s="2">
        <f t="shared" si="250"/>
        <v>0</v>
      </c>
      <c r="M432" s="2">
        <f t="shared" si="250"/>
        <v>11631.6</v>
      </c>
      <c r="N432" s="2">
        <f t="shared" si="250"/>
        <v>54920708.890000008</v>
      </c>
      <c r="O432" s="2">
        <f t="shared" si="250"/>
        <v>1126.7</v>
      </c>
      <c r="P432" s="2">
        <f t="shared" si="250"/>
        <v>1589517.5899999999</v>
      </c>
      <c r="Q432" s="2">
        <f t="shared" si="250"/>
        <v>16579.3</v>
      </c>
      <c r="R432" s="2">
        <f t="shared" si="250"/>
        <v>49691347.189999998</v>
      </c>
      <c r="S432" s="2">
        <f t="shared" si="250"/>
        <v>0</v>
      </c>
      <c r="T432" s="2">
        <f t="shared" si="250"/>
        <v>0</v>
      </c>
      <c r="U432" s="2">
        <f t="shared" si="250"/>
        <v>2169072.67</v>
      </c>
    </row>
    <row r="433" spans="1:22" ht="24.95" customHeight="1" x14ac:dyDescent="0.25">
      <c r="A433" s="37" t="s">
        <v>848</v>
      </c>
      <c r="B433" s="8" t="s">
        <v>1546</v>
      </c>
      <c r="C433" s="2">
        <f t="shared" si="240"/>
        <v>462448.03</v>
      </c>
      <c r="D433" s="3">
        <f t="shared" ref="D433:D450" si="251">SUM(E433:J433)</f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11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3">
        <f t="shared" ref="R433:R450" si="252">Q433*3000</f>
        <v>0</v>
      </c>
      <c r="S433" s="5">
        <v>0</v>
      </c>
      <c r="T433" s="5">
        <v>0</v>
      </c>
      <c r="U433" s="5">
        <v>462448.03</v>
      </c>
      <c r="V433" s="6" t="e">
        <f t="shared" ref="V433:V450" si="253">N433/M433</f>
        <v>#DIV/0!</v>
      </c>
    </row>
    <row r="434" spans="1:22" ht="21.95" customHeight="1" x14ac:dyDescent="0.25">
      <c r="A434" s="37" t="s">
        <v>849</v>
      </c>
      <c r="B434" s="22" t="s">
        <v>246</v>
      </c>
      <c r="C434" s="2">
        <f t="shared" si="240"/>
        <v>12669163.460000001</v>
      </c>
      <c r="D434" s="3">
        <f t="shared" ref="D434" si="254">SUM(E434:J434)</f>
        <v>3432256.84</v>
      </c>
      <c r="E434" s="3">
        <v>576976.62</v>
      </c>
      <c r="F434" s="3">
        <v>1875629.43</v>
      </c>
      <c r="G434" s="3">
        <v>500873.7</v>
      </c>
      <c r="H434" s="3">
        <f>500*0</f>
        <v>0</v>
      </c>
      <c r="I434" s="3">
        <v>478777.09</v>
      </c>
      <c r="J434" s="3">
        <f>350*0</f>
        <v>0</v>
      </c>
      <c r="K434" s="4">
        <v>0</v>
      </c>
      <c r="L434" s="3">
        <v>0</v>
      </c>
      <c r="M434" s="3">
        <v>899</v>
      </c>
      <c r="N434" s="3">
        <v>5452007.96</v>
      </c>
      <c r="O434" s="3">
        <v>49.2</v>
      </c>
      <c r="P434" s="3">
        <v>163261.59</v>
      </c>
      <c r="Q434" s="3">
        <v>1215</v>
      </c>
      <c r="R434" s="3">
        <v>3621637.07</v>
      </c>
      <c r="S434" s="3">
        <v>0</v>
      </c>
      <c r="T434" s="3">
        <v>0</v>
      </c>
      <c r="U434" s="3">
        <v>0</v>
      </c>
      <c r="V434" s="6">
        <f t="shared" si="253"/>
        <v>6064.5249833147946</v>
      </c>
    </row>
    <row r="435" spans="1:22" ht="21.95" customHeight="1" x14ac:dyDescent="0.25">
      <c r="A435" s="37" t="s">
        <v>850</v>
      </c>
      <c r="B435" s="8" t="s">
        <v>248</v>
      </c>
      <c r="C435" s="2">
        <f t="shared" si="240"/>
        <v>10848884</v>
      </c>
      <c r="D435" s="3">
        <f t="shared" ref="D435" si="255">SUM(E435:J435)</f>
        <v>0</v>
      </c>
      <c r="E435" s="3">
        <v>0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4">
        <v>0</v>
      </c>
      <c r="L435" s="3">
        <v>0</v>
      </c>
      <c r="M435" s="3">
        <v>994</v>
      </c>
      <c r="N435" s="3">
        <f>M435*3686</f>
        <v>3663884</v>
      </c>
      <c r="O435" s="3">
        <v>0</v>
      </c>
      <c r="P435" s="3">
        <v>0</v>
      </c>
      <c r="Q435" s="3">
        <v>2395</v>
      </c>
      <c r="R435" s="3">
        <f>Q435*3000</f>
        <v>7185000</v>
      </c>
      <c r="S435" s="3">
        <v>0</v>
      </c>
      <c r="T435" s="3">
        <v>0</v>
      </c>
      <c r="U435" s="3">
        <v>0</v>
      </c>
      <c r="V435" s="6">
        <f t="shared" si="253"/>
        <v>3686</v>
      </c>
    </row>
    <row r="436" spans="1:22" ht="24.95" customHeight="1" x14ac:dyDescent="0.25">
      <c r="A436" s="37" t="s">
        <v>851</v>
      </c>
      <c r="B436" s="22" t="s">
        <v>249</v>
      </c>
      <c r="C436" s="2">
        <f t="shared" si="240"/>
        <v>8209000</v>
      </c>
      <c r="D436" s="3">
        <f t="shared" si="251"/>
        <v>1833000</v>
      </c>
      <c r="E436" s="3">
        <f>350*940</f>
        <v>329000</v>
      </c>
      <c r="F436" s="3">
        <f>1050*940</f>
        <v>987000</v>
      </c>
      <c r="G436" s="3">
        <f>300*940</f>
        <v>282000</v>
      </c>
      <c r="H436" s="3">
        <f t="shared" ref="H436:H446" si="256">400*0</f>
        <v>0</v>
      </c>
      <c r="I436" s="3">
        <f>250*940</f>
        <v>235000</v>
      </c>
      <c r="J436" s="3">
        <f t="shared" ref="J436:J446" si="257">350*0</f>
        <v>0</v>
      </c>
      <c r="K436" s="4">
        <v>0</v>
      </c>
      <c r="L436" s="3">
        <v>0</v>
      </c>
      <c r="M436" s="3">
        <v>690</v>
      </c>
      <c r="N436" s="3">
        <f t="shared" ref="N436:N437" si="258">M436*5500</f>
        <v>3795000</v>
      </c>
      <c r="O436" s="3">
        <v>0</v>
      </c>
      <c r="P436" s="3">
        <v>0</v>
      </c>
      <c r="Q436" s="3">
        <v>827</v>
      </c>
      <c r="R436" s="3">
        <f t="shared" si="252"/>
        <v>2481000</v>
      </c>
      <c r="S436" s="3">
        <v>0</v>
      </c>
      <c r="T436" s="3">
        <v>0</v>
      </c>
      <c r="U436" s="3">
        <v>100000</v>
      </c>
      <c r="V436" s="6">
        <f t="shared" si="253"/>
        <v>5500</v>
      </c>
    </row>
    <row r="437" spans="1:22" ht="24.95" customHeight="1" x14ac:dyDescent="0.25">
      <c r="A437" s="37" t="s">
        <v>852</v>
      </c>
      <c r="B437" s="22" t="s">
        <v>247</v>
      </c>
      <c r="C437" s="2">
        <f t="shared" si="240"/>
        <v>6691350</v>
      </c>
      <c r="D437" s="3">
        <f t="shared" si="251"/>
        <v>1476150</v>
      </c>
      <c r="E437" s="3">
        <f>350*757</f>
        <v>264950</v>
      </c>
      <c r="F437" s="3">
        <f>1050*757</f>
        <v>794850</v>
      </c>
      <c r="G437" s="3">
        <f>300*757</f>
        <v>227100</v>
      </c>
      <c r="H437" s="3">
        <f t="shared" si="256"/>
        <v>0</v>
      </c>
      <c r="I437" s="3">
        <f>250*757</f>
        <v>189250</v>
      </c>
      <c r="J437" s="3">
        <f t="shared" si="257"/>
        <v>0</v>
      </c>
      <c r="K437" s="4">
        <v>0</v>
      </c>
      <c r="L437" s="3">
        <v>0</v>
      </c>
      <c r="M437" s="3">
        <v>544.4</v>
      </c>
      <c r="N437" s="3">
        <f t="shared" si="258"/>
        <v>2994200</v>
      </c>
      <c r="O437" s="3">
        <v>0</v>
      </c>
      <c r="P437" s="3">
        <v>0</v>
      </c>
      <c r="Q437" s="3">
        <v>707</v>
      </c>
      <c r="R437" s="3">
        <f t="shared" si="252"/>
        <v>2121000</v>
      </c>
      <c r="S437" s="3">
        <v>0</v>
      </c>
      <c r="T437" s="3">
        <v>0</v>
      </c>
      <c r="U437" s="3">
        <v>100000</v>
      </c>
      <c r="V437" s="6">
        <f t="shared" si="253"/>
        <v>5500</v>
      </c>
    </row>
    <row r="438" spans="1:22" ht="21.95" customHeight="1" x14ac:dyDescent="0.25">
      <c r="A438" s="37" t="s">
        <v>853</v>
      </c>
      <c r="B438" s="22" t="s">
        <v>250</v>
      </c>
      <c r="C438" s="2">
        <f t="shared" si="240"/>
        <v>10204986.73</v>
      </c>
      <c r="D438" s="3">
        <f t="shared" ref="D438" si="259">SUM(E438:J438)</f>
        <v>3158008.68</v>
      </c>
      <c r="E438" s="3">
        <v>524845.99</v>
      </c>
      <c r="F438" s="3">
        <v>1768170.95</v>
      </c>
      <c r="G438" s="3">
        <v>435188.22</v>
      </c>
      <c r="H438" s="3">
        <f>500*0</f>
        <v>0</v>
      </c>
      <c r="I438" s="3">
        <v>429803.52000000002</v>
      </c>
      <c r="J438" s="3">
        <f>350*0</f>
        <v>0</v>
      </c>
      <c r="K438" s="4">
        <v>0</v>
      </c>
      <c r="L438" s="3">
        <v>0</v>
      </c>
      <c r="M438" s="3">
        <v>877.5</v>
      </c>
      <c r="N438" s="3">
        <v>3313461.93</v>
      </c>
      <c r="O438" s="3">
        <v>41.8</v>
      </c>
      <c r="P438" s="3">
        <v>138706</v>
      </c>
      <c r="Q438" s="3">
        <v>1206</v>
      </c>
      <c r="R438" s="3">
        <v>3594810.12</v>
      </c>
      <c r="S438" s="3">
        <v>0</v>
      </c>
      <c r="T438" s="3">
        <v>0</v>
      </c>
      <c r="U438" s="3">
        <v>0</v>
      </c>
      <c r="V438" s="6">
        <f t="shared" si="253"/>
        <v>3776.0249914529918</v>
      </c>
    </row>
    <row r="439" spans="1:22" ht="24.95" customHeight="1" x14ac:dyDescent="0.25">
      <c r="A439" s="37" t="s">
        <v>854</v>
      </c>
      <c r="B439" s="22" t="s">
        <v>252</v>
      </c>
      <c r="C439" s="2">
        <f t="shared" si="240"/>
        <v>8040625.9000000004</v>
      </c>
      <c r="D439" s="3">
        <f t="shared" si="251"/>
        <v>3623100</v>
      </c>
      <c r="E439" s="3">
        <f>350*1858</f>
        <v>650300</v>
      </c>
      <c r="F439" s="3">
        <f>1050*1858</f>
        <v>1950900</v>
      </c>
      <c r="G439" s="3">
        <f>300*1858</f>
        <v>557400</v>
      </c>
      <c r="H439" s="3">
        <f t="shared" si="256"/>
        <v>0</v>
      </c>
      <c r="I439" s="3">
        <f>250*1858</f>
        <v>464500</v>
      </c>
      <c r="J439" s="3">
        <f t="shared" si="257"/>
        <v>0</v>
      </c>
      <c r="K439" s="4">
        <v>0</v>
      </c>
      <c r="L439" s="3">
        <v>0</v>
      </c>
      <c r="M439" s="3">
        <v>0</v>
      </c>
      <c r="N439" s="3">
        <v>0</v>
      </c>
      <c r="O439" s="3">
        <v>72.400000000000006</v>
      </c>
      <c r="P439" s="3">
        <f>O439*1200</f>
        <v>86880</v>
      </c>
      <c r="Q439" s="3">
        <v>1386</v>
      </c>
      <c r="R439" s="3">
        <f t="shared" si="252"/>
        <v>4158000</v>
      </c>
      <c r="S439" s="3">
        <v>0</v>
      </c>
      <c r="T439" s="3">
        <v>0</v>
      </c>
      <c r="U439" s="3">
        <v>172645.9</v>
      </c>
      <c r="V439" s="6" t="e">
        <f t="shared" si="253"/>
        <v>#DIV/0!</v>
      </c>
    </row>
    <row r="440" spans="1:22" ht="24.95" customHeight="1" x14ac:dyDescent="0.25">
      <c r="A440" s="37" t="s">
        <v>855</v>
      </c>
      <c r="B440" s="22" t="s">
        <v>253</v>
      </c>
      <c r="C440" s="2">
        <f t="shared" si="240"/>
        <v>5740079.5999999996</v>
      </c>
      <c r="D440" s="3">
        <f t="shared" si="251"/>
        <v>1534650</v>
      </c>
      <c r="E440" s="3">
        <f>350*787</f>
        <v>275450</v>
      </c>
      <c r="F440" s="3">
        <f>1050*787</f>
        <v>826350</v>
      </c>
      <c r="G440" s="3">
        <f>300*787</f>
        <v>236100</v>
      </c>
      <c r="H440" s="3">
        <f t="shared" si="256"/>
        <v>0</v>
      </c>
      <c r="I440" s="3">
        <f>250*787</f>
        <v>196750</v>
      </c>
      <c r="J440" s="3">
        <f t="shared" si="257"/>
        <v>0</v>
      </c>
      <c r="K440" s="4">
        <v>0</v>
      </c>
      <c r="L440" s="3">
        <v>0</v>
      </c>
      <c r="M440" s="3">
        <v>563.6</v>
      </c>
      <c r="N440" s="3">
        <f>M440*3686</f>
        <v>2077429.6</v>
      </c>
      <c r="O440" s="3">
        <v>0</v>
      </c>
      <c r="P440" s="3">
        <v>0</v>
      </c>
      <c r="Q440" s="3">
        <v>676</v>
      </c>
      <c r="R440" s="3">
        <f t="shared" si="252"/>
        <v>2028000</v>
      </c>
      <c r="S440" s="3">
        <v>0</v>
      </c>
      <c r="T440" s="3">
        <v>0</v>
      </c>
      <c r="U440" s="3">
        <v>100000</v>
      </c>
      <c r="V440" s="6">
        <f t="shared" si="253"/>
        <v>3686</v>
      </c>
    </row>
    <row r="441" spans="1:22" ht="24.95" customHeight="1" x14ac:dyDescent="0.25">
      <c r="A441" s="37" t="s">
        <v>856</v>
      </c>
      <c r="B441" s="22" t="s">
        <v>254</v>
      </c>
      <c r="C441" s="2">
        <f t="shared" si="240"/>
        <v>13238752.640000001</v>
      </c>
      <c r="D441" s="3">
        <f t="shared" si="251"/>
        <v>3720990</v>
      </c>
      <c r="E441" s="3">
        <f>350*1908.2</f>
        <v>667870</v>
      </c>
      <c r="F441" s="3">
        <f>1050*1908.2</f>
        <v>2003610</v>
      </c>
      <c r="G441" s="3">
        <f>300*1908.2</f>
        <v>572460</v>
      </c>
      <c r="H441" s="3">
        <f t="shared" si="256"/>
        <v>0</v>
      </c>
      <c r="I441" s="3">
        <f>250*1908.2</f>
        <v>477050</v>
      </c>
      <c r="J441" s="3">
        <f t="shared" si="257"/>
        <v>0</v>
      </c>
      <c r="K441" s="4">
        <v>0</v>
      </c>
      <c r="L441" s="3">
        <v>0</v>
      </c>
      <c r="M441" s="3">
        <v>916</v>
      </c>
      <c r="N441" s="3">
        <f t="shared" ref="N441:N442" si="260">M441*5500</f>
        <v>5038000</v>
      </c>
      <c r="O441" s="3">
        <v>0</v>
      </c>
      <c r="P441" s="3">
        <v>0</v>
      </c>
      <c r="Q441" s="3">
        <v>1434</v>
      </c>
      <c r="R441" s="3">
        <f t="shared" si="252"/>
        <v>4302000</v>
      </c>
      <c r="S441" s="3">
        <v>0</v>
      </c>
      <c r="T441" s="3">
        <v>0</v>
      </c>
      <c r="U441" s="3">
        <v>177762.64</v>
      </c>
      <c r="V441" s="6">
        <f t="shared" si="253"/>
        <v>5500</v>
      </c>
    </row>
    <row r="442" spans="1:22" ht="24.95" customHeight="1" x14ac:dyDescent="0.25">
      <c r="A442" s="37" t="s">
        <v>857</v>
      </c>
      <c r="B442" s="22" t="s">
        <v>255</v>
      </c>
      <c r="C442" s="2">
        <f t="shared" si="240"/>
        <v>6863250</v>
      </c>
      <c r="D442" s="3">
        <f t="shared" si="251"/>
        <v>1511250</v>
      </c>
      <c r="E442" s="3">
        <f>350*775</f>
        <v>271250</v>
      </c>
      <c r="F442" s="3">
        <f>1050*775</f>
        <v>813750</v>
      </c>
      <c r="G442" s="3">
        <f>300*775</f>
        <v>232500</v>
      </c>
      <c r="H442" s="3">
        <f t="shared" si="256"/>
        <v>0</v>
      </c>
      <c r="I442" s="3">
        <f>250*775</f>
        <v>193750</v>
      </c>
      <c r="J442" s="3">
        <f t="shared" si="257"/>
        <v>0</v>
      </c>
      <c r="K442" s="4">
        <v>0</v>
      </c>
      <c r="L442" s="3">
        <v>0</v>
      </c>
      <c r="M442" s="3">
        <v>572</v>
      </c>
      <c r="N442" s="3">
        <f t="shared" si="260"/>
        <v>3146000</v>
      </c>
      <c r="O442" s="3">
        <v>0</v>
      </c>
      <c r="P442" s="3">
        <v>0</v>
      </c>
      <c r="Q442" s="3">
        <v>702</v>
      </c>
      <c r="R442" s="3">
        <f t="shared" si="252"/>
        <v>2106000</v>
      </c>
      <c r="S442" s="3">
        <v>0</v>
      </c>
      <c r="T442" s="3">
        <v>0</v>
      </c>
      <c r="U442" s="3">
        <v>100000</v>
      </c>
      <c r="V442" s="6">
        <f t="shared" si="253"/>
        <v>5500</v>
      </c>
    </row>
    <row r="443" spans="1:22" ht="24.95" customHeight="1" x14ac:dyDescent="0.25">
      <c r="A443" s="37" t="s">
        <v>858</v>
      </c>
      <c r="B443" s="22" t="s">
        <v>251</v>
      </c>
      <c r="C443" s="2">
        <f>D443+L443+N443+P443+R443+S443+T443+U443</f>
        <v>3340607.8</v>
      </c>
      <c r="D443" s="3">
        <f>SUM(E443:J443)</f>
        <v>739050</v>
      </c>
      <c r="E443" s="3">
        <f>350*379</f>
        <v>132650</v>
      </c>
      <c r="F443" s="3">
        <f>1050*379</f>
        <v>397950</v>
      </c>
      <c r="G443" s="3">
        <f>300*379</f>
        <v>113700</v>
      </c>
      <c r="H443" s="3">
        <f t="shared" si="256"/>
        <v>0</v>
      </c>
      <c r="I443" s="3">
        <f>250*379</f>
        <v>94750</v>
      </c>
      <c r="J443" s="3">
        <f t="shared" si="257"/>
        <v>0</v>
      </c>
      <c r="K443" s="4">
        <v>0</v>
      </c>
      <c r="L443" s="3">
        <v>0</v>
      </c>
      <c r="M443" s="3">
        <v>282.3</v>
      </c>
      <c r="N443" s="3">
        <f>M443*3686</f>
        <v>1040557.8</v>
      </c>
      <c r="O443" s="3">
        <v>0</v>
      </c>
      <c r="P443" s="3">
        <v>0</v>
      </c>
      <c r="Q443" s="3">
        <v>487</v>
      </c>
      <c r="R443" s="3">
        <f>Q443*3000</f>
        <v>1461000</v>
      </c>
      <c r="S443" s="3">
        <v>0</v>
      </c>
      <c r="T443" s="3">
        <v>0</v>
      </c>
      <c r="U443" s="3">
        <v>100000</v>
      </c>
      <c r="V443" s="6">
        <f>N443/M443</f>
        <v>3686</v>
      </c>
    </row>
    <row r="444" spans="1:22" ht="24.95" customHeight="1" x14ac:dyDescent="0.25">
      <c r="A444" s="37" t="s">
        <v>859</v>
      </c>
      <c r="B444" s="22" t="s">
        <v>257</v>
      </c>
      <c r="C444" s="2">
        <f t="shared" si="240"/>
        <v>300000</v>
      </c>
      <c r="D444" s="3">
        <f t="shared" si="251"/>
        <v>0</v>
      </c>
      <c r="E444" s="3">
        <v>0</v>
      </c>
      <c r="F444" s="3">
        <v>0</v>
      </c>
      <c r="G444" s="3">
        <v>0</v>
      </c>
      <c r="H444" s="3">
        <f t="shared" si="256"/>
        <v>0</v>
      </c>
      <c r="I444" s="3">
        <v>0</v>
      </c>
      <c r="J444" s="3">
        <f t="shared" si="257"/>
        <v>0</v>
      </c>
      <c r="K444" s="4">
        <v>0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0</v>
      </c>
      <c r="R444" s="3">
        <f t="shared" si="252"/>
        <v>0</v>
      </c>
      <c r="S444" s="3">
        <v>0</v>
      </c>
      <c r="T444" s="3">
        <v>0</v>
      </c>
      <c r="U444" s="3">
        <v>300000</v>
      </c>
      <c r="V444" s="6" t="e">
        <f t="shared" si="253"/>
        <v>#DIV/0!</v>
      </c>
    </row>
    <row r="445" spans="1:22" ht="24.95" customHeight="1" x14ac:dyDescent="0.25">
      <c r="A445" s="37" t="s">
        <v>860</v>
      </c>
      <c r="B445" s="22" t="s">
        <v>260</v>
      </c>
      <c r="C445" s="2">
        <f t="shared" si="240"/>
        <v>21923056.010000002</v>
      </c>
      <c r="D445" s="3">
        <f t="shared" si="251"/>
        <v>7084740</v>
      </c>
      <c r="E445" s="3">
        <f>350*3633.2</f>
        <v>1271620</v>
      </c>
      <c r="F445" s="3">
        <f>1050*3633.2</f>
        <v>3814860</v>
      </c>
      <c r="G445" s="3">
        <f>300*3633.2</f>
        <v>1089960</v>
      </c>
      <c r="H445" s="3">
        <f t="shared" si="256"/>
        <v>0</v>
      </c>
      <c r="I445" s="3">
        <f>250*3633.2</f>
        <v>908300</v>
      </c>
      <c r="J445" s="3">
        <f t="shared" si="257"/>
        <v>0</v>
      </c>
      <c r="K445" s="4">
        <v>0</v>
      </c>
      <c r="L445" s="3">
        <v>0</v>
      </c>
      <c r="M445" s="3">
        <v>1212</v>
      </c>
      <c r="N445" s="3">
        <f t="shared" ref="N445:N447" si="261">M445*5500</f>
        <v>6666000</v>
      </c>
      <c r="O445" s="3">
        <v>937</v>
      </c>
      <c r="P445" s="3">
        <f>O445*1200</f>
        <v>1124400</v>
      </c>
      <c r="Q445" s="3">
        <v>2270</v>
      </c>
      <c r="R445" s="3">
        <f t="shared" si="252"/>
        <v>6810000</v>
      </c>
      <c r="S445" s="3">
        <v>0</v>
      </c>
      <c r="T445" s="3">
        <v>0</v>
      </c>
      <c r="U445" s="3">
        <v>237916.01</v>
      </c>
      <c r="V445" s="6">
        <f t="shared" si="253"/>
        <v>5500</v>
      </c>
    </row>
    <row r="446" spans="1:22" ht="24.95" customHeight="1" x14ac:dyDescent="0.25">
      <c r="A446" s="37" t="s">
        <v>861</v>
      </c>
      <c r="B446" s="22" t="s">
        <v>258</v>
      </c>
      <c r="C446" s="2">
        <f t="shared" si="240"/>
        <v>14720180.09</v>
      </c>
      <c r="D446" s="3">
        <f t="shared" si="251"/>
        <v>4411680</v>
      </c>
      <c r="E446" s="3">
        <f>350*2262.4</f>
        <v>791840</v>
      </c>
      <c r="F446" s="3">
        <f>1050*2262.4</f>
        <v>2375520</v>
      </c>
      <c r="G446" s="3">
        <f>300*2262.4</f>
        <v>678720</v>
      </c>
      <c r="H446" s="3">
        <f t="shared" si="256"/>
        <v>0</v>
      </c>
      <c r="I446" s="3">
        <f>250*2262.4</f>
        <v>565600</v>
      </c>
      <c r="J446" s="3">
        <f t="shared" si="257"/>
        <v>0</v>
      </c>
      <c r="K446" s="4">
        <v>0</v>
      </c>
      <c r="L446" s="3">
        <v>0</v>
      </c>
      <c r="M446" s="3">
        <v>835.2</v>
      </c>
      <c r="N446" s="3">
        <f t="shared" si="261"/>
        <v>4593600</v>
      </c>
      <c r="O446" s="3">
        <v>0</v>
      </c>
      <c r="P446" s="3">
        <v>0</v>
      </c>
      <c r="Q446" s="3">
        <v>1832.2</v>
      </c>
      <c r="R446" s="3">
        <f t="shared" si="252"/>
        <v>5496600</v>
      </c>
      <c r="S446" s="3">
        <v>0</v>
      </c>
      <c r="T446" s="3">
        <v>0</v>
      </c>
      <c r="U446" s="3">
        <v>218300.09</v>
      </c>
      <c r="V446" s="6">
        <f t="shared" si="253"/>
        <v>5500</v>
      </c>
    </row>
    <row r="447" spans="1:22" ht="24.95" customHeight="1" x14ac:dyDescent="0.25">
      <c r="A447" s="37" t="s">
        <v>862</v>
      </c>
      <c r="B447" s="22" t="s">
        <v>259</v>
      </c>
      <c r="C447" s="2">
        <f t="shared" si="240"/>
        <v>3569500</v>
      </c>
      <c r="D447" s="3">
        <f t="shared" si="251"/>
        <v>0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4">
        <v>0</v>
      </c>
      <c r="L447" s="3">
        <v>0</v>
      </c>
      <c r="M447" s="3">
        <v>649</v>
      </c>
      <c r="N447" s="3">
        <f t="shared" si="261"/>
        <v>3569500</v>
      </c>
      <c r="O447" s="3">
        <v>0</v>
      </c>
      <c r="P447" s="3">
        <v>0</v>
      </c>
      <c r="Q447" s="3">
        <v>0</v>
      </c>
      <c r="R447" s="3">
        <f t="shared" si="252"/>
        <v>0</v>
      </c>
      <c r="S447" s="3">
        <v>0</v>
      </c>
      <c r="T447" s="3">
        <v>0</v>
      </c>
      <c r="U447" s="3">
        <v>0</v>
      </c>
      <c r="V447" s="6">
        <f t="shared" si="253"/>
        <v>5500</v>
      </c>
    </row>
    <row r="448" spans="1:22" ht="24.95" customHeight="1" x14ac:dyDescent="0.25">
      <c r="A448" s="37" t="s">
        <v>863</v>
      </c>
      <c r="B448" s="22" t="s">
        <v>262</v>
      </c>
      <c r="C448" s="2">
        <f t="shared" si="240"/>
        <v>11230733.199999999</v>
      </c>
      <c r="D448" s="3">
        <f t="shared" si="251"/>
        <v>3535350</v>
      </c>
      <c r="E448" s="3">
        <f>350*1813</f>
        <v>634550</v>
      </c>
      <c r="F448" s="3">
        <f>1050*1813</f>
        <v>1903650</v>
      </c>
      <c r="G448" s="3">
        <f>300*1813</f>
        <v>543900</v>
      </c>
      <c r="H448" s="3">
        <f>400*0</f>
        <v>0</v>
      </c>
      <c r="I448" s="3">
        <f>250*1813</f>
        <v>453250</v>
      </c>
      <c r="J448" s="3">
        <f t="shared" ref="J448" si="262">350*0</f>
        <v>0</v>
      </c>
      <c r="K448" s="4">
        <v>0</v>
      </c>
      <c r="L448" s="3">
        <v>0</v>
      </c>
      <c r="M448" s="3">
        <v>866.2</v>
      </c>
      <c r="N448" s="3">
        <f t="shared" ref="N448:N450" si="263">M448*3686</f>
        <v>3192813.2</v>
      </c>
      <c r="O448" s="3">
        <v>26.3</v>
      </c>
      <c r="P448" s="3">
        <v>76270</v>
      </c>
      <c r="Q448" s="3">
        <v>1442.1</v>
      </c>
      <c r="R448" s="3">
        <f t="shared" si="252"/>
        <v>4326300</v>
      </c>
      <c r="S448" s="3">
        <v>0</v>
      </c>
      <c r="T448" s="3">
        <v>0</v>
      </c>
      <c r="U448" s="3">
        <v>100000</v>
      </c>
      <c r="V448" s="6">
        <f t="shared" si="253"/>
        <v>3686</v>
      </c>
    </row>
    <row r="449" spans="1:22" ht="24.95" customHeight="1" x14ac:dyDescent="0.25">
      <c r="A449" s="37" t="s">
        <v>864</v>
      </c>
      <c r="B449" s="22" t="s">
        <v>1170</v>
      </c>
      <c r="C449" s="2">
        <f t="shared" si="240"/>
        <v>3128676.8</v>
      </c>
      <c r="D449" s="3">
        <f t="shared" si="251"/>
        <v>0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3">
        <v>0</v>
      </c>
      <c r="K449" s="4">
        <v>0</v>
      </c>
      <c r="L449" s="3">
        <v>0</v>
      </c>
      <c r="M449" s="3">
        <v>848.8</v>
      </c>
      <c r="N449" s="3">
        <f t="shared" si="263"/>
        <v>3128676.8</v>
      </c>
      <c r="O449" s="3">
        <v>0</v>
      </c>
      <c r="P449" s="3">
        <v>0</v>
      </c>
      <c r="Q449" s="3">
        <v>0</v>
      </c>
      <c r="R449" s="3">
        <f t="shared" si="252"/>
        <v>0</v>
      </c>
      <c r="S449" s="3">
        <v>0</v>
      </c>
      <c r="T449" s="3">
        <v>0</v>
      </c>
      <c r="U449" s="3">
        <v>0</v>
      </c>
      <c r="V449" s="6">
        <f t="shared" si="253"/>
        <v>3686</v>
      </c>
    </row>
    <row r="450" spans="1:22" ht="24.95" customHeight="1" x14ac:dyDescent="0.25">
      <c r="A450" s="37" t="s">
        <v>1187</v>
      </c>
      <c r="B450" s="22" t="s">
        <v>1171</v>
      </c>
      <c r="C450" s="2">
        <f t="shared" si="240"/>
        <v>3249577.6</v>
      </c>
      <c r="D450" s="3">
        <f t="shared" si="251"/>
        <v>0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4">
        <v>0</v>
      </c>
      <c r="L450" s="3">
        <v>0</v>
      </c>
      <c r="M450" s="3">
        <v>881.6</v>
      </c>
      <c r="N450" s="3">
        <f t="shared" si="263"/>
        <v>3249577.6</v>
      </c>
      <c r="O450" s="3">
        <v>0</v>
      </c>
      <c r="P450" s="3">
        <v>0</v>
      </c>
      <c r="Q450" s="3">
        <v>0</v>
      </c>
      <c r="R450" s="3">
        <f t="shared" si="252"/>
        <v>0</v>
      </c>
      <c r="S450" s="3">
        <v>0</v>
      </c>
      <c r="T450" s="3">
        <v>0</v>
      </c>
      <c r="U450" s="3">
        <v>0</v>
      </c>
      <c r="V450" s="6">
        <f t="shared" si="253"/>
        <v>3686</v>
      </c>
    </row>
    <row r="451" spans="1:22" ht="45" customHeight="1" x14ac:dyDescent="0.25">
      <c r="A451" s="56" t="s">
        <v>1180</v>
      </c>
      <c r="B451" s="56"/>
      <c r="C451" s="2">
        <f>SUM(C452)</f>
        <v>1980000</v>
      </c>
      <c r="D451" s="2">
        <f t="shared" ref="D451:U451" si="264">SUM(D452)</f>
        <v>0</v>
      </c>
      <c r="E451" s="2">
        <f t="shared" si="264"/>
        <v>0</v>
      </c>
      <c r="F451" s="2">
        <f t="shared" si="264"/>
        <v>0</v>
      </c>
      <c r="G451" s="2">
        <f t="shared" si="264"/>
        <v>0</v>
      </c>
      <c r="H451" s="2">
        <f t="shared" si="264"/>
        <v>0</v>
      </c>
      <c r="I451" s="2">
        <f t="shared" si="264"/>
        <v>0</v>
      </c>
      <c r="J451" s="2">
        <f t="shared" si="264"/>
        <v>0</v>
      </c>
      <c r="K451" s="14">
        <f t="shared" si="264"/>
        <v>0</v>
      </c>
      <c r="L451" s="2">
        <f t="shared" si="264"/>
        <v>0</v>
      </c>
      <c r="M451" s="2">
        <f t="shared" si="264"/>
        <v>0</v>
      </c>
      <c r="N451" s="2">
        <f t="shared" si="264"/>
        <v>0</v>
      </c>
      <c r="O451" s="2">
        <f t="shared" si="264"/>
        <v>0</v>
      </c>
      <c r="P451" s="2">
        <f t="shared" si="264"/>
        <v>0</v>
      </c>
      <c r="Q451" s="2">
        <f t="shared" si="264"/>
        <v>660</v>
      </c>
      <c r="R451" s="2">
        <f t="shared" si="264"/>
        <v>1980000</v>
      </c>
      <c r="S451" s="2">
        <f t="shared" si="264"/>
        <v>0</v>
      </c>
      <c r="T451" s="2">
        <f t="shared" si="264"/>
        <v>0</v>
      </c>
      <c r="U451" s="2">
        <f t="shared" si="264"/>
        <v>0</v>
      </c>
    </row>
    <row r="452" spans="1:22" ht="21.95" customHeight="1" x14ac:dyDescent="0.25">
      <c r="A452" s="37" t="s">
        <v>1188</v>
      </c>
      <c r="B452" s="22" t="s">
        <v>1181</v>
      </c>
      <c r="C452" s="2">
        <f t="shared" si="240"/>
        <v>1980000</v>
      </c>
      <c r="D452" s="3">
        <f t="shared" ref="D452" si="265">SUM(E452:J452)</f>
        <v>0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4">
        <v>0</v>
      </c>
      <c r="L452" s="3">
        <v>0</v>
      </c>
      <c r="M452" s="3">
        <v>0</v>
      </c>
      <c r="N452" s="3">
        <v>0</v>
      </c>
      <c r="O452" s="3">
        <v>0</v>
      </c>
      <c r="P452" s="3">
        <v>0</v>
      </c>
      <c r="Q452" s="3">
        <v>660</v>
      </c>
      <c r="R452" s="3">
        <f>Q452*3000</f>
        <v>1980000</v>
      </c>
      <c r="S452" s="3">
        <v>0</v>
      </c>
      <c r="T452" s="3">
        <v>0</v>
      </c>
      <c r="U452" s="3">
        <v>0</v>
      </c>
      <c r="V452" s="6" t="e">
        <f t="shared" ref="V452" si="266">N452/M452</f>
        <v>#DIV/0!</v>
      </c>
    </row>
    <row r="453" spans="1:22" ht="45" customHeight="1" x14ac:dyDescent="0.25">
      <c r="A453" s="56" t="s">
        <v>269</v>
      </c>
      <c r="B453" s="56"/>
      <c r="C453" s="2">
        <f>SUM(C454)</f>
        <v>6141010.8700000001</v>
      </c>
      <c r="D453" s="2">
        <f t="shared" ref="D453:U453" si="267">SUM(D454)</f>
        <v>1857598.53</v>
      </c>
      <c r="E453" s="2">
        <f t="shared" si="267"/>
        <v>201968.14</v>
      </c>
      <c r="F453" s="2">
        <f t="shared" si="267"/>
        <v>975980.53</v>
      </c>
      <c r="G453" s="2">
        <f t="shared" si="267"/>
        <v>198204.71</v>
      </c>
      <c r="H453" s="2">
        <f t="shared" si="267"/>
        <v>244969.06</v>
      </c>
      <c r="I453" s="2">
        <f t="shared" si="267"/>
        <v>236476.09</v>
      </c>
      <c r="J453" s="2">
        <f t="shared" si="267"/>
        <v>0</v>
      </c>
      <c r="K453" s="14">
        <f t="shared" si="267"/>
        <v>0</v>
      </c>
      <c r="L453" s="2">
        <f t="shared" si="267"/>
        <v>0</v>
      </c>
      <c r="M453" s="2">
        <f t="shared" si="267"/>
        <v>473</v>
      </c>
      <c r="N453" s="2">
        <f t="shared" si="267"/>
        <v>1786059.83</v>
      </c>
      <c r="O453" s="2">
        <f t="shared" si="267"/>
        <v>332.4</v>
      </c>
      <c r="P453" s="2">
        <f t="shared" si="267"/>
        <v>456418.44</v>
      </c>
      <c r="Q453" s="2">
        <f t="shared" si="267"/>
        <v>684.7</v>
      </c>
      <c r="R453" s="2">
        <f t="shared" si="267"/>
        <v>2040934.07</v>
      </c>
      <c r="S453" s="2">
        <f t="shared" si="267"/>
        <v>0</v>
      </c>
      <c r="T453" s="2">
        <f t="shared" si="267"/>
        <v>0</v>
      </c>
      <c r="U453" s="2">
        <f t="shared" si="267"/>
        <v>0</v>
      </c>
      <c r="V453" s="18">
        <f>C453</f>
        <v>6141010.8700000001</v>
      </c>
    </row>
    <row r="454" spans="1:22" ht="21.95" customHeight="1" x14ac:dyDescent="0.25">
      <c r="A454" s="37" t="s">
        <v>1189</v>
      </c>
      <c r="B454" s="22" t="s">
        <v>270</v>
      </c>
      <c r="C454" s="2">
        <f t="shared" ref="C454" si="268">D454+L454+N454+P454+R454+S454+T454+U454</f>
        <v>6141010.8700000001</v>
      </c>
      <c r="D454" s="3">
        <f>SUM(E454:J454)</f>
        <v>1857598.53</v>
      </c>
      <c r="E454" s="3">
        <v>201968.14</v>
      </c>
      <c r="F454" s="3">
        <v>975980.53</v>
      </c>
      <c r="G454" s="3">
        <v>198204.71</v>
      </c>
      <c r="H454" s="3">
        <v>244969.06</v>
      </c>
      <c r="I454" s="3">
        <v>236476.09</v>
      </c>
      <c r="J454" s="3">
        <f>350*0</f>
        <v>0</v>
      </c>
      <c r="K454" s="4">
        <v>0</v>
      </c>
      <c r="L454" s="3">
        <v>0</v>
      </c>
      <c r="M454" s="3">
        <v>473</v>
      </c>
      <c r="N454" s="3">
        <v>1786059.83</v>
      </c>
      <c r="O454" s="3">
        <v>332.4</v>
      </c>
      <c r="P454" s="3">
        <v>456418.44</v>
      </c>
      <c r="Q454" s="3">
        <v>684.7</v>
      </c>
      <c r="R454" s="3">
        <v>2040934.07</v>
      </c>
      <c r="S454" s="3">
        <v>0</v>
      </c>
      <c r="T454" s="3">
        <v>0</v>
      </c>
      <c r="U454" s="3">
        <v>0</v>
      </c>
      <c r="V454" s="6">
        <f>N454/M454</f>
        <v>3776.0250105708246</v>
      </c>
    </row>
    <row r="455" spans="1:22" ht="45" customHeight="1" x14ac:dyDescent="0.25">
      <c r="A455" s="56" t="s">
        <v>273</v>
      </c>
      <c r="B455" s="56"/>
      <c r="C455" s="2">
        <f>SUM(C456:C457)</f>
        <v>4334000</v>
      </c>
      <c r="D455" s="2">
        <f t="shared" ref="D455:U455" si="269">SUM(D456:D457)</f>
        <v>0</v>
      </c>
      <c r="E455" s="2">
        <f t="shared" si="269"/>
        <v>0</v>
      </c>
      <c r="F455" s="2">
        <f t="shared" si="269"/>
        <v>0</v>
      </c>
      <c r="G455" s="2">
        <f t="shared" si="269"/>
        <v>0</v>
      </c>
      <c r="H455" s="2">
        <f t="shared" si="269"/>
        <v>0</v>
      </c>
      <c r="I455" s="2">
        <f t="shared" si="269"/>
        <v>0</v>
      </c>
      <c r="J455" s="2">
        <f t="shared" si="269"/>
        <v>0</v>
      </c>
      <c r="K455" s="14">
        <f t="shared" si="269"/>
        <v>0</v>
      </c>
      <c r="L455" s="2">
        <f t="shared" si="269"/>
        <v>0</v>
      </c>
      <c r="M455" s="2">
        <f t="shared" si="269"/>
        <v>788</v>
      </c>
      <c r="N455" s="2">
        <f t="shared" si="269"/>
        <v>4334000</v>
      </c>
      <c r="O455" s="2">
        <f t="shared" si="269"/>
        <v>0</v>
      </c>
      <c r="P455" s="2">
        <f t="shared" si="269"/>
        <v>0</v>
      </c>
      <c r="Q455" s="2">
        <f t="shared" si="269"/>
        <v>0</v>
      </c>
      <c r="R455" s="2">
        <f t="shared" si="269"/>
        <v>0</v>
      </c>
      <c r="S455" s="2">
        <f t="shared" si="269"/>
        <v>0</v>
      </c>
      <c r="T455" s="2">
        <f t="shared" si="269"/>
        <v>0</v>
      </c>
      <c r="U455" s="2">
        <f t="shared" si="269"/>
        <v>0</v>
      </c>
      <c r="V455" s="18">
        <f>C455</f>
        <v>4334000</v>
      </c>
    </row>
    <row r="456" spans="1:22" ht="21.95" customHeight="1" x14ac:dyDescent="0.25">
      <c r="A456" s="37" t="s">
        <v>1190</v>
      </c>
      <c r="B456" s="22" t="s">
        <v>274</v>
      </c>
      <c r="C456" s="2">
        <f t="shared" si="240"/>
        <v>2167000</v>
      </c>
      <c r="D456" s="3">
        <f t="shared" ref="D456:D457" si="270">SUM(E456:J456)</f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4">
        <v>0</v>
      </c>
      <c r="L456" s="3">
        <v>0</v>
      </c>
      <c r="M456" s="3">
        <v>394</v>
      </c>
      <c r="N456" s="3">
        <f t="shared" ref="N456:N457" si="271">M456*5500</f>
        <v>2167000</v>
      </c>
      <c r="O456" s="3">
        <v>0</v>
      </c>
      <c r="P456" s="3">
        <v>0</v>
      </c>
      <c r="Q456" s="3">
        <v>0</v>
      </c>
      <c r="R456" s="3">
        <f t="shared" ref="R456:R457" si="272">Q456*3000</f>
        <v>0</v>
      </c>
      <c r="S456" s="3">
        <v>0</v>
      </c>
      <c r="T456" s="3">
        <v>0</v>
      </c>
      <c r="U456" s="3">
        <v>0</v>
      </c>
      <c r="V456" s="6">
        <f t="shared" ref="V456:V457" si="273">N456/M456</f>
        <v>5500</v>
      </c>
    </row>
    <row r="457" spans="1:22" ht="21.95" customHeight="1" x14ac:dyDescent="0.25">
      <c r="A457" s="37" t="s">
        <v>1191</v>
      </c>
      <c r="B457" s="22" t="s">
        <v>275</v>
      </c>
      <c r="C457" s="2">
        <f t="shared" si="240"/>
        <v>2167000</v>
      </c>
      <c r="D457" s="3">
        <f t="shared" si="270"/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4">
        <v>0</v>
      </c>
      <c r="L457" s="3">
        <v>0</v>
      </c>
      <c r="M457" s="3">
        <v>394</v>
      </c>
      <c r="N457" s="3">
        <f t="shared" si="271"/>
        <v>2167000</v>
      </c>
      <c r="O457" s="3">
        <v>0</v>
      </c>
      <c r="P457" s="3">
        <v>0</v>
      </c>
      <c r="Q457" s="3">
        <v>0</v>
      </c>
      <c r="R457" s="3">
        <f t="shared" si="272"/>
        <v>0</v>
      </c>
      <c r="S457" s="3">
        <v>0</v>
      </c>
      <c r="T457" s="3">
        <v>0</v>
      </c>
      <c r="U457" s="3">
        <v>0</v>
      </c>
      <c r="V457" s="6">
        <f t="shared" si="273"/>
        <v>5500</v>
      </c>
    </row>
    <row r="458" spans="1:22" ht="45" customHeight="1" x14ac:dyDescent="0.25">
      <c r="A458" s="56" t="s">
        <v>277</v>
      </c>
      <c r="B458" s="56"/>
      <c r="C458" s="2">
        <f>SUM(C459)</f>
        <v>4032050</v>
      </c>
      <c r="D458" s="2">
        <f t="shared" ref="D458:U458" si="274">SUM(D459)</f>
        <v>169050</v>
      </c>
      <c r="E458" s="2">
        <f t="shared" si="274"/>
        <v>169050</v>
      </c>
      <c r="F458" s="2">
        <f t="shared" si="274"/>
        <v>0</v>
      </c>
      <c r="G458" s="2">
        <f t="shared" si="274"/>
        <v>0</v>
      </c>
      <c r="H458" s="2">
        <f t="shared" si="274"/>
        <v>0</v>
      </c>
      <c r="I458" s="2">
        <f t="shared" si="274"/>
        <v>0</v>
      </c>
      <c r="J458" s="2">
        <f t="shared" si="274"/>
        <v>0</v>
      </c>
      <c r="K458" s="14">
        <f t="shared" si="274"/>
        <v>0</v>
      </c>
      <c r="L458" s="2">
        <f t="shared" si="274"/>
        <v>0</v>
      </c>
      <c r="M458" s="2">
        <f t="shared" si="274"/>
        <v>406</v>
      </c>
      <c r="N458" s="2">
        <f t="shared" si="274"/>
        <v>2233000</v>
      </c>
      <c r="O458" s="2">
        <f t="shared" si="274"/>
        <v>0</v>
      </c>
      <c r="P458" s="2">
        <f t="shared" si="274"/>
        <v>0</v>
      </c>
      <c r="Q458" s="2">
        <f t="shared" si="274"/>
        <v>510</v>
      </c>
      <c r="R458" s="2">
        <f t="shared" si="274"/>
        <v>1530000</v>
      </c>
      <c r="S458" s="2">
        <f t="shared" si="274"/>
        <v>0</v>
      </c>
      <c r="T458" s="2">
        <f t="shared" si="274"/>
        <v>0</v>
      </c>
      <c r="U458" s="2">
        <f t="shared" si="274"/>
        <v>100000</v>
      </c>
      <c r="V458" s="18">
        <f>C458</f>
        <v>4032050</v>
      </c>
    </row>
    <row r="459" spans="1:22" ht="21.95" customHeight="1" x14ac:dyDescent="0.25">
      <c r="A459" s="36" t="s">
        <v>1192</v>
      </c>
      <c r="B459" s="22" t="s">
        <v>276</v>
      </c>
      <c r="C459" s="2">
        <f t="shared" si="240"/>
        <v>4032050</v>
      </c>
      <c r="D459" s="3">
        <f t="shared" ref="D459" si="275">SUM(E459:J459)</f>
        <v>169050</v>
      </c>
      <c r="E459" s="3">
        <f>350*483</f>
        <v>169050</v>
      </c>
      <c r="F459" s="3">
        <f>800*0</f>
        <v>0</v>
      </c>
      <c r="G459" s="3">
        <f>300*0</f>
        <v>0</v>
      </c>
      <c r="H459" s="3">
        <f>400*0</f>
        <v>0</v>
      </c>
      <c r="I459" s="3">
        <f>250*0</f>
        <v>0</v>
      </c>
      <c r="J459" s="3">
        <f>350*0</f>
        <v>0</v>
      </c>
      <c r="K459" s="11">
        <v>0</v>
      </c>
      <c r="L459" s="5">
        <v>0</v>
      </c>
      <c r="M459" s="5">
        <v>406</v>
      </c>
      <c r="N459" s="3">
        <f>M459*5500</f>
        <v>2233000</v>
      </c>
      <c r="O459" s="5">
        <v>0</v>
      </c>
      <c r="P459" s="5">
        <v>0</v>
      </c>
      <c r="Q459" s="5">
        <v>510</v>
      </c>
      <c r="R459" s="3">
        <f>Q459*3000</f>
        <v>1530000</v>
      </c>
      <c r="S459" s="5">
        <v>0</v>
      </c>
      <c r="T459" s="5">
        <v>0</v>
      </c>
      <c r="U459" s="5">
        <v>100000</v>
      </c>
      <c r="V459" s="6">
        <f t="shared" ref="V459" si="276">N459/M459</f>
        <v>5500</v>
      </c>
    </row>
    <row r="460" spans="1:22" ht="45" customHeight="1" x14ac:dyDescent="0.25">
      <c r="A460" s="56" t="s">
        <v>1393</v>
      </c>
      <c r="B460" s="56"/>
      <c r="C460" s="2">
        <f>SUM(C461)</f>
        <v>3916000</v>
      </c>
      <c r="D460" s="2">
        <f t="shared" ref="D460:U460" si="277">SUM(D461)</f>
        <v>0</v>
      </c>
      <c r="E460" s="2">
        <f t="shared" si="277"/>
        <v>0</v>
      </c>
      <c r="F460" s="2">
        <f t="shared" si="277"/>
        <v>0</v>
      </c>
      <c r="G460" s="2">
        <f t="shared" si="277"/>
        <v>0</v>
      </c>
      <c r="H460" s="2">
        <f t="shared" si="277"/>
        <v>0</v>
      </c>
      <c r="I460" s="2">
        <f t="shared" si="277"/>
        <v>0</v>
      </c>
      <c r="J460" s="2">
        <f t="shared" si="277"/>
        <v>0</v>
      </c>
      <c r="K460" s="14">
        <f t="shared" si="277"/>
        <v>0</v>
      </c>
      <c r="L460" s="2">
        <f t="shared" si="277"/>
        <v>0</v>
      </c>
      <c r="M460" s="2">
        <f t="shared" si="277"/>
        <v>712</v>
      </c>
      <c r="N460" s="2">
        <f t="shared" si="277"/>
        <v>3916000</v>
      </c>
      <c r="O460" s="2">
        <f t="shared" si="277"/>
        <v>0</v>
      </c>
      <c r="P460" s="2">
        <f t="shared" si="277"/>
        <v>0</v>
      </c>
      <c r="Q460" s="2">
        <f t="shared" si="277"/>
        <v>0</v>
      </c>
      <c r="R460" s="2">
        <f t="shared" si="277"/>
        <v>0</v>
      </c>
      <c r="S460" s="2">
        <f t="shared" si="277"/>
        <v>0</v>
      </c>
      <c r="T460" s="2">
        <f t="shared" si="277"/>
        <v>0</v>
      </c>
      <c r="U460" s="2">
        <f t="shared" si="277"/>
        <v>0</v>
      </c>
      <c r="V460" s="18">
        <f>C460</f>
        <v>3916000</v>
      </c>
    </row>
    <row r="461" spans="1:22" ht="21.95" customHeight="1" x14ac:dyDescent="0.25">
      <c r="A461" s="37" t="s">
        <v>1193</v>
      </c>
      <c r="B461" s="22" t="s">
        <v>1394</v>
      </c>
      <c r="C461" s="2">
        <f t="shared" ref="C461" si="278">D461+L461+N461+P461+R461+S461+T461+U461</f>
        <v>3916000</v>
      </c>
      <c r="D461" s="3">
        <f>SUM(E461:J461)</f>
        <v>0</v>
      </c>
      <c r="E461" s="3">
        <v>0</v>
      </c>
      <c r="F461" s="3">
        <f>670.53*0</f>
        <v>0</v>
      </c>
      <c r="G461" s="3">
        <v>0</v>
      </c>
      <c r="H461" s="3">
        <f>500*0</f>
        <v>0</v>
      </c>
      <c r="I461" s="3">
        <v>0</v>
      </c>
      <c r="J461" s="3">
        <f>350*0</f>
        <v>0</v>
      </c>
      <c r="K461" s="4">
        <v>0</v>
      </c>
      <c r="L461" s="3">
        <v>0</v>
      </c>
      <c r="M461" s="3">
        <v>712</v>
      </c>
      <c r="N461" s="3">
        <f>M461*5500</f>
        <v>3916000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6">
        <f>N461/M461</f>
        <v>5500</v>
      </c>
    </row>
    <row r="462" spans="1:22" ht="45" customHeight="1" x14ac:dyDescent="0.25">
      <c r="A462" s="56" t="s">
        <v>381</v>
      </c>
      <c r="B462" s="56"/>
      <c r="C462" s="2">
        <f>SUM(C463:C726)</f>
        <v>925555812.33999968</v>
      </c>
      <c r="D462" s="2">
        <f t="shared" ref="D462:U462" si="279">SUM(D463:D726)</f>
        <v>253252578.82999998</v>
      </c>
      <c r="E462" s="2">
        <f t="shared" si="279"/>
        <v>38476269.190000005</v>
      </c>
      <c r="F462" s="2">
        <f t="shared" si="279"/>
        <v>113663194.44</v>
      </c>
      <c r="G462" s="2">
        <f t="shared" si="279"/>
        <v>32146303.079999998</v>
      </c>
      <c r="H462" s="2">
        <f t="shared" si="279"/>
        <v>33391054.68</v>
      </c>
      <c r="I462" s="2">
        <f t="shared" si="279"/>
        <v>35575757.439999998</v>
      </c>
      <c r="J462" s="2">
        <f t="shared" si="279"/>
        <v>0</v>
      </c>
      <c r="K462" s="14">
        <f t="shared" si="279"/>
        <v>14</v>
      </c>
      <c r="L462" s="2">
        <f t="shared" si="279"/>
        <v>30100000</v>
      </c>
      <c r="M462" s="2">
        <f t="shared" si="279"/>
        <v>90509.37999999999</v>
      </c>
      <c r="N462" s="2">
        <f t="shared" si="279"/>
        <v>493211911.68999994</v>
      </c>
      <c r="O462" s="2">
        <f t="shared" si="279"/>
        <v>1168.5999999999999</v>
      </c>
      <c r="P462" s="2">
        <f t="shared" si="279"/>
        <v>1643407.38</v>
      </c>
      <c r="Q462" s="2">
        <f t="shared" si="279"/>
        <v>40956.1</v>
      </c>
      <c r="R462" s="2">
        <f t="shared" si="279"/>
        <v>120030172.62</v>
      </c>
      <c r="S462" s="2">
        <f t="shared" si="279"/>
        <v>2244483.21</v>
      </c>
      <c r="T462" s="2">
        <f t="shared" si="279"/>
        <v>0</v>
      </c>
      <c r="U462" s="2">
        <f t="shared" si="279"/>
        <v>25073258.609999996</v>
      </c>
    </row>
    <row r="463" spans="1:22" ht="21.95" customHeight="1" x14ac:dyDescent="0.25">
      <c r="A463" s="53" t="s">
        <v>1194</v>
      </c>
      <c r="B463" s="8" t="s">
        <v>491</v>
      </c>
      <c r="C463" s="2">
        <f t="shared" si="240"/>
        <v>6458362.8799999999</v>
      </c>
      <c r="D463" s="3">
        <f t="shared" ref="D463:D548" si="280">SUM(E463:J463)</f>
        <v>2647510</v>
      </c>
      <c r="E463" s="3">
        <f>350*1126.6</f>
        <v>394309.99999999994</v>
      </c>
      <c r="F463" s="3">
        <f>1050*1126.6</f>
        <v>1182930</v>
      </c>
      <c r="G463" s="3">
        <f>300*1126.6</f>
        <v>337980</v>
      </c>
      <c r="H463" s="3">
        <f>400*1126.6</f>
        <v>450639.99999999994</v>
      </c>
      <c r="I463" s="3">
        <f>250*1126.6</f>
        <v>281650</v>
      </c>
      <c r="J463" s="3">
        <f>350*0</f>
        <v>0</v>
      </c>
      <c r="K463" s="11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1205.5</v>
      </c>
      <c r="R463" s="3">
        <f t="shared" ref="R463:R547" si="281">Q463*3000</f>
        <v>3616500</v>
      </c>
      <c r="S463" s="5">
        <v>0</v>
      </c>
      <c r="T463" s="5">
        <v>0</v>
      </c>
      <c r="U463" s="5">
        <v>194352.88</v>
      </c>
      <c r="V463" s="6" t="e">
        <f t="shared" ref="V463:V547" si="282">N463/M463</f>
        <v>#DIV/0!</v>
      </c>
    </row>
    <row r="464" spans="1:22" ht="21.95" customHeight="1" x14ac:dyDescent="0.25">
      <c r="A464" s="53" t="s">
        <v>1195</v>
      </c>
      <c r="B464" s="8" t="s">
        <v>577</v>
      </c>
      <c r="C464" s="2">
        <f t="shared" si="240"/>
        <v>1569600</v>
      </c>
      <c r="D464" s="3">
        <f t="shared" si="280"/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11">
        <v>0</v>
      </c>
      <c r="L464" s="5">
        <v>0</v>
      </c>
      <c r="M464" s="5">
        <v>267.2</v>
      </c>
      <c r="N464" s="3">
        <f t="shared" ref="N464:N475" si="283">M464*5500</f>
        <v>1469600</v>
      </c>
      <c r="O464" s="5">
        <v>0</v>
      </c>
      <c r="P464" s="5">
        <v>0</v>
      </c>
      <c r="Q464" s="5">
        <v>0</v>
      </c>
      <c r="R464" s="3">
        <f t="shared" si="281"/>
        <v>0</v>
      </c>
      <c r="S464" s="5">
        <v>0</v>
      </c>
      <c r="T464" s="5">
        <v>0</v>
      </c>
      <c r="U464" s="5">
        <v>100000</v>
      </c>
      <c r="V464" s="6">
        <f t="shared" si="282"/>
        <v>5500</v>
      </c>
    </row>
    <row r="465" spans="1:22" ht="21.95" customHeight="1" x14ac:dyDescent="0.25">
      <c r="A465" s="53" t="s">
        <v>1196</v>
      </c>
      <c r="B465" s="8" t="s">
        <v>578</v>
      </c>
      <c r="C465" s="2">
        <f t="shared" si="240"/>
        <v>1566949.9999999998</v>
      </c>
      <c r="D465" s="3">
        <f t="shared" si="280"/>
        <v>0</v>
      </c>
      <c r="E465" s="3">
        <v>0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11">
        <v>0</v>
      </c>
      <c r="L465" s="5">
        <v>0</v>
      </c>
      <c r="M465" s="5">
        <v>284.89999999999998</v>
      </c>
      <c r="N465" s="3">
        <f t="shared" si="283"/>
        <v>1566949.9999999998</v>
      </c>
      <c r="O465" s="5">
        <v>0</v>
      </c>
      <c r="P465" s="5">
        <v>0</v>
      </c>
      <c r="Q465" s="5">
        <v>0</v>
      </c>
      <c r="R465" s="3">
        <f t="shared" si="281"/>
        <v>0</v>
      </c>
      <c r="S465" s="5">
        <v>0</v>
      </c>
      <c r="T465" s="5">
        <v>0</v>
      </c>
      <c r="U465" s="5">
        <v>0</v>
      </c>
      <c r="V465" s="6">
        <f t="shared" si="282"/>
        <v>5500</v>
      </c>
    </row>
    <row r="466" spans="1:22" ht="21.95" customHeight="1" x14ac:dyDescent="0.25">
      <c r="A466" s="53" t="s">
        <v>1197</v>
      </c>
      <c r="B466" s="23" t="s">
        <v>579</v>
      </c>
      <c r="C466" s="2">
        <f t="shared" si="240"/>
        <v>1566949.9999999998</v>
      </c>
      <c r="D466" s="3">
        <f t="shared" si="280"/>
        <v>0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11">
        <v>0</v>
      </c>
      <c r="L466" s="5">
        <v>0</v>
      </c>
      <c r="M466" s="5">
        <v>284.89999999999998</v>
      </c>
      <c r="N466" s="3">
        <f t="shared" si="283"/>
        <v>1566949.9999999998</v>
      </c>
      <c r="O466" s="5">
        <v>0</v>
      </c>
      <c r="P466" s="5">
        <v>0</v>
      </c>
      <c r="Q466" s="5">
        <v>0</v>
      </c>
      <c r="R466" s="3">
        <f t="shared" si="281"/>
        <v>0</v>
      </c>
      <c r="S466" s="5">
        <v>0</v>
      </c>
      <c r="T466" s="5">
        <v>0</v>
      </c>
      <c r="U466" s="5">
        <v>0</v>
      </c>
      <c r="V466" s="6">
        <f t="shared" si="282"/>
        <v>5500</v>
      </c>
    </row>
    <row r="467" spans="1:22" ht="21.95" customHeight="1" x14ac:dyDescent="0.25">
      <c r="A467" s="53" t="s">
        <v>1198</v>
      </c>
      <c r="B467" s="24" t="s">
        <v>1372</v>
      </c>
      <c r="C467" s="2">
        <f>D467+L467+N467+P467+R467+S467+T467+U467</f>
        <v>3520000</v>
      </c>
      <c r="D467" s="3">
        <f>SUM(E467:J467)</f>
        <v>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  <c r="K467" s="4">
        <v>0</v>
      </c>
      <c r="L467" s="3">
        <v>0</v>
      </c>
      <c r="M467" s="3">
        <v>640</v>
      </c>
      <c r="N467" s="3">
        <f>M467*5500</f>
        <v>3520000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6">
        <f>N467/M467</f>
        <v>5500</v>
      </c>
    </row>
    <row r="468" spans="1:22" ht="21.95" customHeight="1" x14ac:dyDescent="0.25">
      <c r="A468" s="53" t="s">
        <v>1199</v>
      </c>
      <c r="B468" s="24" t="s">
        <v>1373</v>
      </c>
      <c r="C468" s="2">
        <f>D468+L468+N468+P468+R468+S468+T468+U468</f>
        <v>3206500</v>
      </c>
      <c r="D468" s="3">
        <f>SUM(E468:J468)</f>
        <v>0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4">
        <v>0</v>
      </c>
      <c r="L468" s="3">
        <v>0</v>
      </c>
      <c r="M468" s="3">
        <v>583</v>
      </c>
      <c r="N468" s="3">
        <f t="shared" ref="N468:N469" si="284">M468*5500</f>
        <v>3206500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6">
        <f>N468/M468</f>
        <v>5500</v>
      </c>
    </row>
    <row r="469" spans="1:22" ht="21.95" customHeight="1" x14ac:dyDescent="0.25">
      <c r="A469" s="53" t="s">
        <v>1200</v>
      </c>
      <c r="B469" s="24" t="s">
        <v>1374</v>
      </c>
      <c r="C469" s="2">
        <f>D469+L469+N469+P469+R469+S469+T469+U469</f>
        <v>2816000</v>
      </c>
      <c r="D469" s="3">
        <f>SUM(E469:J469)</f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  <c r="K469" s="4">
        <v>0</v>
      </c>
      <c r="L469" s="3">
        <v>0</v>
      </c>
      <c r="M469" s="3">
        <v>512</v>
      </c>
      <c r="N469" s="3">
        <f t="shared" si="284"/>
        <v>2816000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6">
        <f>N469/M469</f>
        <v>5500</v>
      </c>
    </row>
    <row r="470" spans="1:22" ht="21.95" customHeight="1" x14ac:dyDescent="0.25">
      <c r="A470" s="53" t="s">
        <v>1201</v>
      </c>
      <c r="B470" s="8" t="s">
        <v>428</v>
      </c>
      <c r="C470" s="2">
        <f t="shared" si="240"/>
        <v>2133400</v>
      </c>
      <c r="D470" s="3">
        <f t="shared" si="280"/>
        <v>0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  <c r="J470" s="3">
        <v>0</v>
      </c>
      <c r="K470" s="4">
        <v>0</v>
      </c>
      <c r="L470" s="3">
        <v>0</v>
      </c>
      <c r="M470" s="3">
        <v>278.8</v>
      </c>
      <c r="N470" s="3">
        <f t="shared" si="283"/>
        <v>1533400</v>
      </c>
      <c r="O470" s="3">
        <v>0</v>
      </c>
      <c r="P470" s="3">
        <v>0</v>
      </c>
      <c r="Q470" s="3">
        <v>200</v>
      </c>
      <c r="R470" s="3">
        <f t="shared" si="281"/>
        <v>600000</v>
      </c>
      <c r="S470" s="3">
        <v>0</v>
      </c>
      <c r="T470" s="5">
        <v>0</v>
      </c>
      <c r="U470" s="3">
        <v>0</v>
      </c>
      <c r="V470" s="6">
        <f t="shared" si="282"/>
        <v>5500</v>
      </c>
    </row>
    <row r="471" spans="1:22" ht="21.95" customHeight="1" x14ac:dyDescent="0.25">
      <c r="A471" s="53" t="s">
        <v>1202</v>
      </c>
      <c r="B471" s="23" t="s">
        <v>429</v>
      </c>
      <c r="C471" s="2">
        <f t="shared" si="240"/>
        <v>3789650</v>
      </c>
      <c r="D471" s="3">
        <f t="shared" si="280"/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4">
        <v>0</v>
      </c>
      <c r="L471" s="3">
        <v>0</v>
      </c>
      <c r="M471" s="3">
        <v>404.3</v>
      </c>
      <c r="N471" s="3">
        <f t="shared" si="283"/>
        <v>2223650</v>
      </c>
      <c r="O471" s="3">
        <v>0</v>
      </c>
      <c r="P471" s="3">
        <v>0</v>
      </c>
      <c r="Q471" s="3">
        <v>522</v>
      </c>
      <c r="R471" s="3">
        <f t="shared" si="281"/>
        <v>1566000</v>
      </c>
      <c r="S471" s="3">
        <v>0</v>
      </c>
      <c r="T471" s="5">
        <v>0</v>
      </c>
      <c r="U471" s="3">
        <v>0</v>
      </c>
      <c r="V471" s="6">
        <f t="shared" si="282"/>
        <v>5500</v>
      </c>
    </row>
    <row r="472" spans="1:22" ht="21.95" customHeight="1" x14ac:dyDescent="0.25">
      <c r="A472" s="53" t="s">
        <v>1203</v>
      </c>
      <c r="B472" s="23" t="s">
        <v>449</v>
      </c>
      <c r="C472" s="2">
        <f t="shared" si="240"/>
        <v>3492606</v>
      </c>
      <c r="D472" s="3">
        <f t="shared" si="280"/>
        <v>697856</v>
      </c>
      <c r="E472" s="3">
        <f>350*296.96</f>
        <v>103936</v>
      </c>
      <c r="F472" s="3">
        <f>1050*296.96</f>
        <v>311808</v>
      </c>
      <c r="G472" s="3">
        <f>300*296.96</f>
        <v>89088</v>
      </c>
      <c r="H472" s="3">
        <f>400*296.96</f>
        <v>118783.99999999999</v>
      </c>
      <c r="I472" s="3">
        <f>250*296.96</f>
        <v>74240</v>
      </c>
      <c r="J472" s="3">
        <f>350*0</f>
        <v>0</v>
      </c>
      <c r="K472" s="4">
        <v>0</v>
      </c>
      <c r="L472" s="3">
        <v>0</v>
      </c>
      <c r="M472" s="3">
        <v>214.5</v>
      </c>
      <c r="N472" s="3">
        <f t="shared" si="283"/>
        <v>1179750</v>
      </c>
      <c r="O472" s="3">
        <v>0</v>
      </c>
      <c r="P472" s="3">
        <v>0</v>
      </c>
      <c r="Q472" s="3">
        <v>505</v>
      </c>
      <c r="R472" s="3">
        <f t="shared" si="281"/>
        <v>1515000</v>
      </c>
      <c r="S472" s="3">
        <v>0</v>
      </c>
      <c r="T472" s="5">
        <v>0</v>
      </c>
      <c r="U472" s="3">
        <v>100000</v>
      </c>
      <c r="V472" s="6">
        <f t="shared" si="282"/>
        <v>5500</v>
      </c>
    </row>
    <row r="473" spans="1:22" ht="21.75" customHeight="1" x14ac:dyDescent="0.25">
      <c r="A473" s="53" t="s">
        <v>1204</v>
      </c>
      <c r="B473" s="8" t="s">
        <v>495</v>
      </c>
      <c r="C473" s="2">
        <f>D473+L473+N473+P473+R473+S473+T473+U473</f>
        <v>3559000</v>
      </c>
      <c r="D473" s="3">
        <f>SUM(E473:J473)</f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4">
        <v>0</v>
      </c>
      <c r="L473" s="3">
        <v>0</v>
      </c>
      <c r="M473" s="3">
        <v>250</v>
      </c>
      <c r="N473" s="3">
        <f>M473*5500</f>
        <v>1375000</v>
      </c>
      <c r="O473" s="3">
        <v>0</v>
      </c>
      <c r="P473" s="3">
        <v>0</v>
      </c>
      <c r="Q473" s="3">
        <v>728</v>
      </c>
      <c r="R473" s="3">
        <f>Q473*3000</f>
        <v>2184000</v>
      </c>
      <c r="S473" s="3">
        <v>0</v>
      </c>
      <c r="T473" s="5">
        <v>0</v>
      </c>
      <c r="U473" s="3">
        <v>0</v>
      </c>
      <c r="V473" s="6">
        <f>N473/M473</f>
        <v>5500</v>
      </c>
    </row>
    <row r="474" spans="1:22" ht="21.95" customHeight="1" x14ac:dyDescent="0.25">
      <c r="A474" s="53" t="s">
        <v>1205</v>
      </c>
      <c r="B474" s="8" t="s">
        <v>496</v>
      </c>
      <c r="C474" s="2">
        <f t="shared" si="240"/>
        <v>2029500</v>
      </c>
      <c r="D474" s="3">
        <f t="shared" si="280"/>
        <v>0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4">
        <v>0</v>
      </c>
      <c r="L474" s="3">
        <v>0</v>
      </c>
      <c r="M474" s="3">
        <v>369</v>
      </c>
      <c r="N474" s="3">
        <f t="shared" si="283"/>
        <v>2029500</v>
      </c>
      <c r="O474" s="3">
        <v>0</v>
      </c>
      <c r="P474" s="3">
        <v>0</v>
      </c>
      <c r="Q474" s="3">
        <v>0</v>
      </c>
      <c r="R474" s="3">
        <f t="shared" si="281"/>
        <v>0</v>
      </c>
      <c r="S474" s="3">
        <v>0</v>
      </c>
      <c r="T474" s="5">
        <v>0</v>
      </c>
      <c r="U474" s="3">
        <v>0</v>
      </c>
      <c r="V474" s="6">
        <f t="shared" si="282"/>
        <v>5500</v>
      </c>
    </row>
    <row r="475" spans="1:22" ht="21.95" customHeight="1" x14ac:dyDescent="0.25">
      <c r="A475" s="53" t="s">
        <v>1206</v>
      </c>
      <c r="B475" s="8" t="s">
        <v>580</v>
      </c>
      <c r="C475" s="2">
        <f t="shared" si="240"/>
        <v>3033470</v>
      </c>
      <c r="D475" s="3">
        <f t="shared" si="280"/>
        <v>0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  <c r="K475" s="11">
        <v>0</v>
      </c>
      <c r="L475" s="5">
        <v>0</v>
      </c>
      <c r="M475" s="5">
        <v>551.54</v>
      </c>
      <c r="N475" s="3">
        <f t="shared" si="283"/>
        <v>3033470</v>
      </c>
      <c r="O475" s="5">
        <v>0</v>
      </c>
      <c r="P475" s="5">
        <v>0</v>
      </c>
      <c r="Q475" s="5">
        <v>0</v>
      </c>
      <c r="R475" s="3">
        <f t="shared" si="281"/>
        <v>0</v>
      </c>
      <c r="S475" s="5">
        <v>0</v>
      </c>
      <c r="T475" s="5">
        <v>0</v>
      </c>
      <c r="U475" s="5">
        <v>0</v>
      </c>
      <c r="V475" s="6">
        <f t="shared" si="282"/>
        <v>5500</v>
      </c>
    </row>
    <row r="476" spans="1:22" ht="21.95" customHeight="1" x14ac:dyDescent="0.25">
      <c r="A476" s="53" t="s">
        <v>1207</v>
      </c>
      <c r="B476" s="23" t="s">
        <v>581</v>
      </c>
      <c r="C476" s="2">
        <f t="shared" si="240"/>
        <v>3913894.5</v>
      </c>
      <c r="D476" s="3">
        <f t="shared" si="280"/>
        <v>1893894.5</v>
      </c>
      <c r="E476" s="3">
        <f>350*801.87</f>
        <v>280654.5</v>
      </c>
      <c r="F476" s="3">
        <f>1050*801.87</f>
        <v>841963.5</v>
      </c>
      <c r="G476" s="3">
        <f>300*811.87</f>
        <v>243561</v>
      </c>
      <c r="H476" s="3">
        <f>400*811.87</f>
        <v>324748</v>
      </c>
      <c r="I476" s="3">
        <f>250*811.87</f>
        <v>202967.5</v>
      </c>
      <c r="J476" s="3">
        <f>350*0</f>
        <v>0</v>
      </c>
      <c r="K476" s="11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640</v>
      </c>
      <c r="R476" s="3">
        <f t="shared" si="281"/>
        <v>1920000</v>
      </c>
      <c r="S476" s="5">
        <v>0</v>
      </c>
      <c r="T476" s="5">
        <v>0</v>
      </c>
      <c r="U476" s="5">
        <v>100000</v>
      </c>
      <c r="V476" s="6" t="e">
        <f t="shared" si="282"/>
        <v>#DIV/0!</v>
      </c>
    </row>
    <row r="477" spans="1:22" ht="21.95" customHeight="1" x14ac:dyDescent="0.25">
      <c r="A477" s="53" t="s">
        <v>1208</v>
      </c>
      <c r="B477" s="8" t="s">
        <v>478</v>
      </c>
      <c r="C477" s="2">
        <f t="shared" si="240"/>
        <v>3396250</v>
      </c>
      <c r="D477" s="3">
        <f t="shared" si="280"/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4">
        <v>0</v>
      </c>
      <c r="L477" s="3">
        <v>0</v>
      </c>
      <c r="M477" s="3">
        <v>617.5</v>
      </c>
      <c r="N477" s="3">
        <f t="shared" ref="N477:N484" si="285">M477*5500</f>
        <v>3396250</v>
      </c>
      <c r="O477" s="3">
        <v>0</v>
      </c>
      <c r="P477" s="3">
        <v>0</v>
      </c>
      <c r="Q477" s="3">
        <v>0</v>
      </c>
      <c r="R477" s="3">
        <f t="shared" si="281"/>
        <v>0</v>
      </c>
      <c r="S477" s="3">
        <v>0</v>
      </c>
      <c r="T477" s="5">
        <v>0</v>
      </c>
      <c r="U477" s="3">
        <v>0</v>
      </c>
      <c r="V477" s="6">
        <f t="shared" si="282"/>
        <v>5500</v>
      </c>
    </row>
    <row r="478" spans="1:22" ht="21.95" customHeight="1" x14ac:dyDescent="0.25">
      <c r="A478" s="53" t="s">
        <v>1209</v>
      </c>
      <c r="B478" s="8" t="s">
        <v>497</v>
      </c>
      <c r="C478" s="2">
        <f t="shared" si="240"/>
        <v>3220300</v>
      </c>
      <c r="D478" s="3">
        <f t="shared" si="280"/>
        <v>0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4">
        <v>0</v>
      </c>
      <c r="L478" s="3">
        <v>0</v>
      </c>
      <c r="M478" s="3">
        <v>394.6</v>
      </c>
      <c r="N478" s="3">
        <f t="shared" si="285"/>
        <v>2170300</v>
      </c>
      <c r="O478" s="3">
        <v>0</v>
      </c>
      <c r="P478" s="3">
        <v>0</v>
      </c>
      <c r="Q478" s="3">
        <v>350</v>
      </c>
      <c r="R478" s="3">
        <f t="shared" si="281"/>
        <v>1050000</v>
      </c>
      <c r="S478" s="3">
        <v>0</v>
      </c>
      <c r="T478" s="5">
        <v>0</v>
      </c>
      <c r="U478" s="3">
        <v>0</v>
      </c>
      <c r="V478" s="6">
        <f t="shared" si="282"/>
        <v>5500</v>
      </c>
    </row>
    <row r="479" spans="1:22" ht="21.95" customHeight="1" x14ac:dyDescent="0.25">
      <c r="A479" s="53" t="s">
        <v>1210</v>
      </c>
      <c r="B479" s="8" t="s">
        <v>582</v>
      </c>
      <c r="C479" s="2">
        <f t="shared" si="240"/>
        <v>1429449.9999999998</v>
      </c>
      <c r="D479" s="3">
        <f t="shared" si="280"/>
        <v>0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11">
        <v>0</v>
      </c>
      <c r="L479" s="5">
        <v>0</v>
      </c>
      <c r="M479" s="5">
        <v>259.89999999999998</v>
      </c>
      <c r="N479" s="3">
        <f t="shared" si="285"/>
        <v>1429449.9999999998</v>
      </c>
      <c r="O479" s="5">
        <v>0</v>
      </c>
      <c r="P479" s="5">
        <v>0</v>
      </c>
      <c r="Q479" s="5">
        <v>0</v>
      </c>
      <c r="R479" s="3">
        <f t="shared" si="281"/>
        <v>0</v>
      </c>
      <c r="S479" s="5">
        <v>0</v>
      </c>
      <c r="T479" s="5">
        <v>0</v>
      </c>
      <c r="U479" s="5">
        <v>0</v>
      </c>
      <c r="V479" s="6">
        <f t="shared" si="282"/>
        <v>5500</v>
      </c>
    </row>
    <row r="480" spans="1:22" ht="21.95" customHeight="1" x14ac:dyDescent="0.25">
      <c r="A480" s="53" t="s">
        <v>1211</v>
      </c>
      <c r="B480" s="8" t="s">
        <v>583</v>
      </c>
      <c r="C480" s="2">
        <f t="shared" si="240"/>
        <v>1408000</v>
      </c>
      <c r="D480" s="3">
        <f t="shared" si="280"/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11">
        <v>0</v>
      </c>
      <c r="L480" s="5">
        <v>0</v>
      </c>
      <c r="M480" s="5">
        <v>256</v>
      </c>
      <c r="N480" s="3">
        <f t="shared" si="285"/>
        <v>1408000</v>
      </c>
      <c r="O480" s="5">
        <v>0</v>
      </c>
      <c r="P480" s="5">
        <v>0</v>
      </c>
      <c r="Q480" s="5">
        <v>0</v>
      </c>
      <c r="R480" s="3">
        <f t="shared" si="281"/>
        <v>0</v>
      </c>
      <c r="S480" s="5">
        <v>0</v>
      </c>
      <c r="T480" s="5">
        <v>0</v>
      </c>
      <c r="U480" s="5">
        <v>0</v>
      </c>
      <c r="V480" s="6">
        <f t="shared" si="282"/>
        <v>5500</v>
      </c>
    </row>
    <row r="481" spans="1:22" ht="21.95" customHeight="1" x14ac:dyDescent="0.25">
      <c r="A481" s="53" t="s">
        <v>1212</v>
      </c>
      <c r="B481" s="8" t="s">
        <v>420</v>
      </c>
      <c r="C481" s="2">
        <f t="shared" si="240"/>
        <v>3458950</v>
      </c>
      <c r="D481" s="3">
        <f t="shared" si="280"/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4">
        <v>0</v>
      </c>
      <c r="L481" s="3">
        <v>0</v>
      </c>
      <c r="M481" s="3">
        <v>628.9</v>
      </c>
      <c r="N481" s="3">
        <f t="shared" si="285"/>
        <v>3458950</v>
      </c>
      <c r="O481" s="3">
        <v>0</v>
      </c>
      <c r="P481" s="3">
        <v>0</v>
      </c>
      <c r="Q481" s="3">
        <v>0</v>
      </c>
      <c r="R481" s="3">
        <f t="shared" si="281"/>
        <v>0</v>
      </c>
      <c r="S481" s="3">
        <v>0</v>
      </c>
      <c r="T481" s="5">
        <v>0</v>
      </c>
      <c r="U481" s="3">
        <v>0</v>
      </c>
      <c r="V481" s="6">
        <f t="shared" si="282"/>
        <v>5500</v>
      </c>
    </row>
    <row r="482" spans="1:22" ht="21.95" customHeight="1" x14ac:dyDescent="0.25">
      <c r="A482" s="53" t="s">
        <v>1213</v>
      </c>
      <c r="B482" s="23" t="s">
        <v>584</v>
      </c>
      <c r="C482" s="2">
        <f t="shared" si="240"/>
        <v>3708649.9999999995</v>
      </c>
      <c r="D482" s="3">
        <f t="shared" si="280"/>
        <v>0</v>
      </c>
      <c r="E482" s="3">
        <v>0</v>
      </c>
      <c r="F482" s="3">
        <v>0</v>
      </c>
      <c r="G482" s="3">
        <v>0</v>
      </c>
      <c r="H482" s="3">
        <v>0</v>
      </c>
      <c r="I482" s="3">
        <v>0</v>
      </c>
      <c r="J482" s="3">
        <v>0</v>
      </c>
      <c r="K482" s="11">
        <v>0</v>
      </c>
      <c r="L482" s="5">
        <v>0</v>
      </c>
      <c r="M482" s="5">
        <v>674.3</v>
      </c>
      <c r="N482" s="3">
        <f t="shared" si="285"/>
        <v>3708649.9999999995</v>
      </c>
      <c r="O482" s="5">
        <v>0</v>
      </c>
      <c r="P482" s="5">
        <v>0</v>
      </c>
      <c r="Q482" s="5">
        <v>0</v>
      </c>
      <c r="R482" s="3">
        <f t="shared" si="281"/>
        <v>0</v>
      </c>
      <c r="S482" s="5">
        <v>0</v>
      </c>
      <c r="T482" s="5">
        <v>0</v>
      </c>
      <c r="U482" s="5">
        <v>0</v>
      </c>
      <c r="V482" s="6">
        <f t="shared" si="282"/>
        <v>5500</v>
      </c>
    </row>
    <row r="483" spans="1:22" ht="21.95" customHeight="1" x14ac:dyDescent="0.25">
      <c r="A483" s="53" t="s">
        <v>1214</v>
      </c>
      <c r="B483" s="23" t="s">
        <v>479</v>
      </c>
      <c r="C483" s="2">
        <f t="shared" si="240"/>
        <v>6574200</v>
      </c>
      <c r="D483" s="3">
        <f t="shared" si="280"/>
        <v>1458600</v>
      </c>
      <c r="E483" s="3">
        <f>350*748</f>
        <v>261800</v>
      </c>
      <c r="F483" s="3">
        <f>1050*748</f>
        <v>785400</v>
      </c>
      <c r="G483" s="3">
        <f>300*748</f>
        <v>224400</v>
      </c>
      <c r="H483" s="3">
        <f>400*0</f>
        <v>0</v>
      </c>
      <c r="I483" s="3">
        <f>250*748</f>
        <v>187000</v>
      </c>
      <c r="J483" s="3">
        <f>350*0</f>
        <v>0</v>
      </c>
      <c r="K483" s="4">
        <v>0</v>
      </c>
      <c r="L483" s="3">
        <v>0</v>
      </c>
      <c r="M483" s="3">
        <v>639.20000000000005</v>
      </c>
      <c r="N483" s="3">
        <f t="shared" si="285"/>
        <v>3515600.0000000005</v>
      </c>
      <c r="O483" s="3">
        <v>0</v>
      </c>
      <c r="P483" s="3">
        <v>0</v>
      </c>
      <c r="Q483" s="3">
        <v>500</v>
      </c>
      <c r="R483" s="3">
        <f t="shared" si="281"/>
        <v>1500000</v>
      </c>
      <c r="S483" s="3">
        <v>0</v>
      </c>
      <c r="T483" s="5">
        <v>0</v>
      </c>
      <c r="U483" s="3">
        <v>100000</v>
      </c>
      <c r="V483" s="6">
        <f t="shared" si="282"/>
        <v>5500</v>
      </c>
    </row>
    <row r="484" spans="1:22" ht="21.95" customHeight="1" x14ac:dyDescent="0.25">
      <c r="A484" s="53" t="s">
        <v>1215</v>
      </c>
      <c r="B484" s="8" t="s">
        <v>585</v>
      </c>
      <c r="C484" s="2">
        <f t="shared" si="240"/>
        <v>300000</v>
      </c>
      <c r="D484" s="3">
        <f t="shared" si="280"/>
        <v>0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11">
        <v>0</v>
      </c>
      <c r="L484" s="5">
        <v>0</v>
      </c>
      <c r="M484" s="5">
        <v>0</v>
      </c>
      <c r="N484" s="3">
        <f t="shared" si="285"/>
        <v>0</v>
      </c>
      <c r="O484" s="5">
        <v>0</v>
      </c>
      <c r="P484" s="5">
        <v>0</v>
      </c>
      <c r="Q484" s="5">
        <v>0</v>
      </c>
      <c r="R484" s="3">
        <f t="shared" si="281"/>
        <v>0</v>
      </c>
      <c r="S484" s="5">
        <v>0</v>
      </c>
      <c r="T484" s="5">
        <v>0</v>
      </c>
      <c r="U484" s="5">
        <v>300000</v>
      </c>
      <c r="V484" s="6" t="e">
        <f t="shared" si="282"/>
        <v>#DIV/0!</v>
      </c>
    </row>
    <row r="485" spans="1:22" ht="21.95" customHeight="1" x14ac:dyDescent="0.25">
      <c r="A485" s="53" t="s">
        <v>1216</v>
      </c>
      <c r="B485" s="23" t="s">
        <v>506</v>
      </c>
      <c r="C485" s="2">
        <f>D485+L485+N485+P485+R485+S485+T485+U485</f>
        <v>6758070</v>
      </c>
      <c r="D485" s="3">
        <f>SUM(E485:J485)</f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4">
        <v>0</v>
      </c>
      <c r="L485" s="3">
        <v>0</v>
      </c>
      <c r="M485" s="3">
        <v>1161.9000000000001</v>
      </c>
      <c r="N485" s="3">
        <v>6158070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600000</v>
      </c>
      <c r="V485" s="6">
        <f>N485/M485</f>
        <v>5300</v>
      </c>
    </row>
    <row r="486" spans="1:22" ht="21.95" customHeight="1" x14ac:dyDescent="0.25">
      <c r="A486" s="53" t="s">
        <v>1217</v>
      </c>
      <c r="B486" s="23" t="s">
        <v>508</v>
      </c>
      <c r="C486" s="2">
        <f>D486+L486+N486+P486+R486+S486+T486+U486</f>
        <v>16655539.5</v>
      </c>
      <c r="D486" s="3">
        <f>SUM(E486:J486)</f>
        <v>3664609.5</v>
      </c>
      <c r="E486" s="3">
        <f>350*1980.87</f>
        <v>693304.5</v>
      </c>
      <c r="F486" s="3">
        <f>800*1980.87</f>
        <v>1584696</v>
      </c>
      <c r="G486" s="3">
        <f>300*1980.87</f>
        <v>594261</v>
      </c>
      <c r="H486" s="3">
        <f>500*0</f>
        <v>0</v>
      </c>
      <c r="I486" s="3">
        <f>400*1980.87</f>
        <v>792348</v>
      </c>
      <c r="J486" s="3">
        <f>350*0</f>
        <v>0</v>
      </c>
      <c r="K486" s="4">
        <v>0</v>
      </c>
      <c r="L486" s="3">
        <v>0</v>
      </c>
      <c r="M486" s="3">
        <v>1748.1</v>
      </c>
      <c r="N486" s="3">
        <v>9264930</v>
      </c>
      <c r="O486" s="3">
        <v>0</v>
      </c>
      <c r="P486" s="3">
        <v>0</v>
      </c>
      <c r="Q486" s="3">
        <v>1200</v>
      </c>
      <c r="R486" s="3">
        <f>Q486*2605</f>
        <v>3126000</v>
      </c>
      <c r="S486" s="3">
        <v>0</v>
      </c>
      <c r="T486" s="3">
        <v>0</v>
      </c>
      <c r="U486" s="3">
        <v>600000</v>
      </c>
      <c r="V486" s="6">
        <f>N486/M486</f>
        <v>5300</v>
      </c>
    </row>
    <row r="487" spans="1:22" ht="21.95" customHeight="1" x14ac:dyDescent="0.25">
      <c r="A487" s="53" t="s">
        <v>1627</v>
      </c>
      <c r="B487" s="8" t="s">
        <v>400</v>
      </c>
      <c r="C487" s="2">
        <f>D487+L487+N487+P487+R487+S487+T487+U487</f>
        <v>300000</v>
      </c>
      <c r="D487" s="3">
        <f>SUM(E487:J487)</f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f>350*0</f>
        <v>0</v>
      </c>
      <c r="K487" s="4">
        <v>0</v>
      </c>
      <c r="L487" s="3">
        <v>0</v>
      </c>
      <c r="M487" s="3">
        <v>0</v>
      </c>
      <c r="N487" s="3">
        <f>M487*5500</f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300000</v>
      </c>
      <c r="V487" s="6" t="e">
        <f>N487/M487</f>
        <v>#DIV/0!</v>
      </c>
    </row>
    <row r="488" spans="1:22" ht="21.95" customHeight="1" x14ac:dyDescent="0.25">
      <c r="A488" s="53" t="s">
        <v>1218</v>
      </c>
      <c r="B488" s="8" t="s">
        <v>586</v>
      </c>
      <c r="C488" s="2">
        <f t="shared" si="240"/>
        <v>7357758.75</v>
      </c>
      <c r="D488" s="3">
        <f t="shared" si="280"/>
        <v>3978550</v>
      </c>
      <c r="E488" s="3">
        <f>350*1693</f>
        <v>592550</v>
      </c>
      <c r="F488" s="3">
        <f>1050*1693</f>
        <v>1777650</v>
      </c>
      <c r="G488" s="3">
        <f>300*1693</f>
        <v>507900</v>
      </c>
      <c r="H488" s="3">
        <f>400*1693</f>
        <v>677200</v>
      </c>
      <c r="I488" s="3">
        <f>250*1693</f>
        <v>423250</v>
      </c>
      <c r="J488" s="3">
        <f>350*0</f>
        <v>0</v>
      </c>
      <c r="K488" s="11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1060</v>
      </c>
      <c r="R488" s="3">
        <f t="shared" si="281"/>
        <v>3180000</v>
      </c>
      <c r="S488" s="5">
        <v>0</v>
      </c>
      <c r="T488" s="5">
        <v>0</v>
      </c>
      <c r="U488" s="5">
        <v>199208.75</v>
      </c>
      <c r="V488" s="6" t="e">
        <f t="shared" si="282"/>
        <v>#DIV/0!</v>
      </c>
    </row>
    <row r="489" spans="1:22" ht="21.95" customHeight="1" x14ac:dyDescent="0.25">
      <c r="A489" s="53" t="s">
        <v>1219</v>
      </c>
      <c r="B489" s="8" t="s">
        <v>391</v>
      </c>
      <c r="C489" s="2">
        <f t="shared" si="240"/>
        <v>3096098.64</v>
      </c>
      <c r="D489" s="3">
        <f t="shared" si="280"/>
        <v>2838612</v>
      </c>
      <c r="E489" s="3">
        <f>350*1207.92</f>
        <v>422772</v>
      </c>
      <c r="F489" s="3">
        <f>1050*1207.92</f>
        <v>1268316</v>
      </c>
      <c r="G489" s="3">
        <f>300*1207.92</f>
        <v>362376</v>
      </c>
      <c r="H489" s="3">
        <f>400*1207.92</f>
        <v>483168</v>
      </c>
      <c r="I489" s="3">
        <f>250*1207.92</f>
        <v>301980</v>
      </c>
      <c r="J489" s="3">
        <f>350*0</f>
        <v>0</v>
      </c>
      <c r="K489" s="4">
        <v>0</v>
      </c>
      <c r="L489" s="3">
        <v>0</v>
      </c>
      <c r="M489" s="3">
        <v>0</v>
      </c>
      <c r="N489" s="3">
        <v>0</v>
      </c>
      <c r="O489" s="3">
        <v>0</v>
      </c>
      <c r="P489" s="3">
        <v>0</v>
      </c>
      <c r="Q489" s="3">
        <v>0</v>
      </c>
      <c r="R489" s="3">
        <f t="shared" si="281"/>
        <v>0</v>
      </c>
      <c r="S489" s="3">
        <v>0</v>
      </c>
      <c r="T489" s="3">
        <v>0</v>
      </c>
      <c r="U489" s="3">
        <v>257486.64</v>
      </c>
      <c r="V489" s="6" t="e">
        <f t="shared" si="282"/>
        <v>#DIV/0!</v>
      </c>
    </row>
    <row r="490" spans="1:22" ht="21.95" customHeight="1" x14ac:dyDescent="0.25">
      <c r="A490" s="53" t="s">
        <v>1220</v>
      </c>
      <c r="B490" s="8" t="s">
        <v>441</v>
      </c>
      <c r="C490" s="2">
        <f t="shared" si="240"/>
        <v>1837000</v>
      </c>
      <c r="D490" s="3">
        <f t="shared" si="280"/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3">
        <v>0</v>
      </c>
      <c r="K490" s="4">
        <v>0</v>
      </c>
      <c r="L490" s="3">
        <v>0</v>
      </c>
      <c r="M490" s="3">
        <v>334</v>
      </c>
      <c r="N490" s="3">
        <f t="shared" ref="N490:N499" si="286">M490*5500</f>
        <v>1837000</v>
      </c>
      <c r="O490" s="3">
        <v>0</v>
      </c>
      <c r="P490" s="3">
        <v>0</v>
      </c>
      <c r="Q490" s="3">
        <v>0</v>
      </c>
      <c r="R490" s="3">
        <f t="shared" si="281"/>
        <v>0</v>
      </c>
      <c r="S490" s="3">
        <v>0</v>
      </c>
      <c r="T490" s="5">
        <v>0</v>
      </c>
      <c r="U490" s="3">
        <v>0</v>
      </c>
      <c r="V490" s="6">
        <f t="shared" si="282"/>
        <v>5500</v>
      </c>
    </row>
    <row r="491" spans="1:22" ht="21.95" customHeight="1" x14ac:dyDescent="0.25">
      <c r="A491" s="53" t="s">
        <v>1221</v>
      </c>
      <c r="B491" s="8" t="s">
        <v>442</v>
      </c>
      <c r="C491" s="2">
        <f t="shared" si="240"/>
        <v>1848000</v>
      </c>
      <c r="D491" s="3">
        <f t="shared" si="280"/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4">
        <v>0</v>
      </c>
      <c r="L491" s="3">
        <v>0</v>
      </c>
      <c r="M491" s="3">
        <v>336</v>
      </c>
      <c r="N491" s="3">
        <f t="shared" si="286"/>
        <v>1848000</v>
      </c>
      <c r="O491" s="3">
        <v>0</v>
      </c>
      <c r="P491" s="3">
        <v>0</v>
      </c>
      <c r="Q491" s="3">
        <v>0</v>
      </c>
      <c r="R491" s="3">
        <f t="shared" si="281"/>
        <v>0</v>
      </c>
      <c r="S491" s="3">
        <v>0</v>
      </c>
      <c r="T491" s="5">
        <v>0</v>
      </c>
      <c r="U491" s="3">
        <v>0</v>
      </c>
      <c r="V491" s="6">
        <f t="shared" si="282"/>
        <v>5500</v>
      </c>
    </row>
    <row r="492" spans="1:22" ht="21.95" customHeight="1" x14ac:dyDescent="0.25">
      <c r="A492" s="53" t="s">
        <v>1222</v>
      </c>
      <c r="B492" s="8" t="s">
        <v>587</v>
      </c>
      <c r="C492" s="2">
        <f t="shared" si="240"/>
        <v>3206500</v>
      </c>
      <c r="D492" s="3">
        <f t="shared" si="280"/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11">
        <v>0</v>
      </c>
      <c r="L492" s="5">
        <v>0</v>
      </c>
      <c r="M492" s="5">
        <v>583</v>
      </c>
      <c r="N492" s="3">
        <f t="shared" si="286"/>
        <v>3206500</v>
      </c>
      <c r="O492" s="5">
        <v>0</v>
      </c>
      <c r="P492" s="5">
        <v>0</v>
      </c>
      <c r="Q492" s="5">
        <v>0</v>
      </c>
      <c r="R492" s="3">
        <f t="shared" si="281"/>
        <v>0</v>
      </c>
      <c r="S492" s="5">
        <v>0</v>
      </c>
      <c r="T492" s="5">
        <v>0</v>
      </c>
      <c r="U492" s="5">
        <v>0</v>
      </c>
      <c r="V492" s="6">
        <f t="shared" si="282"/>
        <v>5500</v>
      </c>
    </row>
    <row r="493" spans="1:22" ht="21.95" customHeight="1" x14ac:dyDescent="0.25">
      <c r="A493" s="53" t="s">
        <v>1223</v>
      </c>
      <c r="B493" s="8" t="s">
        <v>1340</v>
      </c>
      <c r="C493" s="2">
        <f t="shared" si="240"/>
        <v>1548360</v>
      </c>
      <c r="D493" s="3">
        <f t="shared" si="280"/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11">
        <v>0</v>
      </c>
      <c r="L493" s="5">
        <v>0</v>
      </c>
      <c r="M493" s="5">
        <v>281.52</v>
      </c>
      <c r="N493" s="3">
        <f t="shared" si="286"/>
        <v>1548360</v>
      </c>
      <c r="O493" s="5">
        <v>0</v>
      </c>
      <c r="P493" s="5">
        <v>0</v>
      </c>
      <c r="Q493" s="5">
        <v>0</v>
      </c>
      <c r="R493" s="3">
        <f t="shared" si="281"/>
        <v>0</v>
      </c>
      <c r="S493" s="5">
        <v>0</v>
      </c>
      <c r="T493" s="5">
        <v>0</v>
      </c>
      <c r="U493" s="5">
        <v>0</v>
      </c>
      <c r="V493" s="6">
        <f t="shared" si="282"/>
        <v>5500</v>
      </c>
    </row>
    <row r="494" spans="1:22" ht="21.95" customHeight="1" x14ac:dyDescent="0.25">
      <c r="A494" s="53" t="s">
        <v>1414</v>
      </c>
      <c r="B494" s="8" t="s">
        <v>397</v>
      </c>
      <c r="C494" s="2">
        <f t="shared" si="240"/>
        <v>3380200</v>
      </c>
      <c r="D494" s="3">
        <f t="shared" si="280"/>
        <v>0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4">
        <v>0</v>
      </c>
      <c r="L494" s="3">
        <v>0</v>
      </c>
      <c r="M494" s="3">
        <v>394</v>
      </c>
      <c r="N494" s="3">
        <f t="shared" si="286"/>
        <v>2167000</v>
      </c>
      <c r="O494" s="3">
        <v>0</v>
      </c>
      <c r="P494" s="3">
        <v>0</v>
      </c>
      <c r="Q494" s="3">
        <v>404.4</v>
      </c>
      <c r="R494" s="3">
        <f t="shared" si="281"/>
        <v>1213200</v>
      </c>
      <c r="S494" s="3">
        <v>0</v>
      </c>
      <c r="T494" s="5">
        <v>0</v>
      </c>
      <c r="U494" s="3">
        <v>0</v>
      </c>
      <c r="V494" s="6">
        <f t="shared" si="282"/>
        <v>5500</v>
      </c>
    </row>
    <row r="495" spans="1:22" ht="21.95" customHeight="1" x14ac:dyDescent="0.25">
      <c r="A495" s="53" t="s">
        <v>1224</v>
      </c>
      <c r="B495" s="8" t="s">
        <v>511</v>
      </c>
      <c r="C495" s="2">
        <f t="shared" si="240"/>
        <v>2745000</v>
      </c>
      <c r="D495" s="3">
        <f t="shared" si="280"/>
        <v>0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11">
        <v>0</v>
      </c>
      <c r="L495" s="5">
        <v>0</v>
      </c>
      <c r="M495" s="5">
        <v>270</v>
      </c>
      <c r="N495" s="3">
        <f t="shared" si="286"/>
        <v>1485000</v>
      </c>
      <c r="O495" s="5">
        <v>0</v>
      </c>
      <c r="P495" s="5">
        <v>0</v>
      </c>
      <c r="Q495" s="5">
        <v>420</v>
      </c>
      <c r="R495" s="3">
        <f t="shared" si="281"/>
        <v>1260000</v>
      </c>
      <c r="S495" s="5">
        <v>0</v>
      </c>
      <c r="T495" s="5">
        <v>0</v>
      </c>
      <c r="U495" s="5">
        <v>0</v>
      </c>
      <c r="V495" s="6">
        <f t="shared" si="282"/>
        <v>5500</v>
      </c>
    </row>
    <row r="496" spans="1:22" ht="21.95" customHeight="1" x14ac:dyDescent="0.25">
      <c r="A496" s="53" t="s">
        <v>1225</v>
      </c>
      <c r="B496" s="8" t="s">
        <v>588</v>
      </c>
      <c r="C496" s="2">
        <f t="shared" si="240"/>
        <v>2849000</v>
      </c>
      <c r="D496" s="3">
        <f t="shared" si="280"/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11">
        <v>0</v>
      </c>
      <c r="L496" s="5">
        <v>0</v>
      </c>
      <c r="M496" s="5">
        <v>518</v>
      </c>
      <c r="N496" s="3">
        <f t="shared" si="286"/>
        <v>2849000</v>
      </c>
      <c r="O496" s="5">
        <v>0</v>
      </c>
      <c r="P496" s="5">
        <v>0</v>
      </c>
      <c r="Q496" s="5">
        <v>0</v>
      </c>
      <c r="R496" s="3">
        <f t="shared" si="281"/>
        <v>0</v>
      </c>
      <c r="S496" s="5">
        <v>0</v>
      </c>
      <c r="T496" s="5">
        <v>0</v>
      </c>
      <c r="U496" s="5">
        <v>0</v>
      </c>
      <c r="V496" s="6">
        <f t="shared" si="282"/>
        <v>5500</v>
      </c>
    </row>
    <row r="497" spans="1:22" ht="21.95" customHeight="1" x14ac:dyDescent="0.25">
      <c r="A497" s="53" t="s">
        <v>1226</v>
      </c>
      <c r="B497" s="8" t="s">
        <v>684</v>
      </c>
      <c r="C497" s="2">
        <f t="shared" si="240"/>
        <v>730950</v>
      </c>
      <c r="D497" s="3">
        <f t="shared" si="280"/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4">
        <v>0</v>
      </c>
      <c r="L497" s="3">
        <v>0</v>
      </c>
      <c r="M497" s="3">
        <v>132.9</v>
      </c>
      <c r="N497" s="3">
        <f t="shared" si="286"/>
        <v>730950</v>
      </c>
      <c r="O497" s="3">
        <v>0</v>
      </c>
      <c r="P497" s="3">
        <v>0</v>
      </c>
      <c r="Q497" s="3">
        <v>0</v>
      </c>
      <c r="R497" s="3">
        <f t="shared" si="281"/>
        <v>0</v>
      </c>
      <c r="S497" s="3">
        <v>0</v>
      </c>
      <c r="T497" s="5">
        <v>0</v>
      </c>
      <c r="U497" s="3">
        <v>0</v>
      </c>
      <c r="V497" s="6">
        <f t="shared" si="282"/>
        <v>5500</v>
      </c>
    </row>
    <row r="498" spans="1:22" ht="21.95" customHeight="1" x14ac:dyDescent="0.25">
      <c r="A498" s="53" t="s">
        <v>1227</v>
      </c>
      <c r="B498" s="8" t="s">
        <v>512</v>
      </c>
      <c r="C498" s="2">
        <f t="shared" si="240"/>
        <v>1863400</v>
      </c>
      <c r="D498" s="3">
        <f t="shared" si="280"/>
        <v>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11">
        <v>0</v>
      </c>
      <c r="L498" s="5">
        <v>0</v>
      </c>
      <c r="M498" s="5">
        <v>338.8</v>
      </c>
      <c r="N498" s="3">
        <f t="shared" si="286"/>
        <v>1863400</v>
      </c>
      <c r="O498" s="5">
        <v>0</v>
      </c>
      <c r="P498" s="5">
        <v>0</v>
      </c>
      <c r="Q498" s="5">
        <v>0</v>
      </c>
      <c r="R498" s="3">
        <f t="shared" si="281"/>
        <v>0</v>
      </c>
      <c r="S498" s="5">
        <v>0</v>
      </c>
      <c r="T498" s="5">
        <v>0</v>
      </c>
      <c r="U498" s="5">
        <v>0</v>
      </c>
      <c r="V498" s="6">
        <f t="shared" si="282"/>
        <v>5500</v>
      </c>
    </row>
    <row r="499" spans="1:22" ht="21.95" customHeight="1" x14ac:dyDescent="0.25">
      <c r="A499" s="53" t="s">
        <v>1228</v>
      </c>
      <c r="B499" s="8" t="s">
        <v>589</v>
      </c>
      <c r="C499" s="2">
        <f t="shared" si="240"/>
        <v>2816000</v>
      </c>
      <c r="D499" s="3">
        <f t="shared" si="280"/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11">
        <v>0</v>
      </c>
      <c r="L499" s="5">
        <v>0</v>
      </c>
      <c r="M499" s="5">
        <v>512</v>
      </c>
      <c r="N499" s="3">
        <f t="shared" si="286"/>
        <v>2816000</v>
      </c>
      <c r="O499" s="5">
        <v>0</v>
      </c>
      <c r="P499" s="5">
        <v>0</v>
      </c>
      <c r="Q499" s="5">
        <v>0</v>
      </c>
      <c r="R499" s="3">
        <f t="shared" si="281"/>
        <v>0</v>
      </c>
      <c r="S499" s="5">
        <v>0</v>
      </c>
      <c r="T499" s="5">
        <v>0</v>
      </c>
      <c r="U499" s="5">
        <v>0</v>
      </c>
      <c r="V499" s="6">
        <f t="shared" si="282"/>
        <v>5500</v>
      </c>
    </row>
    <row r="500" spans="1:22" ht="21.95" customHeight="1" x14ac:dyDescent="0.25">
      <c r="A500" s="53" t="s">
        <v>1229</v>
      </c>
      <c r="B500" s="8" t="s">
        <v>464</v>
      </c>
      <c r="C500" s="2">
        <f t="shared" si="240"/>
        <v>4736960</v>
      </c>
      <c r="D500" s="3">
        <f t="shared" ref="D500" si="287">SUM(E500:J500)</f>
        <v>4736960</v>
      </c>
      <c r="E500" s="3">
        <v>0</v>
      </c>
      <c r="F500" s="3">
        <f>800*5921.2</f>
        <v>4736960</v>
      </c>
      <c r="G500" s="3">
        <v>0</v>
      </c>
      <c r="H500" s="3">
        <f>500*0</f>
        <v>0</v>
      </c>
      <c r="I500" s="3">
        <v>0</v>
      </c>
      <c r="J500" s="3">
        <f>350*0</f>
        <v>0</v>
      </c>
      <c r="K500" s="4">
        <v>0</v>
      </c>
      <c r="L500" s="3">
        <v>0</v>
      </c>
      <c r="M500" s="3">
        <v>0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6" t="e">
        <f t="shared" si="282"/>
        <v>#DIV/0!</v>
      </c>
    </row>
    <row r="501" spans="1:22" ht="21.95" customHeight="1" x14ac:dyDescent="0.25">
      <c r="A501" s="53" t="s">
        <v>1230</v>
      </c>
      <c r="B501" s="23" t="s">
        <v>590</v>
      </c>
      <c r="C501" s="2">
        <f t="shared" si="240"/>
        <v>5048836.24</v>
      </c>
      <c r="D501" s="3">
        <f t="shared" si="280"/>
        <v>4823305.5</v>
      </c>
      <c r="E501" s="3">
        <f>350*2473.49</f>
        <v>865721.49999999988</v>
      </c>
      <c r="F501" s="3">
        <f>1050*2473.49</f>
        <v>2597164.5</v>
      </c>
      <c r="G501" s="3">
        <f>300*2473.49</f>
        <v>742046.99999999988</v>
      </c>
      <c r="H501" s="3">
        <v>0</v>
      </c>
      <c r="I501" s="3">
        <f>250*2473.49</f>
        <v>618372.5</v>
      </c>
      <c r="J501" s="3">
        <f>350*0</f>
        <v>0</v>
      </c>
      <c r="K501" s="11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3">
        <f t="shared" si="281"/>
        <v>0</v>
      </c>
      <c r="S501" s="5">
        <v>0</v>
      </c>
      <c r="T501" s="5">
        <v>0</v>
      </c>
      <c r="U501" s="5">
        <v>225530.74</v>
      </c>
      <c r="V501" s="6" t="e">
        <f t="shared" si="282"/>
        <v>#DIV/0!</v>
      </c>
    </row>
    <row r="502" spans="1:22" ht="21.95" customHeight="1" x14ac:dyDescent="0.25">
      <c r="A502" s="53" t="s">
        <v>1231</v>
      </c>
      <c r="B502" s="8" t="s">
        <v>591</v>
      </c>
      <c r="C502" s="2">
        <f t="shared" si="240"/>
        <v>2615670.7599999998</v>
      </c>
      <c r="D502" s="3">
        <f t="shared" si="280"/>
        <v>2446080</v>
      </c>
      <c r="E502" s="3">
        <f>350*1254.4</f>
        <v>439040.00000000006</v>
      </c>
      <c r="F502" s="3">
        <f>1050*1254.4</f>
        <v>1317120</v>
      </c>
      <c r="G502" s="3">
        <f>300*1254.4</f>
        <v>376320</v>
      </c>
      <c r="H502" s="3">
        <v>0</v>
      </c>
      <c r="I502" s="3">
        <f>250*1254.4</f>
        <v>313600</v>
      </c>
      <c r="J502" s="3">
        <f>350*0</f>
        <v>0</v>
      </c>
      <c r="K502" s="11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3">
        <f t="shared" si="281"/>
        <v>0</v>
      </c>
      <c r="S502" s="5">
        <v>0</v>
      </c>
      <c r="T502" s="5">
        <v>0</v>
      </c>
      <c r="U502" s="5">
        <v>169590.76</v>
      </c>
      <c r="V502" s="6" t="e">
        <f t="shared" si="282"/>
        <v>#DIV/0!</v>
      </c>
    </row>
    <row r="503" spans="1:22" ht="21.95" customHeight="1" x14ac:dyDescent="0.25">
      <c r="A503" s="53" t="s">
        <v>1232</v>
      </c>
      <c r="B503" s="8" t="s">
        <v>390</v>
      </c>
      <c r="C503" s="2">
        <f>D503+L503+N503+P503+R503+S503+T503+U503</f>
        <v>10458306.5</v>
      </c>
      <c r="D503" s="3">
        <f>SUM(E503:J503)</f>
        <v>10258306.5</v>
      </c>
      <c r="E503" s="3">
        <f>350*5260.67</f>
        <v>1841234.5</v>
      </c>
      <c r="F503" s="3">
        <f>1050*5260.67</f>
        <v>5523703.5</v>
      </c>
      <c r="G503" s="3">
        <f>300*5260.67</f>
        <v>1578201</v>
      </c>
      <c r="H503" s="3">
        <v>0</v>
      </c>
      <c r="I503" s="3">
        <f>250*5260.67</f>
        <v>1315167.5</v>
      </c>
      <c r="J503" s="3">
        <f>350*0</f>
        <v>0</v>
      </c>
      <c r="K503" s="4">
        <v>0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200000</v>
      </c>
      <c r="V503" s="6" t="e">
        <f>N503/M503</f>
        <v>#DIV/0!</v>
      </c>
    </row>
    <row r="504" spans="1:22" ht="21.95" customHeight="1" x14ac:dyDescent="0.25">
      <c r="A504" s="53" t="s">
        <v>1233</v>
      </c>
      <c r="B504" s="23" t="s">
        <v>1182</v>
      </c>
      <c r="C504" s="2">
        <f t="shared" ref="C504:C589" si="288">D504+L504+N504+P504+R504+S504+T504+U504</f>
        <v>300000</v>
      </c>
      <c r="D504" s="3">
        <f t="shared" si="280"/>
        <v>0</v>
      </c>
      <c r="E504" s="3">
        <v>0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11">
        <v>0</v>
      </c>
      <c r="L504" s="5">
        <v>0</v>
      </c>
      <c r="M504" s="5">
        <v>0</v>
      </c>
      <c r="N504" s="3">
        <f t="shared" ref="N504:N509" si="289">M504*5500</f>
        <v>0</v>
      </c>
      <c r="O504" s="5">
        <v>0</v>
      </c>
      <c r="P504" s="5">
        <v>0</v>
      </c>
      <c r="Q504" s="5">
        <v>0</v>
      </c>
      <c r="R504" s="3">
        <f t="shared" si="281"/>
        <v>0</v>
      </c>
      <c r="S504" s="5">
        <v>0</v>
      </c>
      <c r="T504" s="5">
        <v>0</v>
      </c>
      <c r="U504" s="5">
        <v>300000</v>
      </c>
      <c r="V504" s="6" t="e">
        <f t="shared" si="282"/>
        <v>#DIV/0!</v>
      </c>
    </row>
    <row r="505" spans="1:22" ht="21.95" customHeight="1" x14ac:dyDescent="0.25">
      <c r="A505" s="53" t="s">
        <v>1234</v>
      </c>
      <c r="B505" s="23" t="s">
        <v>430</v>
      </c>
      <c r="C505" s="2">
        <f t="shared" si="288"/>
        <v>2200000</v>
      </c>
      <c r="D505" s="3">
        <f t="shared" si="280"/>
        <v>0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4">
        <v>0</v>
      </c>
      <c r="L505" s="3">
        <v>0</v>
      </c>
      <c r="M505" s="3">
        <v>400</v>
      </c>
      <c r="N505" s="3">
        <f t="shared" si="289"/>
        <v>2200000</v>
      </c>
      <c r="O505" s="3">
        <v>0</v>
      </c>
      <c r="P505" s="3">
        <v>0</v>
      </c>
      <c r="Q505" s="3">
        <v>0</v>
      </c>
      <c r="R505" s="3">
        <f t="shared" si="281"/>
        <v>0</v>
      </c>
      <c r="S505" s="3">
        <v>0</v>
      </c>
      <c r="T505" s="5">
        <v>0</v>
      </c>
      <c r="U505" s="3">
        <v>0</v>
      </c>
      <c r="V505" s="6">
        <f t="shared" si="282"/>
        <v>5500</v>
      </c>
    </row>
    <row r="506" spans="1:22" ht="21.95" customHeight="1" x14ac:dyDescent="0.25">
      <c r="A506" s="53" t="s">
        <v>1235</v>
      </c>
      <c r="B506" s="23" t="s">
        <v>435</v>
      </c>
      <c r="C506" s="2">
        <f t="shared" si="288"/>
        <v>3762000</v>
      </c>
      <c r="D506" s="3">
        <f t="shared" si="280"/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4">
        <v>0</v>
      </c>
      <c r="L506" s="3">
        <v>0</v>
      </c>
      <c r="M506" s="3">
        <v>402</v>
      </c>
      <c r="N506" s="3">
        <f t="shared" si="289"/>
        <v>2211000</v>
      </c>
      <c r="O506" s="3">
        <v>0</v>
      </c>
      <c r="P506" s="3">
        <v>0</v>
      </c>
      <c r="Q506" s="3">
        <v>517</v>
      </c>
      <c r="R506" s="3">
        <f t="shared" si="281"/>
        <v>1551000</v>
      </c>
      <c r="S506" s="3">
        <v>0</v>
      </c>
      <c r="T506" s="5">
        <v>0</v>
      </c>
      <c r="U506" s="3">
        <v>0</v>
      </c>
      <c r="V506" s="6">
        <f t="shared" si="282"/>
        <v>5500</v>
      </c>
    </row>
    <row r="507" spans="1:22" ht="21.95" customHeight="1" x14ac:dyDescent="0.25">
      <c r="A507" s="53" t="s">
        <v>1236</v>
      </c>
      <c r="B507" s="23" t="s">
        <v>513</v>
      </c>
      <c r="C507" s="2">
        <f t="shared" si="288"/>
        <v>300000</v>
      </c>
      <c r="D507" s="3">
        <f t="shared" si="280"/>
        <v>0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11">
        <v>0</v>
      </c>
      <c r="L507" s="5">
        <v>0</v>
      </c>
      <c r="M507" s="5">
        <v>0</v>
      </c>
      <c r="N507" s="3">
        <f t="shared" si="289"/>
        <v>0</v>
      </c>
      <c r="O507" s="5">
        <v>0</v>
      </c>
      <c r="P507" s="5">
        <v>0</v>
      </c>
      <c r="Q507" s="5">
        <v>0</v>
      </c>
      <c r="R507" s="3">
        <f t="shared" si="281"/>
        <v>0</v>
      </c>
      <c r="S507" s="5">
        <v>0</v>
      </c>
      <c r="T507" s="5">
        <v>0</v>
      </c>
      <c r="U507" s="5">
        <v>300000</v>
      </c>
      <c r="V507" s="6" t="e">
        <f t="shared" si="282"/>
        <v>#DIV/0!</v>
      </c>
    </row>
    <row r="508" spans="1:22" ht="21.95" customHeight="1" x14ac:dyDescent="0.25">
      <c r="A508" s="53" t="s">
        <v>1237</v>
      </c>
      <c r="B508" s="23" t="s">
        <v>465</v>
      </c>
      <c r="C508" s="2">
        <f t="shared" si="288"/>
        <v>1930500</v>
      </c>
      <c r="D508" s="3">
        <f t="shared" si="280"/>
        <v>0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4">
        <v>0</v>
      </c>
      <c r="L508" s="3">
        <v>0</v>
      </c>
      <c r="M508" s="3">
        <v>351</v>
      </c>
      <c r="N508" s="3">
        <f t="shared" si="289"/>
        <v>1930500</v>
      </c>
      <c r="O508" s="3">
        <v>0</v>
      </c>
      <c r="P508" s="3">
        <v>0</v>
      </c>
      <c r="Q508" s="3">
        <v>0</v>
      </c>
      <c r="R508" s="3">
        <f t="shared" si="281"/>
        <v>0</v>
      </c>
      <c r="S508" s="3">
        <v>0</v>
      </c>
      <c r="T508" s="5">
        <v>0</v>
      </c>
      <c r="U508" s="3">
        <v>0</v>
      </c>
      <c r="V508" s="6">
        <f t="shared" si="282"/>
        <v>5500</v>
      </c>
    </row>
    <row r="509" spans="1:22" ht="31.5" x14ac:dyDescent="0.25">
      <c r="A509" s="53" t="s">
        <v>1238</v>
      </c>
      <c r="B509" s="8" t="s">
        <v>1409</v>
      </c>
      <c r="C509" s="2">
        <f t="shared" si="288"/>
        <v>5197500</v>
      </c>
      <c r="D509" s="3">
        <f t="shared" si="280"/>
        <v>0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11">
        <v>0</v>
      </c>
      <c r="L509" s="5">
        <v>0</v>
      </c>
      <c r="M509" s="5">
        <v>945</v>
      </c>
      <c r="N509" s="3">
        <f t="shared" si="289"/>
        <v>5197500</v>
      </c>
      <c r="O509" s="5">
        <v>0</v>
      </c>
      <c r="P509" s="5">
        <v>0</v>
      </c>
      <c r="Q509" s="5">
        <v>0</v>
      </c>
      <c r="R509" s="3">
        <f t="shared" si="281"/>
        <v>0</v>
      </c>
      <c r="S509" s="5">
        <v>0</v>
      </c>
      <c r="T509" s="5">
        <v>0</v>
      </c>
      <c r="U509" s="5">
        <v>0</v>
      </c>
      <c r="V509" s="6">
        <f t="shared" si="282"/>
        <v>5500</v>
      </c>
    </row>
    <row r="510" spans="1:22" ht="21.95" customHeight="1" x14ac:dyDescent="0.25">
      <c r="A510" s="53" t="s">
        <v>1239</v>
      </c>
      <c r="B510" s="8" t="s">
        <v>690</v>
      </c>
      <c r="C510" s="2">
        <f t="shared" si="288"/>
        <v>300000</v>
      </c>
      <c r="D510" s="3">
        <f t="shared" si="280"/>
        <v>0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11">
        <v>0</v>
      </c>
      <c r="L510" s="3">
        <v>0</v>
      </c>
      <c r="M510" s="3">
        <v>0</v>
      </c>
      <c r="N510" s="20">
        <v>0</v>
      </c>
      <c r="O510" s="3">
        <v>0</v>
      </c>
      <c r="P510" s="3">
        <v>0</v>
      </c>
      <c r="Q510" s="3">
        <v>0</v>
      </c>
      <c r="R510" s="3">
        <f t="shared" si="281"/>
        <v>0</v>
      </c>
      <c r="S510" s="3">
        <v>0</v>
      </c>
      <c r="T510" s="5">
        <v>0</v>
      </c>
      <c r="U510" s="3">
        <v>300000</v>
      </c>
      <c r="V510" s="6" t="e">
        <f t="shared" si="282"/>
        <v>#DIV/0!</v>
      </c>
    </row>
    <row r="511" spans="1:22" ht="21.95" customHeight="1" x14ac:dyDescent="0.25">
      <c r="A511" s="53" t="s">
        <v>1240</v>
      </c>
      <c r="B511" s="8" t="s">
        <v>413</v>
      </c>
      <c r="C511" s="2">
        <f t="shared" si="288"/>
        <v>3764661</v>
      </c>
      <c r="D511" s="3">
        <f t="shared" si="280"/>
        <v>479661</v>
      </c>
      <c r="E511" s="3">
        <f>350*368.97</f>
        <v>129139.50000000001</v>
      </c>
      <c r="F511" s="3">
        <f>1050*0</f>
        <v>0</v>
      </c>
      <c r="G511" s="3">
        <f>300*368.97</f>
        <v>110691.00000000001</v>
      </c>
      <c r="H511" s="3">
        <f>400*368.97</f>
        <v>147588</v>
      </c>
      <c r="I511" s="3">
        <f>250*368.97</f>
        <v>92242.5</v>
      </c>
      <c r="J511" s="3">
        <f>350*0</f>
        <v>0</v>
      </c>
      <c r="K511" s="4">
        <v>0</v>
      </c>
      <c r="L511" s="3">
        <v>0</v>
      </c>
      <c r="M511" s="3">
        <v>350</v>
      </c>
      <c r="N511" s="3">
        <f t="shared" ref="N511:N519" si="290">M511*5500</f>
        <v>1925000</v>
      </c>
      <c r="O511" s="3">
        <v>0</v>
      </c>
      <c r="P511" s="3">
        <v>0</v>
      </c>
      <c r="Q511" s="3">
        <v>420</v>
      </c>
      <c r="R511" s="3">
        <f t="shared" si="281"/>
        <v>1260000</v>
      </c>
      <c r="S511" s="3">
        <v>0</v>
      </c>
      <c r="T511" s="5">
        <v>0</v>
      </c>
      <c r="U511" s="3">
        <v>100000</v>
      </c>
      <c r="V511" s="6">
        <f t="shared" si="282"/>
        <v>5500</v>
      </c>
    </row>
    <row r="512" spans="1:22" ht="21.95" customHeight="1" x14ac:dyDescent="0.25">
      <c r="A512" s="53" t="s">
        <v>1241</v>
      </c>
      <c r="B512" s="8" t="s">
        <v>414</v>
      </c>
      <c r="C512" s="2">
        <f t="shared" si="288"/>
        <v>1980000</v>
      </c>
      <c r="D512" s="3">
        <f t="shared" si="280"/>
        <v>0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4">
        <v>0</v>
      </c>
      <c r="L512" s="3">
        <v>0</v>
      </c>
      <c r="M512" s="3">
        <v>360</v>
      </c>
      <c r="N512" s="3">
        <f t="shared" si="290"/>
        <v>1980000</v>
      </c>
      <c r="O512" s="3">
        <v>0</v>
      </c>
      <c r="P512" s="3">
        <v>0</v>
      </c>
      <c r="Q512" s="3">
        <v>0</v>
      </c>
      <c r="R512" s="3">
        <f t="shared" si="281"/>
        <v>0</v>
      </c>
      <c r="S512" s="3">
        <v>0</v>
      </c>
      <c r="T512" s="5">
        <v>0</v>
      </c>
      <c r="U512" s="3">
        <v>0</v>
      </c>
      <c r="V512" s="6">
        <f t="shared" si="282"/>
        <v>5500</v>
      </c>
    </row>
    <row r="513" spans="1:22" ht="21.95" customHeight="1" x14ac:dyDescent="0.25">
      <c r="A513" s="53" t="s">
        <v>1564</v>
      </c>
      <c r="B513" s="8" t="s">
        <v>415</v>
      </c>
      <c r="C513" s="2">
        <f t="shared" si="288"/>
        <v>1980000</v>
      </c>
      <c r="D513" s="3">
        <f t="shared" si="280"/>
        <v>0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4">
        <v>0</v>
      </c>
      <c r="L513" s="3">
        <v>0</v>
      </c>
      <c r="M513" s="3">
        <v>360</v>
      </c>
      <c r="N513" s="3">
        <f t="shared" si="290"/>
        <v>1980000</v>
      </c>
      <c r="O513" s="3">
        <v>0</v>
      </c>
      <c r="P513" s="3">
        <v>0</v>
      </c>
      <c r="Q513" s="3">
        <v>0</v>
      </c>
      <c r="R513" s="3">
        <f t="shared" si="281"/>
        <v>0</v>
      </c>
      <c r="S513" s="3">
        <v>0</v>
      </c>
      <c r="T513" s="5">
        <v>0</v>
      </c>
      <c r="U513" s="3">
        <v>0</v>
      </c>
      <c r="V513" s="6">
        <f t="shared" si="282"/>
        <v>5500</v>
      </c>
    </row>
    <row r="514" spans="1:22" ht="21.95" customHeight="1" x14ac:dyDescent="0.25">
      <c r="A514" s="53" t="s">
        <v>1565</v>
      </c>
      <c r="B514" s="8" t="s">
        <v>412</v>
      </c>
      <c r="C514" s="2">
        <f t="shared" si="288"/>
        <v>1727000</v>
      </c>
      <c r="D514" s="3">
        <f t="shared" si="280"/>
        <v>0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4">
        <v>0</v>
      </c>
      <c r="L514" s="3">
        <v>0</v>
      </c>
      <c r="M514" s="3">
        <v>314</v>
      </c>
      <c r="N514" s="3">
        <f t="shared" si="290"/>
        <v>1727000</v>
      </c>
      <c r="O514" s="3">
        <v>0</v>
      </c>
      <c r="P514" s="3">
        <v>0</v>
      </c>
      <c r="Q514" s="3">
        <v>0</v>
      </c>
      <c r="R514" s="3">
        <f t="shared" si="281"/>
        <v>0</v>
      </c>
      <c r="S514" s="3">
        <v>0</v>
      </c>
      <c r="T514" s="5">
        <v>0</v>
      </c>
      <c r="U514" s="3">
        <v>0</v>
      </c>
      <c r="V514" s="6">
        <f t="shared" si="282"/>
        <v>5500</v>
      </c>
    </row>
    <row r="515" spans="1:22" ht="21.95" customHeight="1" x14ac:dyDescent="0.25">
      <c r="A515" s="53" t="s">
        <v>1566</v>
      </c>
      <c r="B515" s="8" t="s">
        <v>593</v>
      </c>
      <c r="C515" s="2">
        <f t="shared" si="288"/>
        <v>2706550</v>
      </c>
      <c r="D515" s="3">
        <f t="shared" si="280"/>
        <v>0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11">
        <v>0</v>
      </c>
      <c r="L515" s="5">
        <v>0</v>
      </c>
      <c r="M515" s="5">
        <v>492.1</v>
      </c>
      <c r="N515" s="3">
        <f t="shared" si="290"/>
        <v>2706550</v>
      </c>
      <c r="O515" s="5">
        <v>0</v>
      </c>
      <c r="P515" s="5">
        <v>0</v>
      </c>
      <c r="Q515" s="5">
        <v>0</v>
      </c>
      <c r="R515" s="3">
        <f t="shared" si="281"/>
        <v>0</v>
      </c>
      <c r="S515" s="5">
        <v>0</v>
      </c>
      <c r="T515" s="5">
        <v>0</v>
      </c>
      <c r="U515" s="5">
        <v>0</v>
      </c>
      <c r="V515" s="6">
        <f t="shared" si="282"/>
        <v>5500</v>
      </c>
    </row>
    <row r="516" spans="1:22" ht="21.95" customHeight="1" x14ac:dyDescent="0.25">
      <c r="A516" s="53" t="s">
        <v>1567</v>
      </c>
      <c r="B516" s="8" t="s">
        <v>514</v>
      </c>
      <c r="C516" s="2">
        <f t="shared" si="288"/>
        <v>300000</v>
      </c>
      <c r="D516" s="3">
        <f t="shared" si="280"/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11">
        <v>0</v>
      </c>
      <c r="L516" s="5">
        <v>0</v>
      </c>
      <c r="M516" s="5">
        <v>0</v>
      </c>
      <c r="N516" s="3">
        <f t="shared" si="290"/>
        <v>0</v>
      </c>
      <c r="O516" s="5">
        <v>0</v>
      </c>
      <c r="P516" s="5">
        <v>0</v>
      </c>
      <c r="Q516" s="5">
        <v>0</v>
      </c>
      <c r="R516" s="3">
        <f t="shared" si="281"/>
        <v>0</v>
      </c>
      <c r="S516" s="5">
        <v>0</v>
      </c>
      <c r="T516" s="5">
        <v>0</v>
      </c>
      <c r="U516" s="5">
        <v>300000</v>
      </c>
      <c r="V516" s="6" t="e">
        <f t="shared" si="282"/>
        <v>#DIV/0!</v>
      </c>
    </row>
    <row r="517" spans="1:22" ht="21.95" customHeight="1" x14ac:dyDescent="0.25">
      <c r="A517" s="53" t="s">
        <v>1568</v>
      </c>
      <c r="B517" s="8" t="s">
        <v>466</v>
      </c>
      <c r="C517" s="2">
        <f t="shared" si="288"/>
        <v>2101000</v>
      </c>
      <c r="D517" s="3">
        <f t="shared" si="280"/>
        <v>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4">
        <v>0</v>
      </c>
      <c r="L517" s="3">
        <v>0</v>
      </c>
      <c r="M517" s="3">
        <v>382</v>
      </c>
      <c r="N517" s="3">
        <f t="shared" si="290"/>
        <v>2101000</v>
      </c>
      <c r="O517" s="3">
        <v>0</v>
      </c>
      <c r="P517" s="3">
        <v>0</v>
      </c>
      <c r="Q517" s="3">
        <v>0</v>
      </c>
      <c r="R517" s="3">
        <f t="shared" si="281"/>
        <v>0</v>
      </c>
      <c r="S517" s="3">
        <v>0</v>
      </c>
      <c r="T517" s="5">
        <v>0</v>
      </c>
      <c r="U517" s="3">
        <v>0</v>
      </c>
      <c r="V517" s="6">
        <f t="shared" si="282"/>
        <v>5500</v>
      </c>
    </row>
    <row r="518" spans="1:22" ht="21.95" customHeight="1" x14ac:dyDescent="0.25">
      <c r="A518" s="53" t="s">
        <v>1242</v>
      </c>
      <c r="B518" s="8" t="s">
        <v>594</v>
      </c>
      <c r="C518" s="2">
        <f t="shared" si="288"/>
        <v>1611500</v>
      </c>
      <c r="D518" s="3">
        <f t="shared" si="280"/>
        <v>0</v>
      </c>
      <c r="E518" s="3">
        <v>0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11">
        <v>0</v>
      </c>
      <c r="L518" s="5">
        <v>0</v>
      </c>
      <c r="M518" s="5">
        <v>293</v>
      </c>
      <c r="N518" s="3">
        <f t="shared" si="290"/>
        <v>1611500</v>
      </c>
      <c r="O518" s="5">
        <v>0</v>
      </c>
      <c r="P518" s="5">
        <v>0</v>
      </c>
      <c r="Q518" s="5">
        <v>0</v>
      </c>
      <c r="R518" s="3">
        <f t="shared" si="281"/>
        <v>0</v>
      </c>
      <c r="S518" s="5">
        <v>0</v>
      </c>
      <c r="T518" s="5">
        <v>0</v>
      </c>
      <c r="U518" s="5">
        <v>0</v>
      </c>
      <c r="V518" s="6">
        <f t="shared" si="282"/>
        <v>5500</v>
      </c>
    </row>
    <row r="519" spans="1:22" ht="21.95" customHeight="1" x14ac:dyDescent="0.25">
      <c r="A519" s="53" t="s">
        <v>1243</v>
      </c>
      <c r="B519" s="8" t="s">
        <v>595</v>
      </c>
      <c r="C519" s="2">
        <f t="shared" si="288"/>
        <v>1606000</v>
      </c>
      <c r="D519" s="3">
        <f t="shared" si="280"/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11">
        <v>0</v>
      </c>
      <c r="L519" s="5">
        <v>0</v>
      </c>
      <c r="M519" s="5">
        <v>292</v>
      </c>
      <c r="N519" s="3">
        <f t="shared" si="290"/>
        <v>1606000</v>
      </c>
      <c r="O519" s="5">
        <v>0</v>
      </c>
      <c r="P519" s="5">
        <v>0</v>
      </c>
      <c r="Q519" s="5">
        <v>0</v>
      </c>
      <c r="R519" s="3">
        <f t="shared" si="281"/>
        <v>0</v>
      </c>
      <c r="S519" s="5">
        <v>0</v>
      </c>
      <c r="T519" s="5">
        <v>0</v>
      </c>
      <c r="U519" s="5">
        <v>0</v>
      </c>
      <c r="V519" s="6">
        <f t="shared" si="282"/>
        <v>5500</v>
      </c>
    </row>
    <row r="520" spans="1:22" ht="21.95" customHeight="1" x14ac:dyDescent="0.25">
      <c r="A520" s="53" t="s">
        <v>1244</v>
      </c>
      <c r="B520" s="8" t="s">
        <v>407</v>
      </c>
      <c r="C520" s="2">
        <f>D520+L520+N520+P520+R520+S520+T520+U520</f>
        <v>886320</v>
      </c>
      <c r="D520" s="3">
        <f>SUM(E520:J520)</f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4">
        <v>0</v>
      </c>
      <c r="L520" s="3">
        <v>0</v>
      </c>
      <c r="M520" s="3">
        <v>0</v>
      </c>
      <c r="N520" s="3">
        <v>0</v>
      </c>
      <c r="O520" s="3">
        <v>238.6</v>
      </c>
      <c r="P520" s="3">
        <f>O520*1200</f>
        <v>286320</v>
      </c>
      <c r="Q520" s="3">
        <v>0</v>
      </c>
      <c r="R520" s="3">
        <v>0</v>
      </c>
      <c r="S520" s="3">
        <v>0</v>
      </c>
      <c r="T520" s="3">
        <v>0</v>
      </c>
      <c r="U520" s="3">
        <v>600000</v>
      </c>
      <c r="V520" s="6" t="e">
        <f>N520/M520</f>
        <v>#DIV/0!</v>
      </c>
    </row>
    <row r="521" spans="1:22" ht="21.95" customHeight="1" x14ac:dyDescent="0.25">
      <c r="A521" s="53" t="s">
        <v>1245</v>
      </c>
      <c r="B521" s="8" t="s">
        <v>444</v>
      </c>
      <c r="C521" s="2">
        <f t="shared" ref="C521:C523" si="291">D521+L521+N521+P521+R521+S521+T521+U521</f>
        <v>3276240.0599999996</v>
      </c>
      <c r="D521" s="3">
        <f t="shared" ref="D521:D523" si="292">SUM(E521:J521)</f>
        <v>3276240.0599999996</v>
      </c>
      <c r="E521" s="3">
        <v>536604.72</v>
      </c>
      <c r="F521" s="3">
        <v>2178999.2999999998</v>
      </c>
      <c r="G521" s="3">
        <v>237575.28</v>
      </c>
      <c r="H521" s="3">
        <v>0</v>
      </c>
      <c r="I521" s="3">
        <v>323060.76</v>
      </c>
      <c r="J521" s="3">
        <f t="shared" ref="J521:J523" si="293">0*350</f>
        <v>0</v>
      </c>
      <c r="K521" s="4">
        <v>0</v>
      </c>
      <c r="L521" s="3">
        <v>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6" t="e">
        <f t="shared" ref="V521:V523" si="294">N521/M521</f>
        <v>#DIV/0!</v>
      </c>
    </row>
    <row r="522" spans="1:22" ht="21.95" customHeight="1" x14ac:dyDescent="0.25">
      <c r="A522" s="53" t="s">
        <v>1246</v>
      </c>
      <c r="B522" s="8" t="s">
        <v>436</v>
      </c>
      <c r="C522" s="2">
        <f t="shared" si="291"/>
        <v>5107865.76</v>
      </c>
      <c r="D522" s="3">
        <f t="shared" si="292"/>
        <v>5107865.76</v>
      </c>
      <c r="E522" s="3">
        <v>781371.18</v>
      </c>
      <c r="F522" s="3">
        <v>3561682.02</v>
      </c>
      <c r="G522" s="3">
        <v>360356.64</v>
      </c>
      <c r="H522" s="3">
        <v>0</v>
      </c>
      <c r="I522" s="3">
        <v>404455.92</v>
      </c>
      <c r="J522" s="3">
        <f t="shared" si="293"/>
        <v>0</v>
      </c>
      <c r="K522" s="4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6" t="e">
        <f t="shared" si="294"/>
        <v>#DIV/0!</v>
      </c>
    </row>
    <row r="523" spans="1:22" ht="21.95" customHeight="1" x14ac:dyDescent="0.25">
      <c r="A523" s="53" t="s">
        <v>1247</v>
      </c>
      <c r="B523" s="8" t="s">
        <v>437</v>
      </c>
      <c r="C523" s="2">
        <f t="shared" si="291"/>
        <v>4073783.4600000004</v>
      </c>
      <c r="D523" s="3">
        <f t="shared" si="292"/>
        <v>4073783.4600000004</v>
      </c>
      <c r="E523" s="3">
        <v>738309.66</v>
      </c>
      <c r="F523" s="3">
        <v>2413974.66</v>
      </c>
      <c r="G523" s="3">
        <v>280206.24</v>
      </c>
      <c r="H523" s="3">
        <v>0</v>
      </c>
      <c r="I523" s="3">
        <v>641292.9</v>
      </c>
      <c r="J523" s="3">
        <f t="shared" si="293"/>
        <v>0</v>
      </c>
      <c r="K523" s="4">
        <v>0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6" t="e">
        <f t="shared" si="294"/>
        <v>#DIV/0!</v>
      </c>
    </row>
    <row r="524" spans="1:22" ht="21.95" customHeight="1" x14ac:dyDescent="0.25">
      <c r="A524" s="53" t="s">
        <v>1248</v>
      </c>
      <c r="B524" s="8" t="s">
        <v>443</v>
      </c>
      <c r="C524" s="2">
        <f t="shared" ref="C524" si="295">D524+L524+N524+P524+R524+S524+T524+U524</f>
        <v>3266086.48</v>
      </c>
      <c r="D524" s="3">
        <f t="shared" ref="D524" si="296">SUM(E524:J524)</f>
        <v>3266086.48</v>
      </c>
      <c r="E524" s="3">
        <v>525016.86</v>
      </c>
      <c r="F524" s="3">
        <v>2279050.6800000002</v>
      </c>
      <c r="G524" s="3">
        <v>196454.04</v>
      </c>
      <c r="H524" s="3">
        <v>0</v>
      </c>
      <c r="I524" s="3">
        <v>265564.90000000002</v>
      </c>
      <c r="J524" s="3">
        <f t="shared" ref="J524" si="297">0*350</f>
        <v>0</v>
      </c>
      <c r="K524" s="4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6" t="e">
        <f t="shared" ref="V524" si="298">N524/M524</f>
        <v>#DIV/0!</v>
      </c>
    </row>
    <row r="525" spans="1:22" ht="21.95" customHeight="1" x14ac:dyDescent="0.25">
      <c r="A525" s="53" t="s">
        <v>1249</v>
      </c>
      <c r="B525" s="8" t="s">
        <v>378</v>
      </c>
      <c r="C525" s="2">
        <f>D525+L525+N525+P525+R525+S525+T525+U525</f>
        <v>1339200</v>
      </c>
      <c r="D525" s="3">
        <f>SUM(E525:J525)</f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4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739200</v>
      </c>
      <c r="T525" s="3">
        <v>0</v>
      </c>
      <c r="U525" s="3">
        <v>600000</v>
      </c>
      <c r="V525" s="6" t="e">
        <f>N525/M525</f>
        <v>#DIV/0!</v>
      </c>
    </row>
    <row r="526" spans="1:22" ht="21.95" customHeight="1" x14ac:dyDescent="0.25">
      <c r="A526" s="53" t="s">
        <v>1250</v>
      </c>
      <c r="B526" s="8" t="s">
        <v>396</v>
      </c>
      <c r="C526" s="2">
        <f t="shared" si="288"/>
        <v>6560032.5</v>
      </c>
      <c r="D526" s="3">
        <f t="shared" si="280"/>
        <v>6460032.5</v>
      </c>
      <c r="E526" s="3">
        <f>350*2748.95</f>
        <v>962132.49999999988</v>
      </c>
      <c r="F526" s="3">
        <f>1050*2748.95</f>
        <v>2886397.5</v>
      </c>
      <c r="G526" s="3">
        <f>300*2748.95</f>
        <v>824685</v>
      </c>
      <c r="H526" s="3">
        <f>400*2748.95</f>
        <v>1099580</v>
      </c>
      <c r="I526" s="3">
        <f>250*2748.95</f>
        <v>687237.5</v>
      </c>
      <c r="J526" s="3">
        <f>350*0</f>
        <v>0</v>
      </c>
      <c r="K526" s="4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0</v>
      </c>
      <c r="R526" s="3">
        <f t="shared" si="281"/>
        <v>0</v>
      </c>
      <c r="S526" s="3">
        <v>0</v>
      </c>
      <c r="T526" s="5">
        <v>0</v>
      </c>
      <c r="U526" s="3">
        <v>100000</v>
      </c>
      <c r="V526" s="6" t="e">
        <f t="shared" si="282"/>
        <v>#DIV/0!</v>
      </c>
    </row>
    <row r="527" spans="1:22" ht="21.95" customHeight="1" x14ac:dyDescent="0.25">
      <c r="A527" s="53" t="s">
        <v>1251</v>
      </c>
      <c r="B527" s="8" t="s">
        <v>422</v>
      </c>
      <c r="C527" s="2">
        <f>D527+L527+N527+P527+R527+S527+T527+U527</f>
        <v>1269900</v>
      </c>
      <c r="D527" s="3">
        <f>SUM(E527:J527)</f>
        <v>0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4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669900</v>
      </c>
      <c r="T527" s="3">
        <v>0</v>
      </c>
      <c r="U527" s="3">
        <v>600000</v>
      </c>
      <c r="V527" s="6" t="e">
        <f>N527/M527</f>
        <v>#DIV/0!</v>
      </c>
    </row>
    <row r="528" spans="1:22" ht="21.95" customHeight="1" x14ac:dyDescent="0.25">
      <c r="A528" s="53" t="s">
        <v>1252</v>
      </c>
      <c r="B528" s="8" t="s">
        <v>445</v>
      </c>
      <c r="C528" s="2">
        <f t="shared" ref="C528:C529" si="299">D528+L528+N528+P528+R528+S528+T528+U528</f>
        <v>10277975</v>
      </c>
      <c r="D528" s="3">
        <f t="shared" ref="D528:D529" si="300">SUM(E528:J528)</f>
        <v>10077975</v>
      </c>
      <c r="E528" s="3">
        <f>350*4288.5</f>
        <v>1500975</v>
      </c>
      <c r="F528" s="3">
        <f>800*4288.5</f>
        <v>3430800</v>
      </c>
      <c r="G528" s="3">
        <f>300*4288.5</f>
        <v>1286550</v>
      </c>
      <c r="H528" s="3">
        <f>500*4288.5</f>
        <v>2144250</v>
      </c>
      <c r="I528" s="3">
        <f>400*4288.5</f>
        <v>1715400</v>
      </c>
      <c r="J528" s="3">
        <f>350*0</f>
        <v>0</v>
      </c>
      <c r="K528" s="4">
        <v>0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200000</v>
      </c>
      <c r="V528" s="6" t="e">
        <f t="shared" ref="V528:V529" si="301">N528/M528</f>
        <v>#DIV/0!</v>
      </c>
    </row>
    <row r="529" spans="1:22" ht="21.95" customHeight="1" x14ac:dyDescent="0.25">
      <c r="A529" s="53" t="s">
        <v>1253</v>
      </c>
      <c r="B529" s="8" t="s">
        <v>401</v>
      </c>
      <c r="C529" s="2">
        <f t="shared" si="299"/>
        <v>5752800</v>
      </c>
      <c r="D529" s="3">
        <f t="shared" si="300"/>
        <v>5752800</v>
      </c>
      <c r="E529" s="3">
        <f>350*2448</f>
        <v>856800</v>
      </c>
      <c r="F529" s="3">
        <f>800*2448</f>
        <v>1958400</v>
      </c>
      <c r="G529" s="3">
        <f>300*2448</f>
        <v>734400</v>
      </c>
      <c r="H529" s="3">
        <f>500*2448</f>
        <v>1224000</v>
      </c>
      <c r="I529" s="3">
        <f>400*2448</f>
        <v>979200</v>
      </c>
      <c r="J529" s="3">
        <f>350*0</f>
        <v>0</v>
      </c>
      <c r="K529" s="4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6" t="e">
        <f t="shared" si="301"/>
        <v>#DIV/0!</v>
      </c>
    </row>
    <row r="530" spans="1:22" ht="21.95" customHeight="1" x14ac:dyDescent="0.25">
      <c r="A530" s="53" t="s">
        <v>1254</v>
      </c>
      <c r="B530" s="8" t="s">
        <v>402</v>
      </c>
      <c r="C530" s="2">
        <f t="shared" si="288"/>
        <v>5341565</v>
      </c>
      <c r="D530" s="3">
        <f t="shared" si="280"/>
        <v>5141565</v>
      </c>
      <c r="E530" s="3">
        <f>350*2187.9</f>
        <v>765765</v>
      </c>
      <c r="F530" s="3">
        <f>1050*2187.9</f>
        <v>2297295</v>
      </c>
      <c r="G530" s="3">
        <f>300*2187.9</f>
        <v>656370</v>
      </c>
      <c r="H530" s="3">
        <f>400*2187.9</f>
        <v>875160</v>
      </c>
      <c r="I530" s="3">
        <f>250*2187.9</f>
        <v>546975</v>
      </c>
      <c r="J530" s="3">
        <f t="shared" ref="J530" si="302">350*0</f>
        <v>0</v>
      </c>
      <c r="K530" s="4">
        <v>0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200000</v>
      </c>
      <c r="V530" s="6" t="e">
        <f t="shared" si="282"/>
        <v>#DIV/0!</v>
      </c>
    </row>
    <row r="531" spans="1:22" ht="21.95" customHeight="1" x14ac:dyDescent="0.25">
      <c r="A531" s="53" t="s">
        <v>1255</v>
      </c>
      <c r="B531" s="8" t="s">
        <v>383</v>
      </c>
      <c r="C531" s="2">
        <f>D531+L531+N531+P531+R531+S531+T531+U531</f>
        <v>1194560</v>
      </c>
      <c r="D531" s="3">
        <f>SUM(E531:J531)</f>
        <v>994560</v>
      </c>
      <c r="E531" s="3">
        <f>350*537.6</f>
        <v>188160</v>
      </c>
      <c r="F531" s="3">
        <f>800*537.6</f>
        <v>430080</v>
      </c>
      <c r="G531" s="3">
        <f>300*537.6</f>
        <v>161280</v>
      </c>
      <c r="H531" s="3">
        <f>500*0</f>
        <v>0</v>
      </c>
      <c r="I531" s="3">
        <f>400*537.6</f>
        <v>215040</v>
      </c>
      <c r="J531" s="3">
        <f t="shared" si="73"/>
        <v>0</v>
      </c>
      <c r="K531" s="4">
        <v>0</v>
      </c>
      <c r="L531" s="3">
        <v>0</v>
      </c>
      <c r="M531" s="3">
        <v>0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200000</v>
      </c>
      <c r="V531" s="6" t="e">
        <f>N531/M531</f>
        <v>#DIV/0!</v>
      </c>
    </row>
    <row r="532" spans="1:22" ht="21.95" customHeight="1" x14ac:dyDescent="0.25">
      <c r="A532" s="53" t="s">
        <v>1256</v>
      </c>
      <c r="B532" s="8" t="s">
        <v>384</v>
      </c>
      <c r="C532" s="2">
        <f>D532+L532+N532+P532+R532+S532+T532+U532</f>
        <v>2013000</v>
      </c>
      <c r="D532" s="3">
        <f>SUM(E532:J532)</f>
        <v>1813000</v>
      </c>
      <c r="E532" s="3">
        <f>350*980</f>
        <v>343000</v>
      </c>
      <c r="F532" s="3">
        <f>800*980</f>
        <v>784000</v>
      </c>
      <c r="G532" s="3">
        <f>300*980</f>
        <v>294000</v>
      </c>
      <c r="H532" s="3">
        <f>500*0</f>
        <v>0</v>
      </c>
      <c r="I532" s="3">
        <f>400*980</f>
        <v>392000</v>
      </c>
      <c r="J532" s="3">
        <f t="shared" si="73"/>
        <v>0</v>
      </c>
      <c r="K532" s="4">
        <v>0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200000</v>
      </c>
      <c r="V532" s="6" t="e">
        <f>N532/M532</f>
        <v>#DIV/0!</v>
      </c>
    </row>
    <row r="533" spans="1:22" ht="21.95" customHeight="1" x14ac:dyDescent="0.25">
      <c r="A533" s="53" t="s">
        <v>1257</v>
      </c>
      <c r="B533" s="23" t="s">
        <v>446</v>
      </c>
      <c r="C533" s="2">
        <f t="shared" ref="C533" si="303">D533+L533+N533+P533+R533+S533+T533+U533</f>
        <v>17610900</v>
      </c>
      <c r="D533" s="3">
        <f t="shared" ref="D533" si="304">SUM(E533:J533)</f>
        <v>17610900</v>
      </c>
      <c r="E533" s="3">
        <f>350*7494</f>
        <v>2622900</v>
      </c>
      <c r="F533" s="3">
        <f>800*7494</f>
        <v>5995200</v>
      </c>
      <c r="G533" s="3">
        <f>300*7494</f>
        <v>2248200</v>
      </c>
      <c r="H533" s="3">
        <f>500*7494</f>
        <v>3747000</v>
      </c>
      <c r="I533" s="3">
        <f>400*7494</f>
        <v>2997600</v>
      </c>
      <c r="J533" s="3">
        <f t="shared" si="73"/>
        <v>0</v>
      </c>
      <c r="K533" s="4">
        <v>0</v>
      </c>
      <c r="L533" s="3">
        <v>0</v>
      </c>
      <c r="M533" s="3">
        <v>0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6" t="e">
        <f t="shared" ref="V533" si="305">N533/M533</f>
        <v>#DIV/0!</v>
      </c>
    </row>
    <row r="534" spans="1:22" ht="21.95" customHeight="1" x14ac:dyDescent="0.25">
      <c r="A534" s="53" t="s">
        <v>1258</v>
      </c>
      <c r="B534" s="8" t="s">
        <v>416</v>
      </c>
      <c r="C534" s="2">
        <f>D534+L534+N534+P534+R534+S534+T534+U534</f>
        <v>7245065</v>
      </c>
      <c r="D534" s="3">
        <f>SUM(E534:J534)</f>
        <v>7045065</v>
      </c>
      <c r="E534" s="3">
        <f>350*2997.9</f>
        <v>1049265</v>
      </c>
      <c r="F534" s="3">
        <f>800*2997.9</f>
        <v>2398320</v>
      </c>
      <c r="G534" s="3">
        <f>300*2997.9</f>
        <v>899370</v>
      </c>
      <c r="H534" s="3">
        <f>500*2997.9</f>
        <v>1498950</v>
      </c>
      <c r="I534" s="3">
        <f>400*2997.9</f>
        <v>1199160</v>
      </c>
      <c r="J534" s="3">
        <f t="shared" si="73"/>
        <v>0</v>
      </c>
      <c r="K534" s="4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200000</v>
      </c>
      <c r="V534" s="6" t="e">
        <f>N534/M534</f>
        <v>#DIV/0!</v>
      </c>
    </row>
    <row r="535" spans="1:22" ht="21.95" customHeight="1" x14ac:dyDescent="0.25">
      <c r="A535" s="53" t="s">
        <v>1259</v>
      </c>
      <c r="B535" s="8" t="s">
        <v>596</v>
      </c>
      <c r="C535" s="2">
        <f t="shared" si="288"/>
        <v>300000</v>
      </c>
      <c r="D535" s="3">
        <f t="shared" si="280"/>
        <v>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11">
        <v>0</v>
      </c>
      <c r="L535" s="5">
        <v>0</v>
      </c>
      <c r="M535" s="5">
        <v>0</v>
      </c>
      <c r="N535" s="3">
        <f t="shared" ref="N535:N536" si="306">M535*5500</f>
        <v>0</v>
      </c>
      <c r="O535" s="5">
        <v>0</v>
      </c>
      <c r="P535" s="5">
        <v>0</v>
      </c>
      <c r="Q535" s="5">
        <v>0</v>
      </c>
      <c r="R535" s="3">
        <f t="shared" si="281"/>
        <v>0</v>
      </c>
      <c r="S535" s="5">
        <v>0</v>
      </c>
      <c r="T535" s="5">
        <v>0</v>
      </c>
      <c r="U535" s="5">
        <v>300000</v>
      </c>
      <c r="V535" s="6" t="e">
        <f t="shared" si="282"/>
        <v>#DIV/0!</v>
      </c>
    </row>
    <row r="536" spans="1:22" ht="21.95" customHeight="1" x14ac:dyDescent="0.25">
      <c r="A536" s="53" t="s">
        <v>1260</v>
      </c>
      <c r="B536" s="8" t="s">
        <v>597</v>
      </c>
      <c r="C536" s="2">
        <f t="shared" si="288"/>
        <v>1468500</v>
      </c>
      <c r="D536" s="3">
        <f t="shared" si="280"/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11">
        <v>0</v>
      </c>
      <c r="L536" s="5">
        <v>0</v>
      </c>
      <c r="M536" s="5">
        <v>267</v>
      </c>
      <c r="N536" s="3">
        <f t="shared" si="306"/>
        <v>1468500</v>
      </c>
      <c r="O536" s="5">
        <v>0</v>
      </c>
      <c r="P536" s="5">
        <v>0</v>
      </c>
      <c r="Q536" s="5">
        <v>0</v>
      </c>
      <c r="R536" s="3">
        <f t="shared" si="281"/>
        <v>0</v>
      </c>
      <c r="S536" s="5">
        <v>0</v>
      </c>
      <c r="T536" s="5">
        <v>0</v>
      </c>
      <c r="U536" s="5">
        <v>0</v>
      </c>
      <c r="V536" s="6">
        <f t="shared" si="282"/>
        <v>5500</v>
      </c>
    </row>
    <row r="537" spans="1:22" ht="21.95" customHeight="1" x14ac:dyDescent="0.25">
      <c r="A537" s="53" t="s">
        <v>1261</v>
      </c>
      <c r="B537" s="23" t="s">
        <v>524</v>
      </c>
      <c r="C537" s="2">
        <f>D537+L537+N537+P537+R537+S537+T537+U537</f>
        <v>4125000</v>
      </c>
      <c r="D537" s="3">
        <f>SUM(E537:J537)</f>
        <v>0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11">
        <v>0</v>
      </c>
      <c r="L537" s="5">
        <v>0</v>
      </c>
      <c r="M537" s="5">
        <v>750</v>
      </c>
      <c r="N537" s="3">
        <f>M537*5500</f>
        <v>4125000</v>
      </c>
      <c r="O537" s="5">
        <v>0</v>
      </c>
      <c r="P537" s="5">
        <v>0</v>
      </c>
      <c r="Q537" s="5">
        <v>0</v>
      </c>
      <c r="R537" s="3">
        <f>Q537*3000</f>
        <v>0</v>
      </c>
      <c r="S537" s="5">
        <v>0</v>
      </c>
      <c r="T537" s="5">
        <v>0</v>
      </c>
      <c r="U537" s="5">
        <v>0</v>
      </c>
      <c r="V537" s="6">
        <f>N537/M537</f>
        <v>5500</v>
      </c>
    </row>
    <row r="538" spans="1:22" ht="21.95" customHeight="1" x14ac:dyDescent="0.25">
      <c r="A538" s="53" t="s">
        <v>1262</v>
      </c>
      <c r="B538" s="23" t="s">
        <v>515</v>
      </c>
      <c r="C538" s="2">
        <f t="shared" si="288"/>
        <v>2385900</v>
      </c>
      <c r="D538" s="3">
        <f t="shared" si="280"/>
        <v>0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11">
        <v>0</v>
      </c>
      <c r="L538" s="5">
        <v>0</v>
      </c>
      <c r="M538" s="5">
        <v>433.8</v>
      </c>
      <c r="N538" s="3">
        <f t="shared" ref="N538:N552" si="307">M538*5500</f>
        <v>2385900</v>
      </c>
      <c r="O538" s="5">
        <v>0</v>
      </c>
      <c r="P538" s="5">
        <v>0</v>
      </c>
      <c r="Q538" s="5">
        <v>0</v>
      </c>
      <c r="R538" s="3">
        <f t="shared" si="281"/>
        <v>0</v>
      </c>
      <c r="S538" s="5">
        <v>0</v>
      </c>
      <c r="T538" s="5">
        <v>0</v>
      </c>
      <c r="U538" s="5">
        <v>0</v>
      </c>
      <c r="V538" s="6">
        <f t="shared" si="282"/>
        <v>5500</v>
      </c>
    </row>
    <row r="539" spans="1:22" ht="21.95" customHeight="1" x14ac:dyDescent="0.25">
      <c r="A539" s="53" t="s">
        <v>1263</v>
      </c>
      <c r="B539" s="23" t="s">
        <v>516</v>
      </c>
      <c r="C539" s="2">
        <f t="shared" si="288"/>
        <v>2420000</v>
      </c>
      <c r="D539" s="3">
        <f t="shared" si="280"/>
        <v>0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11">
        <v>0</v>
      </c>
      <c r="L539" s="5">
        <v>0</v>
      </c>
      <c r="M539" s="5">
        <v>440</v>
      </c>
      <c r="N539" s="3">
        <f t="shared" si="307"/>
        <v>2420000</v>
      </c>
      <c r="O539" s="5">
        <v>0</v>
      </c>
      <c r="P539" s="5">
        <v>0</v>
      </c>
      <c r="Q539" s="5">
        <v>0</v>
      </c>
      <c r="R539" s="3">
        <f t="shared" si="281"/>
        <v>0</v>
      </c>
      <c r="S539" s="5">
        <v>0</v>
      </c>
      <c r="T539" s="5">
        <v>0</v>
      </c>
      <c r="U539" s="5">
        <v>0</v>
      </c>
      <c r="V539" s="6">
        <f t="shared" si="282"/>
        <v>5500</v>
      </c>
    </row>
    <row r="540" spans="1:22" ht="21.95" customHeight="1" x14ac:dyDescent="0.25">
      <c r="A540" s="53" t="s">
        <v>1264</v>
      </c>
      <c r="B540" s="23" t="s">
        <v>517</v>
      </c>
      <c r="C540" s="2">
        <f t="shared" si="288"/>
        <v>2414500</v>
      </c>
      <c r="D540" s="3">
        <f t="shared" si="280"/>
        <v>0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11">
        <v>0</v>
      </c>
      <c r="L540" s="5">
        <v>0</v>
      </c>
      <c r="M540" s="5">
        <v>439</v>
      </c>
      <c r="N540" s="3">
        <f t="shared" si="307"/>
        <v>2414500</v>
      </c>
      <c r="O540" s="5">
        <v>0</v>
      </c>
      <c r="P540" s="5">
        <v>0</v>
      </c>
      <c r="Q540" s="5">
        <v>0</v>
      </c>
      <c r="R540" s="3">
        <f t="shared" si="281"/>
        <v>0</v>
      </c>
      <c r="S540" s="5">
        <v>0</v>
      </c>
      <c r="T540" s="5">
        <v>0</v>
      </c>
      <c r="U540" s="5">
        <v>0</v>
      </c>
      <c r="V540" s="6">
        <f t="shared" si="282"/>
        <v>5500</v>
      </c>
    </row>
    <row r="541" spans="1:22" ht="21.95" customHeight="1" x14ac:dyDescent="0.25">
      <c r="A541" s="53" t="s">
        <v>1265</v>
      </c>
      <c r="B541" s="23" t="s">
        <v>518</v>
      </c>
      <c r="C541" s="2">
        <f t="shared" si="288"/>
        <v>2420000</v>
      </c>
      <c r="D541" s="3">
        <f t="shared" si="280"/>
        <v>0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11">
        <v>0</v>
      </c>
      <c r="L541" s="5">
        <v>0</v>
      </c>
      <c r="M541" s="5">
        <v>440</v>
      </c>
      <c r="N541" s="3">
        <f t="shared" si="307"/>
        <v>2420000</v>
      </c>
      <c r="O541" s="5">
        <v>0</v>
      </c>
      <c r="P541" s="5">
        <v>0</v>
      </c>
      <c r="Q541" s="5">
        <v>0</v>
      </c>
      <c r="R541" s="3">
        <f t="shared" si="281"/>
        <v>0</v>
      </c>
      <c r="S541" s="5">
        <v>0</v>
      </c>
      <c r="T541" s="5">
        <v>0</v>
      </c>
      <c r="U541" s="5">
        <v>0</v>
      </c>
      <c r="V541" s="6">
        <f t="shared" si="282"/>
        <v>5500</v>
      </c>
    </row>
    <row r="542" spans="1:22" ht="21.95" customHeight="1" x14ac:dyDescent="0.25">
      <c r="A542" s="53" t="s">
        <v>1266</v>
      </c>
      <c r="B542" s="23" t="s">
        <v>519</v>
      </c>
      <c r="C542" s="2">
        <f t="shared" si="288"/>
        <v>2381500</v>
      </c>
      <c r="D542" s="3">
        <f t="shared" si="280"/>
        <v>0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11">
        <v>0</v>
      </c>
      <c r="L542" s="5">
        <v>0</v>
      </c>
      <c r="M542" s="5">
        <v>433</v>
      </c>
      <c r="N542" s="3">
        <f t="shared" si="307"/>
        <v>2381500</v>
      </c>
      <c r="O542" s="5">
        <v>0</v>
      </c>
      <c r="P542" s="5">
        <v>0</v>
      </c>
      <c r="Q542" s="5">
        <v>0</v>
      </c>
      <c r="R542" s="3">
        <f t="shared" si="281"/>
        <v>0</v>
      </c>
      <c r="S542" s="5">
        <v>0</v>
      </c>
      <c r="T542" s="5">
        <v>0</v>
      </c>
      <c r="U542" s="5">
        <v>0</v>
      </c>
      <c r="V542" s="6">
        <f t="shared" si="282"/>
        <v>5500</v>
      </c>
    </row>
    <row r="543" spans="1:22" ht="21.95" customHeight="1" x14ac:dyDescent="0.25">
      <c r="A543" s="53" t="s">
        <v>1267</v>
      </c>
      <c r="B543" s="23" t="s">
        <v>520</v>
      </c>
      <c r="C543" s="2">
        <f t="shared" si="288"/>
        <v>2381500</v>
      </c>
      <c r="D543" s="3">
        <f t="shared" si="280"/>
        <v>0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11">
        <v>0</v>
      </c>
      <c r="L543" s="5">
        <v>0</v>
      </c>
      <c r="M543" s="5">
        <v>433</v>
      </c>
      <c r="N543" s="3">
        <f t="shared" si="307"/>
        <v>2381500</v>
      </c>
      <c r="O543" s="5">
        <v>0</v>
      </c>
      <c r="P543" s="5">
        <v>0</v>
      </c>
      <c r="Q543" s="5">
        <v>0</v>
      </c>
      <c r="R543" s="3">
        <f t="shared" si="281"/>
        <v>0</v>
      </c>
      <c r="S543" s="5">
        <v>0</v>
      </c>
      <c r="T543" s="5">
        <v>0</v>
      </c>
      <c r="U543" s="5">
        <v>0</v>
      </c>
      <c r="V543" s="6">
        <f t="shared" si="282"/>
        <v>5500</v>
      </c>
    </row>
    <row r="544" spans="1:22" ht="21.95" customHeight="1" x14ac:dyDescent="0.25">
      <c r="A544" s="53" t="s">
        <v>1268</v>
      </c>
      <c r="B544" s="23" t="s">
        <v>521</v>
      </c>
      <c r="C544" s="2">
        <f t="shared" si="288"/>
        <v>2381500</v>
      </c>
      <c r="D544" s="3">
        <f t="shared" si="280"/>
        <v>0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11">
        <v>0</v>
      </c>
      <c r="L544" s="5">
        <v>0</v>
      </c>
      <c r="M544" s="5">
        <v>433</v>
      </c>
      <c r="N544" s="3">
        <f t="shared" si="307"/>
        <v>2381500</v>
      </c>
      <c r="O544" s="5">
        <v>0</v>
      </c>
      <c r="P544" s="5">
        <v>0</v>
      </c>
      <c r="Q544" s="5">
        <v>0</v>
      </c>
      <c r="R544" s="3">
        <f t="shared" si="281"/>
        <v>0</v>
      </c>
      <c r="S544" s="5">
        <v>0</v>
      </c>
      <c r="T544" s="5">
        <v>0</v>
      </c>
      <c r="U544" s="5">
        <v>0</v>
      </c>
      <c r="V544" s="6">
        <f t="shared" si="282"/>
        <v>5500</v>
      </c>
    </row>
    <row r="545" spans="1:22" ht="21.95" customHeight="1" x14ac:dyDescent="0.25">
      <c r="A545" s="53" t="s">
        <v>1647</v>
      </c>
      <c r="B545" s="23" t="s">
        <v>522</v>
      </c>
      <c r="C545" s="2">
        <f t="shared" si="288"/>
        <v>2381500</v>
      </c>
      <c r="D545" s="3">
        <f t="shared" si="280"/>
        <v>0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11">
        <v>0</v>
      </c>
      <c r="L545" s="5">
        <v>0</v>
      </c>
      <c r="M545" s="5">
        <v>433</v>
      </c>
      <c r="N545" s="3">
        <f t="shared" si="307"/>
        <v>2381500</v>
      </c>
      <c r="O545" s="5">
        <v>0</v>
      </c>
      <c r="P545" s="5">
        <v>0</v>
      </c>
      <c r="Q545" s="5">
        <v>0</v>
      </c>
      <c r="R545" s="3">
        <f t="shared" si="281"/>
        <v>0</v>
      </c>
      <c r="S545" s="5">
        <v>0</v>
      </c>
      <c r="T545" s="5">
        <v>0</v>
      </c>
      <c r="U545" s="5">
        <v>0</v>
      </c>
      <c r="V545" s="6">
        <f t="shared" si="282"/>
        <v>5500</v>
      </c>
    </row>
    <row r="546" spans="1:22" ht="21.95" customHeight="1" x14ac:dyDescent="0.25">
      <c r="A546" s="53" t="s">
        <v>1269</v>
      </c>
      <c r="B546" s="23" t="s">
        <v>523</v>
      </c>
      <c r="C546" s="2">
        <f t="shared" si="288"/>
        <v>2381500</v>
      </c>
      <c r="D546" s="3">
        <f t="shared" si="280"/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11">
        <v>0</v>
      </c>
      <c r="L546" s="5">
        <v>0</v>
      </c>
      <c r="M546" s="5">
        <v>433</v>
      </c>
      <c r="N546" s="3">
        <f t="shared" si="307"/>
        <v>2381500</v>
      </c>
      <c r="O546" s="5">
        <v>0</v>
      </c>
      <c r="P546" s="5">
        <v>0</v>
      </c>
      <c r="Q546" s="5">
        <v>0</v>
      </c>
      <c r="R546" s="3">
        <f t="shared" si="281"/>
        <v>0</v>
      </c>
      <c r="S546" s="5">
        <v>0</v>
      </c>
      <c r="T546" s="5">
        <v>0</v>
      </c>
      <c r="U546" s="5">
        <v>0</v>
      </c>
      <c r="V546" s="6">
        <f t="shared" si="282"/>
        <v>5500</v>
      </c>
    </row>
    <row r="547" spans="1:22" ht="21.95" customHeight="1" x14ac:dyDescent="0.25">
      <c r="A547" s="53" t="s">
        <v>1270</v>
      </c>
      <c r="B547" s="23" t="s">
        <v>598</v>
      </c>
      <c r="C547" s="2">
        <f t="shared" si="288"/>
        <v>2381500</v>
      </c>
      <c r="D547" s="3">
        <f t="shared" si="280"/>
        <v>0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11">
        <v>0</v>
      </c>
      <c r="L547" s="5">
        <v>0</v>
      </c>
      <c r="M547" s="5">
        <v>433</v>
      </c>
      <c r="N547" s="3">
        <f t="shared" si="307"/>
        <v>2381500</v>
      </c>
      <c r="O547" s="5">
        <v>0</v>
      </c>
      <c r="P547" s="5">
        <v>0</v>
      </c>
      <c r="Q547" s="5">
        <v>0</v>
      </c>
      <c r="R547" s="3">
        <f t="shared" si="281"/>
        <v>0</v>
      </c>
      <c r="S547" s="5">
        <v>0</v>
      </c>
      <c r="T547" s="5">
        <v>0</v>
      </c>
      <c r="U547" s="5">
        <v>0</v>
      </c>
      <c r="V547" s="6">
        <f t="shared" si="282"/>
        <v>5500</v>
      </c>
    </row>
    <row r="548" spans="1:22" ht="21.95" customHeight="1" x14ac:dyDescent="0.25">
      <c r="A548" s="53" t="s">
        <v>1271</v>
      </c>
      <c r="B548" s="23" t="s">
        <v>599</v>
      </c>
      <c r="C548" s="2">
        <f t="shared" si="288"/>
        <v>2381500</v>
      </c>
      <c r="D548" s="3">
        <f t="shared" si="280"/>
        <v>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11">
        <v>0</v>
      </c>
      <c r="L548" s="5">
        <v>0</v>
      </c>
      <c r="M548" s="5">
        <v>433</v>
      </c>
      <c r="N548" s="3">
        <f t="shared" si="307"/>
        <v>2381500</v>
      </c>
      <c r="O548" s="5">
        <v>0</v>
      </c>
      <c r="P548" s="5">
        <v>0</v>
      </c>
      <c r="Q548" s="5">
        <v>0</v>
      </c>
      <c r="R548" s="3">
        <f t="shared" ref="R548:R618" si="308">Q548*3000</f>
        <v>0</v>
      </c>
      <c r="S548" s="5">
        <v>0</v>
      </c>
      <c r="T548" s="5">
        <v>0</v>
      </c>
      <c r="U548" s="5">
        <v>0</v>
      </c>
      <c r="V548" s="6">
        <f t="shared" ref="V548:V618" si="309">N548/M548</f>
        <v>5500</v>
      </c>
    </row>
    <row r="549" spans="1:22" ht="21.95" customHeight="1" x14ac:dyDescent="0.25">
      <c r="A549" s="53" t="s">
        <v>1272</v>
      </c>
      <c r="B549" s="23" t="s">
        <v>600</v>
      </c>
      <c r="C549" s="2">
        <f t="shared" si="288"/>
        <v>2381500</v>
      </c>
      <c r="D549" s="3">
        <f t="shared" ref="D549:D618" si="310">SUM(E549:J549)</f>
        <v>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11">
        <v>0</v>
      </c>
      <c r="L549" s="5">
        <v>0</v>
      </c>
      <c r="M549" s="5">
        <v>433</v>
      </c>
      <c r="N549" s="3">
        <f t="shared" si="307"/>
        <v>2381500</v>
      </c>
      <c r="O549" s="5">
        <v>0</v>
      </c>
      <c r="P549" s="5">
        <v>0</v>
      </c>
      <c r="Q549" s="5">
        <v>0</v>
      </c>
      <c r="R549" s="3">
        <f t="shared" si="308"/>
        <v>0</v>
      </c>
      <c r="S549" s="5">
        <v>0</v>
      </c>
      <c r="T549" s="5">
        <v>0</v>
      </c>
      <c r="U549" s="5">
        <v>0</v>
      </c>
      <c r="V549" s="6">
        <f t="shared" si="309"/>
        <v>5500</v>
      </c>
    </row>
    <row r="550" spans="1:22" ht="21.95" customHeight="1" x14ac:dyDescent="0.25">
      <c r="A550" s="53" t="s">
        <v>1273</v>
      </c>
      <c r="B550" s="23" t="s">
        <v>601</v>
      </c>
      <c r="C550" s="2">
        <f t="shared" si="288"/>
        <v>2381500</v>
      </c>
      <c r="D550" s="3">
        <f t="shared" si="310"/>
        <v>0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  <c r="K550" s="11">
        <v>0</v>
      </c>
      <c r="L550" s="5">
        <v>0</v>
      </c>
      <c r="M550" s="5">
        <v>433</v>
      </c>
      <c r="N550" s="3">
        <f t="shared" si="307"/>
        <v>2381500</v>
      </c>
      <c r="O550" s="5">
        <v>0</v>
      </c>
      <c r="P550" s="5">
        <v>0</v>
      </c>
      <c r="Q550" s="5">
        <v>0</v>
      </c>
      <c r="R550" s="3">
        <f t="shared" si="308"/>
        <v>0</v>
      </c>
      <c r="S550" s="5">
        <v>0</v>
      </c>
      <c r="T550" s="5">
        <v>0</v>
      </c>
      <c r="U550" s="5">
        <v>0</v>
      </c>
      <c r="V550" s="6">
        <f t="shared" si="309"/>
        <v>5500</v>
      </c>
    </row>
    <row r="551" spans="1:22" ht="21.95" customHeight="1" x14ac:dyDescent="0.25">
      <c r="A551" s="53" t="s">
        <v>1274</v>
      </c>
      <c r="B551" s="8" t="s">
        <v>602</v>
      </c>
      <c r="C551" s="2">
        <f t="shared" si="288"/>
        <v>2381500</v>
      </c>
      <c r="D551" s="3">
        <f t="shared" si="310"/>
        <v>0</v>
      </c>
      <c r="E551" s="3">
        <v>0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11">
        <v>0</v>
      </c>
      <c r="L551" s="5">
        <v>0</v>
      </c>
      <c r="M551" s="5">
        <v>433</v>
      </c>
      <c r="N551" s="3">
        <f t="shared" si="307"/>
        <v>2381500</v>
      </c>
      <c r="O551" s="5">
        <v>0</v>
      </c>
      <c r="P551" s="5">
        <v>0</v>
      </c>
      <c r="Q551" s="5">
        <v>0</v>
      </c>
      <c r="R551" s="3">
        <f t="shared" si="308"/>
        <v>0</v>
      </c>
      <c r="S551" s="5">
        <v>0</v>
      </c>
      <c r="T551" s="5">
        <v>0</v>
      </c>
      <c r="U551" s="5">
        <v>0</v>
      </c>
      <c r="V551" s="6">
        <f t="shared" si="309"/>
        <v>5500</v>
      </c>
    </row>
    <row r="552" spans="1:22" ht="21.95" customHeight="1" x14ac:dyDescent="0.25">
      <c r="A552" s="53" t="s">
        <v>1275</v>
      </c>
      <c r="B552" s="23" t="s">
        <v>786</v>
      </c>
      <c r="C552" s="2">
        <f t="shared" si="288"/>
        <v>6852036</v>
      </c>
      <c r="D552" s="3">
        <f t="shared" si="310"/>
        <v>1519886</v>
      </c>
      <c r="E552" s="3">
        <f>350*646.76</f>
        <v>226366</v>
      </c>
      <c r="F552" s="3">
        <f>1050*646.76</f>
        <v>679098</v>
      </c>
      <c r="G552" s="3">
        <f>300*646.76</f>
        <v>194028</v>
      </c>
      <c r="H552" s="3">
        <f>400*646.76</f>
        <v>258704</v>
      </c>
      <c r="I552" s="3">
        <f>250*646.76</f>
        <v>161690</v>
      </c>
      <c r="J552" s="3">
        <f>350*0</f>
        <v>0</v>
      </c>
      <c r="K552" s="4">
        <v>0</v>
      </c>
      <c r="L552" s="3">
        <v>0</v>
      </c>
      <c r="M552" s="3">
        <v>551.29999999999995</v>
      </c>
      <c r="N552" s="3">
        <f t="shared" si="307"/>
        <v>3032149.9999999995</v>
      </c>
      <c r="O552" s="3">
        <v>0</v>
      </c>
      <c r="P552" s="3">
        <v>0</v>
      </c>
      <c r="Q552" s="5">
        <v>700</v>
      </c>
      <c r="R552" s="3">
        <f t="shared" si="308"/>
        <v>2100000</v>
      </c>
      <c r="S552" s="3">
        <v>0</v>
      </c>
      <c r="T552" s="5">
        <v>0</v>
      </c>
      <c r="U552" s="3">
        <v>200000</v>
      </c>
      <c r="V552" s="6">
        <f t="shared" si="309"/>
        <v>5500</v>
      </c>
    </row>
    <row r="553" spans="1:22" ht="21.95" customHeight="1" x14ac:dyDescent="0.25">
      <c r="A553" s="53" t="s">
        <v>1276</v>
      </c>
      <c r="B553" s="8" t="s">
        <v>603</v>
      </c>
      <c r="C553" s="2">
        <f t="shared" si="288"/>
        <v>2797100</v>
      </c>
      <c r="D553" s="3">
        <f t="shared" si="310"/>
        <v>0</v>
      </c>
      <c r="E553" s="3">
        <v>0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11">
        <v>0</v>
      </c>
      <c r="L553" s="5">
        <v>0</v>
      </c>
      <c r="M553" s="5">
        <v>293</v>
      </c>
      <c r="N553" s="3">
        <f t="shared" ref="N553:N564" si="311">M553*5500</f>
        <v>1611500</v>
      </c>
      <c r="O553" s="5">
        <v>0</v>
      </c>
      <c r="P553" s="5">
        <v>0</v>
      </c>
      <c r="Q553" s="5">
        <v>395.2</v>
      </c>
      <c r="R553" s="3">
        <f t="shared" si="308"/>
        <v>1185600</v>
      </c>
      <c r="S553" s="5">
        <v>0</v>
      </c>
      <c r="T553" s="5">
        <v>0</v>
      </c>
      <c r="U553" s="5">
        <v>0</v>
      </c>
      <c r="V553" s="6">
        <f t="shared" si="309"/>
        <v>5500</v>
      </c>
    </row>
    <row r="554" spans="1:22" ht="21.95" customHeight="1" x14ac:dyDescent="0.25">
      <c r="A554" s="53" t="s">
        <v>1277</v>
      </c>
      <c r="B554" s="8" t="s">
        <v>525</v>
      </c>
      <c r="C554" s="2">
        <f t="shared" si="288"/>
        <v>300000</v>
      </c>
      <c r="D554" s="3">
        <f t="shared" si="310"/>
        <v>0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11">
        <v>0</v>
      </c>
      <c r="L554" s="5">
        <v>0</v>
      </c>
      <c r="M554" s="5">
        <v>0</v>
      </c>
      <c r="N554" s="3">
        <f t="shared" si="311"/>
        <v>0</v>
      </c>
      <c r="O554" s="5">
        <v>0</v>
      </c>
      <c r="P554" s="5">
        <v>0</v>
      </c>
      <c r="Q554" s="5">
        <v>0</v>
      </c>
      <c r="R554" s="3">
        <f t="shared" si="308"/>
        <v>0</v>
      </c>
      <c r="S554" s="5">
        <v>0</v>
      </c>
      <c r="T554" s="5">
        <v>0</v>
      </c>
      <c r="U554" s="5">
        <v>300000</v>
      </c>
      <c r="V554" s="6" t="e">
        <f t="shared" si="309"/>
        <v>#DIV/0!</v>
      </c>
    </row>
    <row r="555" spans="1:22" ht="21.95" customHeight="1" x14ac:dyDescent="0.25">
      <c r="A555" s="53" t="s">
        <v>1278</v>
      </c>
      <c r="B555" s="8" t="s">
        <v>526</v>
      </c>
      <c r="C555" s="2">
        <f t="shared" si="288"/>
        <v>3729000</v>
      </c>
      <c r="D555" s="3">
        <f t="shared" si="310"/>
        <v>0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11">
        <v>0</v>
      </c>
      <c r="L555" s="5">
        <v>0</v>
      </c>
      <c r="M555" s="5">
        <v>678</v>
      </c>
      <c r="N555" s="3">
        <f t="shared" si="311"/>
        <v>3729000</v>
      </c>
      <c r="O555" s="5">
        <v>0</v>
      </c>
      <c r="P555" s="5">
        <v>0</v>
      </c>
      <c r="Q555" s="5">
        <v>0</v>
      </c>
      <c r="R555" s="3">
        <f t="shared" si="308"/>
        <v>0</v>
      </c>
      <c r="S555" s="5">
        <v>0</v>
      </c>
      <c r="T555" s="5">
        <v>0</v>
      </c>
      <c r="U555" s="5">
        <v>0</v>
      </c>
      <c r="V555" s="6">
        <f t="shared" si="309"/>
        <v>5500</v>
      </c>
    </row>
    <row r="556" spans="1:22" ht="21.95" customHeight="1" x14ac:dyDescent="0.25">
      <c r="A556" s="53" t="s">
        <v>1279</v>
      </c>
      <c r="B556" s="8" t="s">
        <v>529</v>
      </c>
      <c r="C556" s="2">
        <f>D556+L556+N556+P556+R556+S556+T556+U556</f>
        <v>300000</v>
      </c>
      <c r="D556" s="3">
        <f>SUM(E556:J556)</f>
        <v>0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11">
        <v>0</v>
      </c>
      <c r="L556" s="5">
        <v>0</v>
      </c>
      <c r="M556" s="5">
        <v>0</v>
      </c>
      <c r="N556" s="3">
        <f>M556*5500</f>
        <v>0</v>
      </c>
      <c r="O556" s="5">
        <v>0</v>
      </c>
      <c r="P556" s="5">
        <v>0</v>
      </c>
      <c r="Q556" s="5">
        <v>0</v>
      </c>
      <c r="R556" s="3">
        <f>Q556*3000</f>
        <v>0</v>
      </c>
      <c r="S556" s="5">
        <v>0</v>
      </c>
      <c r="T556" s="5">
        <v>0</v>
      </c>
      <c r="U556" s="5">
        <v>300000</v>
      </c>
      <c r="V556" s="6" t="e">
        <f>N556/M556</f>
        <v>#DIV/0!</v>
      </c>
    </row>
    <row r="557" spans="1:22" ht="21.95" customHeight="1" x14ac:dyDescent="0.25">
      <c r="A557" s="53" t="s">
        <v>1280</v>
      </c>
      <c r="B557" s="8" t="s">
        <v>530</v>
      </c>
      <c r="C557" s="2">
        <f>D557+L557+N557+P557+R557+S557+T557+U557</f>
        <v>2860000</v>
      </c>
      <c r="D557" s="3">
        <f>SUM(E557:J557)</f>
        <v>0</v>
      </c>
      <c r="E557" s="3">
        <v>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11">
        <v>0</v>
      </c>
      <c r="L557" s="5">
        <v>0</v>
      </c>
      <c r="M557" s="5">
        <v>520</v>
      </c>
      <c r="N557" s="3">
        <f>M557*5500</f>
        <v>2860000</v>
      </c>
      <c r="O557" s="5">
        <v>0</v>
      </c>
      <c r="P557" s="5">
        <v>0</v>
      </c>
      <c r="Q557" s="5">
        <v>0</v>
      </c>
      <c r="R557" s="3">
        <f>Q557*3000</f>
        <v>0</v>
      </c>
      <c r="S557" s="5">
        <v>0</v>
      </c>
      <c r="T557" s="5">
        <v>0</v>
      </c>
      <c r="U557" s="5">
        <v>0</v>
      </c>
      <c r="V557" s="6">
        <f>N557/M557</f>
        <v>5500</v>
      </c>
    </row>
    <row r="558" spans="1:22" ht="21.95" customHeight="1" x14ac:dyDescent="0.25">
      <c r="A558" s="53" t="s">
        <v>1281</v>
      </c>
      <c r="B558" s="8" t="s">
        <v>604</v>
      </c>
      <c r="C558" s="2">
        <f>D558+L558+N558+P558+R558+S558+T558+U558</f>
        <v>2860000</v>
      </c>
      <c r="D558" s="3">
        <f>SUM(E558:J558)</f>
        <v>0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11">
        <v>0</v>
      </c>
      <c r="L558" s="5">
        <v>0</v>
      </c>
      <c r="M558" s="5">
        <v>520</v>
      </c>
      <c r="N558" s="3">
        <f>M558*5500</f>
        <v>2860000</v>
      </c>
      <c r="O558" s="5">
        <v>0</v>
      </c>
      <c r="P558" s="5">
        <v>0</v>
      </c>
      <c r="Q558" s="5">
        <v>0</v>
      </c>
      <c r="R558" s="3">
        <f>Q558*3000</f>
        <v>0</v>
      </c>
      <c r="S558" s="5">
        <v>0</v>
      </c>
      <c r="T558" s="5">
        <v>0</v>
      </c>
      <c r="U558" s="5">
        <v>0</v>
      </c>
      <c r="V558" s="6">
        <f>N558/M558</f>
        <v>5500</v>
      </c>
    </row>
    <row r="559" spans="1:22" ht="21.95" customHeight="1" x14ac:dyDescent="0.25">
      <c r="A559" s="53" t="s">
        <v>1282</v>
      </c>
      <c r="B559" s="8" t="s">
        <v>527</v>
      </c>
      <c r="C559" s="2">
        <f t="shared" si="288"/>
        <v>2860000</v>
      </c>
      <c r="D559" s="3">
        <f t="shared" si="310"/>
        <v>0</v>
      </c>
      <c r="E559" s="3">
        <v>0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11">
        <v>0</v>
      </c>
      <c r="L559" s="5">
        <v>0</v>
      </c>
      <c r="M559" s="5">
        <v>520</v>
      </c>
      <c r="N559" s="3">
        <f t="shared" si="311"/>
        <v>2860000</v>
      </c>
      <c r="O559" s="5">
        <v>0</v>
      </c>
      <c r="P559" s="5">
        <v>0</v>
      </c>
      <c r="Q559" s="5">
        <v>0</v>
      </c>
      <c r="R559" s="3">
        <f t="shared" si="308"/>
        <v>0</v>
      </c>
      <c r="S559" s="5">
        <v>0</v>
      </c>
      <c r="T559" s="5">
        <v>0</v>
      </c>
      <c r="U559" s="5">
        <v>0</v>
      </c>
      <c r="V559" s="6">
        <f t="shared" si="309"/>
        <v>5500</v>
      </c>
    </row>
    <row r="560" spans="1:22" ht="21.95" customHeight="1" x14ac:dyDescent="0.25">
      <c r="A560" s="53" t="s">
        <v>1283</v>
      </c>
      <c r="B560" s="8" t="s">
        <v>528</v>
      </c>
      <c r="C560" s="2">
        <f t="shared" si="288"/>
        <v>2860000</v>
      </c>
      <c r="D560" s="3">
        <f t="shared" si="310"/>
        <v>0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11">
        <v>0</v>
      </c>
      <c r="L560" s="5">
        <v>0</v>
      </c>
      <c r="M560" s="5">
        <v>520</v>
      </c>
      <c r="N560" s="3">
        <f t="shared" si="311"/>
        <v>2860000</v>
      </c>
      <c r="O560" s="5">
        <v>0</v>
      </c>
      <c r="P560" s="5">
        <v>0</v>
      </c>
      <c r="Q560" s="5">
        <v>0</v>
      </c>
      <c r="R560" s="3">
        <f t="shared" si="308"/>
        <v>0</v>
      </c>
      <c r="S560" s="5">
        <v>0</v>
      </c>
      <c r="T560" s="5">
        <v>0</v>
      </c>
      <c r="U560" s="5">
        <v>0</v>
      </c>
      <c r="V560" s="6">
        <f t="shared" si="309"/>
        <v>5500</v>
      </c>
    </row>
    <row r="561" spans="1:22" ht="21.95" customHeight="1" x14ac:dyDescent="0.25">
      <c r="A561" s="53" t="s">
        <v>1284</v>
      </c>
      <c r="B561" s="8" t="s">
        <v>467</v>
      </c>
      <c r="C561" s="2">
        <f t="shared" si="288"/>
        <v>2860000</v>
      </c>
      <c r="D561" s="3">
        <f t="shared" si="310"/>
        <v>0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4">
        <v>0</v>
      </c>
      <c r="L561" s="3">
        <v>0</v>
      </c>
      <c r="M561" s="3">
        <v>520</v>
      </c>
      <c r="N561" s="3">
        <f t="shared" si="311"/>
        <v>2860000</v>
      </c>
      <c r="O561" s="3">
        <v>0</v>
      </c>
      <c r="P561" s="3">
        <v>0</v>
      </c>
      <c r="Q561" s="3">
        <v>0</v>
      </c>
      <c r="R561" s="3">
        <f t="shared" si="308"/>
        <v>0</v>
      </c>
      <c r="S561" s="3">
        <v>0</v>
      </c>
      <c r="T561" s="5">
        <v>0</v>
      </c>
      <c r="U561" s="3">
        <v>0</v>
      </c>
      <c r="V561" s="6">
        <f t="shared" si="309"/>
        <v>5500</v>
      </c>
    </row>
    <row r="562" spans="1:22" ht="21.95" customHeight="1" x14ac:dyDescent="0.25">
      <c r="A562" s="53" t="s">
        <v>1285</v>
      </c>
      <c r="B562" s="8" t="s">
        <v>468</v>
      </c>
      <c r="C562" s="2">
        <f t="shared" si="288"/>
        <v>2860000</v>
      </c>
      <c r="D562" s="3">
        <f t="shared" si="310"/>
        <v>0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4">
        <v>0</v>
      </c>
      <c r="L562" s="3">
        <v>0</v>
      </c>
      <c r="M562" s="3">
        <v>520</v>
      </c>
      <c r="N562" s="3">
        <f t="shared" si="311"/>
        <v>2860000</v>
      </c>
      <c r="O562" s="3">
        <v>0</v>
      </c>
      <c r="P562" s="3">
        <v>0</v>
      </c>
      <c r="Q562" s="3">
        <v>0</v>
      </c>
      <c r="R562" s="3">
        <f t="shared" si="308"/>
        <v>0</v>
      </c>
      <c r="S562" s="3">
        <v>0</v>
      </c>
      <c r="T562" s="5">
        <v>0</v>
      </c>
      <c r="U562" s="3">
        <v>0</v>
      </c>
      <c r="V562" s="6">
        <f t="shared" si="309"/>
        <v>5500</v>
      </c>
    </row>
    <row r="563" spans="1:22" ht="21.95" customHeight="1" x14ac:dyDescent="0.25">
      <c r="A563" s="53" t="s">
        <v>1286</v>
      </c>
      <c r="B563" s="8" t="s">
        <v>423</v>
      </c>
      <c r="C563" s="2">
        <f t="shared" si="288"/>
        <v>1815000</v>
      </c>
      <c r="D563" s="3">
        <f t="shared" si="310"/>
        <v>0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4">
        <v>0</v>
      </c>
      <c r="L563" s="3">
        <v>0</v>
      </c>
      <c r="M563" s="3">
        <v>330</v>
      </c>
      <c r="N563" s="3">
        <f t="shared" si="311"/>
        <v>1815000</v>
      </c>
      <c r="O563" s="3">
        <v>0</v>
      </c>
      <c r="P563" s="3">
        <v>0</v>
      </c>
      <c r="Q563" s="3">
        <v>0</v>
      </c>
      <c r="R563" s="3">
        <f t="shared" si="308"/>
        <v>0</v>
      </c>
      <c r="S563" s="3">
        <v>0</v>
      </c>
      <c r="T563" s="5">
        <v>0</v>
      </c>
      <c r="U563" s="3">
        <v>0</v>
      </c>
      <c r="V563" s="6">
        <f t="shared" si="309"/>
        <v>5500</v>
      </c>
    </row>
    <row r="564" spans="1:22" ht="21.95" customHeight="1" x14ac:dyDescent="0.25">
      <c r="A564" s="53" t="s">
        <v>1287</v>
      </c>
      <c r="B564" s="8" t="s">
        <v>531</v>
      </c>
      <c r="C564" s="2">
        <f t="shared" si="288"/>
        <v>2743950</v>
      </c>
      <c r="D564" s="3">
        <f t="shared" si="310"/>
        <v>0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11">
        <v>0</v>
      </c>
      <c r="L564" s="5">
        <v>0</v>
      </c>
      <c r="M564" s="5">
        <v>498.9</v>
      </c>
      <c r="N564" s="3">
        <f t="shared" si="311"/>
        <v>2743950</v>
      </c>
      <c r="O564" s="5">
        <v>0</v>
      </c>
      <c r="P564" s="5">
        <v>0</v>
      </c>
      <c r="Q564" s="5">
        <v>0</v>
      </c>
      <c r="R564" s="3">
        <f t="shared" si="308"/>
        <v>0</v>
      </c>
      <c r="S564" s="5">
        <v>0</v>
      </c>
      <c r="T564" s="5">
        <v>0</v>
      </c>
      <c r="U564" s="5">
        <v>0</v>
      </c>
      <c r="V564" s="6">
        <f t="shared" si="309"/>
        <v>5500</v>
      </c>
    </row>
    <row r="565" spans="1:22" ht="21.95" customHeight="1" x14ac:dyDescent="0.25">
      <c r="A565" s="53" t="s">
        <v>1288</v>
      </c>
      <c r="B565" s="8" t="s">
        <v>482</v>
      </c>
      <c r="C565" s="2">
        <f t="shared" si="288"/>
        <v>6966070.2599999998</v>
      </c>
      <c r="D565" s="3">
        <f t="shared" ref="D565" si="312">SUM(E565:J565)</f>
        <v>6966070.2599999998</v>
      </c>
      <c r="E565" s="3">
        <v>1011850.5</v>
      </c>
      <c r="F565" s="3">
        <v>3377227.08</v>
      </c>
      <c r="G565" s="3">
        <v>833317.14</v>
      </c>
      <c r="H565" s="3">
        <v>1144690.68</v>
      </c>
      <c r="I565" s="3">
        <v>598984.86</v>
      </c>
      <c r="J565" s="3">
        <f>350*0</f>
        <v>0</v>
      </c>
      <c r="K565" s="4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6" t="e">
        <f t="shared" si="309"/>
        <v>#DIV/0!</v>
      </c>
    </row>
    <row r="566" spans="1:22" ht="21.95" customHeight="1" x14ac:dyDescent="0.25">
      <c r="A566" s="53" t="s">
        <v>1289</v>
      </c>
      <c r="B566" s="8" t="s">
        <v>605</v>
      </c>
      <c r="C566" s="2">
        <f t="shared" si="288"/>
        <v>3224973.73</v>
      </c>
      <c r="D566" s="3">
        <f t="shared" si="310"/>
        <v>3033380</v>
      </c>
      <c r="E566" s="3">
        <f>350*1290.8</f>
        <v>451780</v>
      </c>
      <c r="F566" s="3">
        <f>1050*1290.8</f>
        <v>1355340</v>
      </c>
      <c r="G566" s="3">
        <f>300*1290.8</f>
        <v>387240</v>
      </c>
      <c r="H566" s="3">
        <f>400*1290.8</f>
        <v>516320</v>
      </c>
      <c r="I566" s="3">
        <f>250*1290.8</f>
        <v>322700</v>
      </c>
      <c r="J566" s="3">
        <f>350*0</f>
        <v>0</v>
      </c>
      <c r="K566" s="11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3">
        <f t="shared" si="308"/>
        <v>0</v>
      </c>
      <c r="S566" s="5">
        <v>0</v>
      </c>
      <c r="T566" s="5">
        <v>0</v>
      </c>
      <c r="U566" s="5">
        <v>191593.73</v>
      </c>
      <c r="V566" s="6" t="e">
        <f t="shared" si="309"/>
        <v>#DIV/0!</v>
      </c>
    </row>
    <row r="567" spans="1:22" ht="21.95" customHeight="1" x14ac:dyDescent="0.25">
      <c r="A567" s="53" t="s">
        <v>1290</v>
      </c>
      <c r="B567" s="8" t="s">
        <v>532</v>
      </c>
      <c r="C567" s="2">
        <f t="shared" si="288"/>
        <v>4554000</v>
      </c>
      <c r="D567" s="3">
        <f t="shared" si="310"/>
        <v>0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  <c r="K567" s="11">
        <v>0</v>
      </c>
      <c r="L567" s="5">
        <v>0</v>
      </c>
      <c r="M567" s="5">
        <v>828</v>
      </c>
      <c r="N567" s="3">
        <f t="shared" ref="N567:N581" si="313">M567*5500</f>
        <v>4554000</v>
      </c>
      <c r="O567" s="5">
        <v>0</v>
      </c>
      <c r="P567" s="5">
        <v>0</v>
      </c>
      <c r="Q567" s="5">
        <v>0</v>
      </c>
      <c r="R567" s="3">
        <f t="shared" si="308"/>
        <v>0</v>
      </c>
      <c r="S567" s="5">
        <v>0</v>
      </c>
      <c r="T567" s="5">
        <v>0</v>
      </c>
      <c r="U567" s="5">
        <v>0</v>
      </c>
      <c r="V567" s="6">
        <f t="shared" si="309"/>
        <v>5500</v>
      </c>
    </row>
    <row r="568" spans="1:22" ht="21.95" customHeight="1" x14ac:dyDescent="0.25">
      <c r="A568" s="53" t="s">
        <v>1291</v>
      </c>
      <c r="B568" s="23" t="s">
        <v>533</v>
      </c>
      <c r="C568" s="2">
        <f t="shared" si="288"/>
        <v>300000</v>
      </c>
      <c r="D568" s="3">
        <f t="shared" si="310"/>
        <v>0</v>
      </c>
      <c r="E568" s="3">
        <v>0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11">
        <v>0</v>
      </c>
      <c r="L568" s="5">
        <v>0</v>
      </c>
      <c r="M568" s="5">
        <v>0</v>
      </c>
      <c r="N568" s="3">
        <f t="shared" si="313"/>
        <v>0</v>
      </c>
      <c r="O568" s="5">
        <v>0</v>
      </c>
      <c r="P568" s="5">
        <v>0</v>
      </c>
      <c r="Q568" s="5">
        <v>0</v>
      </c>
      <c r="R568" s="3">
        <f t="shared" si="308"/>
        <v>0</v>
      </c>
      <c r="S568" s="5">
        <v>0</v>
      </c>
      <c r="T568" s="5">
        <v>0</v>
      </c>
      <c r="U568" s="5">
        <v>300000</v>
      </c>
      <c r="V568" s="6" t="e">
        <f t="shared" si="309"/>
        <v>#DIV/0!</v>
      </c>
    </row>
    <row r="569" spans="1:22" ht="21.95" customHeight="1" x14ac:dyDescent="0.25">
      <c r="A569" s="53" t="s">
        <v>1292</v>
      </c>
      <c r="B569" s="24" t="s">
        <v>1388</v>
      </c>
      <c r="C569" s="2">
        <f>D569+L569+N569+P569+R569+S569+T569+U569</f>
        <v>1484400</v>
      </c>
      <c r="D569" s="3">
        <f>SUM(E569:J569)</f>
        <v>1484400</v>
      </c>
      <c r="E569" s="3">
        <v>0</v>
      </c>
      <c r="F569" s="3">
        <v>0</v>
      </c>
      <c r="G569" s="3">
        <v>0</v>
      </c>
      <c r="H569" s="3">
        <v>0</v>
      </c>
      <c r="I569" s="3">
        <f>400*3711</f>
        <v>1484400</v>
      </c>
      <c r="J569" s="3">
        <f>350*0</f>
        <v>0</v>
      </c>
      <c r="K569" s="4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5">
        <v>0</v>
      </c>
      <c r="S569" s="3">
        <v>0</v>
      </c>
      <c r="T569" s="3">
        <v>0</v>
      </c>
      <c r="U569" s="3">
        <v>0</v>
      </c>
      <c r="V569" s="6" t="e">
        <f>N569/M569</f>
        <v>#DIV/0!</v>
      </c>
    </row>
    <row r="570" spans="1:22" ht="21.95" customHeight="1" x14ac:dyDescent="0.25">
      <c r="A570" s="53" t="s">
        <v>1293</v>
      </c>
      <c r="B570" s="24" t="s">
        <v>1370</v>
      </c>
      <c r="C570" s="2">
        <f>D570+L570+N570+P570+R570+S570+T570+U570</f>
        <v>7856559.2000000002</v>
      </c>
      <c r="D570" s="3">
        <f>SUM(E570:J570)</f>
        <v>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4">
        <v>0</v>
      </c>
      <c r="L570" s="3">
        <v>0</v>
      </c>
      <c r="M570" s="3">
        <v>553.39</v>
      </c>
      <c r="N570" s="3">
        <f>M570*5500</f>
        <v>3043645</v>
      </c>
      <c r="O570" s="3">
        <v>0</v>
      </c>
      <c r="P570" s="3">
        <v>0</v>
      </c>
      <c r="Q570" s="3">
        <v>1400</v>
      </c>
      <c r="R570" s="5">
        <f>Q570*3000</f>
        <v>4200000</v>
      </c>
      <c r="S570" s="3">
        <v>0</v>
      </c>
      <c r="T570" s="3">
        <v>0</v>
      </c>
      <c r="U570" s="3">
        <v>612914.19999999995</v>
      </c>
      <c r="V570" s="6">
        <f>N570/M570</f>
        <v>5500</v>
      </c>
    </row>
    <row r="571" spans="1:22" ht="21.95" customHeight="1" x14ac:dyDescent="0.25">
      <c r="A571" s="53" t="s">
        <v>1294</v>
      </c>
      <c r="B571" s="23" t="s">
        <v>395</v>
      </c>
      <c r="C571" s="2">
        <f t="shared" si="288"/>
        <v>2467300</v>
      </c>
      <c r="D571" s="3">
        <f t="shared" si="310"/>
        <v>0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4">
        <v>0</v>
      </c>
      <c r="L571" s="3">
        <v>0</v>
      </c>
      <c r="M571" s="3">
        <v>448.6</v>
      </c>
      <c r="N571" s="3">
        <f t="shared" si="313"/>
        <v>2467300</v>
      </c>
      <c r="O571" s="3">
        <v>0</v>
      </c>
      <c r="P571" s="3">
        <v>0</v>
      </c>
      <c r="Q571" s="3">
        <v>0</v>
      </c>
      <c r="R571" s="3">
        <f t="shared" si="308"/>
        <v>0</v>
      </c>
      <c r="S571" s="3">
        <v>0</v>
      </c>
      <c r="T571" s="5">
        <v>0</v>
      </c>
      <c r="U571" s="3">
        <v>0</v>
      </c>
      <c r="V571" s="6">
        <f t="shared" si="309"/>
        <v>5500</v>
      </c>
    </row>
    <row r="572" spans="1:22" ht="21.95" customHeight="1" x14ac:dyDescent="0.25">
      <c r="A572" s="53" t="s">
        <v>1295</v>
      </c>
      <c r="B572" s="8" t="s">
        <v>389</v>
      </c>
      <c r="C572" s="2">
        <f t="shared" si="288"/>
        <v>1888150</v>
      </c>
      <c r="D572" s="3">
        <f t="shared" si="310"/>
        <v>0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4">
        <v>0</v>
      </c>
      <c r="L572" s="3">
        <v>0</v>
      </c>
      <c r="M572" s="3">
        <v>343.3</v>
      </c>
      <c r="N572" s="3">
        <f t="shared" si="313"/>
        <v>1888150</v>
      </c>
      <c r="O572" s="3">
        <v>0</v>
      </c>
      <c r="P572" s="3">
        <v>0</v>
      </c>
      <c r="Q572" s="3">
        <v>0</v>
      </c>
      <c r="R572" s="3">
        <f t="shared" si="308"/>
        <v>0</v>
      </c>
      <c r="S572" s="3">
        <v>0</v>
      </c>
      <c r="T572" s="5">
        <v>0</v>
      </c>
      <c r="U572" s="3">
        <v>0</v>
      </c>
      <c r="V572" s="6">
        <f t="shared" si="309"/>
        <v>5500</v>
      </c>
    </row>
    <row r="573" spans="1:22" ht="21.95" customHeight="1" x14ac:dyDescent="0.25">
      <c r="A573" s="53" t="s">
        <v>1296</v>
      </c>
      <c r="B573" s="8" t="s">
        <v>534</v>
      </c>
      <c r="C573" s="2">
        <f t="shared" si="288"/>
        <v>5111385</v>
      </c>
      <c r="D573" s="3">
        <f t="shared" si="310"/>
        <v>2190435</v>
      </c>
      <c r="E573" s="3">
        <f>350*932.1</f>
        <v>326235</v>
      </c>
      <c r="F573" s="3">
        <f>1050*932.1</f>
        <v>978705</v>
      </c>
      <c r="G573" s="3">
        <f>300*932.1</f>
        <v>279630</v>
      </c>
      <c r="H573" s="3">
        <f>400*932.1</f>
        <v>372840</v>
      </c>
      <c r="I573" s="3">
        <f>250*932.1</f>
        <v>233025</v>
      </c>
      <c r="J573" s="3">
        <f>350*0</f>
        <v>0</v>
      </c>
      <c r="K573" s="11">
        <v>0</v>
      </c>
      <c r="L573" s="5">
        <v>0</v>
      </c>
      <c r="M573" s="5">
        <v>512.9</v>
      </c>
      <c r="N573" s="3">
        <f t="shared" si="313"/>
        <v>2820950</v>
      </c>
      <c r="O573" s="5">
        <v>0</v>
      </c>
      <c r="P573" s="5">
        <v>0</v>
      </c>
      <c r="Q573" s="5">
        <v>0</v>
      </c>
      <c r="R573" s="3">
        <f t="shared" si="308"/>
        <v>0</v>
      </c>
      <c r="S573" s="5">
        <v>0</v>
      </c>
      <c r="T573" s="5">
        <v>0</v>
      </c>
      <c r="U573" s="5">
        <v>100000</v>
      </c>
      <c r="V573" s="6">
        <f t="shared" si="309"/>
        <v>5500</v>
      </c>
    </row>
    <row r="574" spans="1:22" ht="21.95" customHeight="1" x14ac:dyDescent="0.25">
      <c r="A574" s="53" t="s">
        <v>1297</v>
      </c>
      <c r="B574" s="8" t="s">
        <v>535</v>
      </c>
      <c r="C574" s="2">
        <f t="shared" si="288"/>
        <v>1595000</v>
      </c>
      <c r="D574" s="3">
        <f t="shared" si="310"/>
        <v>0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11">
        <v>0</v>
      </c>
      <c r="L574" s="5">
        <v>0</v>
      </c>
      <c r="M574" s="5">
        <v>290</v>
      </c>
      <c r="N574" s="3">
        <f t="shared" si="313"/>
        <v>1595000</v>
      </c>
      <c r="O574" s="5">
        <v>0</v>
      </c>
      <c r="P574" s="5">
        <v>0</v>
      </c>
      <c r="Q574" s="5">
        <v>0</v>
      </c>
      <c r="R574" s="3">
        <f t="shared" si="308"/>
        <v>0</v>
      </c>
      <c r="S574" s="5">
        <v>0</v>
      </c>
      <c r="T574" s="5">
        <v>0</v>
      </c>
      <c r="U574" s="5">
        <v>0</v>
      </c>
      <c r="V574" s="6">
        <f t="shared" si="309"/>
        <v>5500</v>
      </c>
    </row>
    <row r="575" spans="1:22" ht="21.95" customHeight="1" x14ac:dyDescent="0.25">
      <c r="A575" s="53" t="s">
        <v>1298</v>
      </c>
      <c r="B575" s="24" t="s">
        <v>1377</v>
      </c>
      <c r="C575" s="2">
        <f>D575+L575+N575+P575+R575+S575+T575+U575</f>
        <v>3547000</v>
      </c>
      <c r="D575" s="3">
        <f>SUM(E575:J575)</f>
        <v>0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4">
        <v>0</v>
      </c>
      <c r="L575" s="3">
        <v>0</v>
      </c>
      <c r="M575" s="3">
        <v>554</v>
      </c>
      <c r="N575" s="3">
        <f>M575*5500</f>
        <v>3047000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500000</v>
      </c>
      <c r="V575" s="6">
        <f>N575/M575</f>
        <v>5500</v>
      </c>
    </row>
    <row r="576" spans="1:22" ht="21.95" customHeight="1" x14ac:dyDescent="0.25">
      <c r="A576" s="53" t="s">
        <v>1299</v>
      </c>
      <c r="B576" s="8" t="s">
        <v>403</v>
      </c>
      <c r="C576" s="2">
        <f>D576+L576+N576+P576+R576+S576+T576+U576</f>
        <v>1754040</v>
      </c>
      <c r="D576" s="3">
        <f>SUM(E576:J576)</f>
        <v>1754040</v>
      </c>
      <c r="E576" s="3">
        <f>350*746.4</f>
        <v>261240</v>
      </c>
      <c r="F576" s="3">
        <f>800*746.4</f>
        <v>597120</v>
      </c>
      <c r="G576" s="3">
        <f>300*746.4</f>
        <v>223920</v>
      </c>
      <c r="H576" s="3">
        <f>500*746.4</f>
        <v>373200</v>
      </c>
      <c r="I576" s="3">
        <f>400*746.4</f>
        <v>298560</v>
      </c>
      <c r="J576" s="3">
        <f>350*0</f>
        <v>0</v>
      </c>
      <c r="K576" s="4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6" t="e">
        <f>N576/M576</f>
        <v>#DIV/0!</v>
      </c>
    </row>
    <row r="577" spans="1:22" ht="21.95" customHeight="1" x14ac:dyDescent="0.25">
      <c r="A577" s="53" t="s">
        <v>1300</v>
      </c>
      <c r="B577" s="24" t="s">
        <v>1403</v>
      </c>
      <c r="C577" s="2">
        <f>D577+L577+N577+P577+R577+S577+T577+U577</f>
        <v>2964500</v>
      </c>
      <c r="D577" s="3">
        <f>SUM(E577:J577)</f>
        <v>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4">
        <v>0</v>
      </c>
      <c r="L577" s="3">
        <v>0</v>
      </c>
      <c r="M577" s="3">
        <v>539</v>
      </c>
      <c r="N577" s="3">
        <f>M577*5500</f>
        <v>2964500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6">
        <f>N577/M577</f>
        <v>5500</v>
      </c>
    </row>
    <row r="578" spans="1:22" ht="21.95" customHeight="1" x14ac:dyDescent="0.25">
      <c r="A578" s="53" t="s">
        <v>1301</v>
      </c>
      <c r="B578" s="8" t="s">
        <v>398</v>
      </c>
      <c r="C578" s="2">
        <f t="shared" ref="C578:C579" si="314">D578+L578+N578+P578+R578+S578+T578+U578</f>
        <v>5485620</v>
      </c>
      <c r="D578" s="3">
        <f t="shared" ref="D578:D579" si="315">SUM(E578:J578)</f>
        <v>5485620</v>
      </c>
      <c r="E578" s="3">
        <f>350*2965.2</f>
        <v>1037819.9999999999</v>
      </c>
      <c r="F578" s="3">
        <f>800*2965.2</f>
        <v>2372160</v>
      </c>
      <c r="G578" s="3">
        <f>300*2965.2</f>
        <v>889560</v>
      </c>
      <c r="H578" s="3">
        <f>500*0</f>
        <v>0</v>
      </c>
      <c r="I578" s="3">
        <f>400*2965.2</f>
        <v>1186080</v>
      </c>
      <c r="J578" s="3">
        <f>350*0</f>
        <v>0</v>
      </c>
      <c r="K578" s="4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6" t="e">
        <f t="shared" ref="V578:V579" si="316">N578/M578</f>
        <v>#DIV/0!</v>
      </c>
    </row>
    <row r="579" spans="1:22" ht="21.95" customHeight="1" x14ac:dyDescent="0.25">
      <c r="A579" s="53" t="s">
        <v>1302</v>
      </c>
      <c r="B579" s="8" t="s">
        <v>392</v>
      </c>
      <c r="C579" s="2">
        <f t="shared" si="314"/>
        <v>3433350</v>
      </c>
      <c r="D579" s="3">
        <f t="shared" si="315"/>
        <v>3433350</v>
      </c>
      <c r="E579" s="3">
        <f>350*1461</f>
        <v>511350</v>
      </c>
      <c r="F579" s="3">
        <f>800*1461</f>
        <v>1168800</v>
      </c>
      <c r="G579" s="3">
        <f>300*1461</f>
        <v>438300</v>
      </c>
      <c r="H579" s="3">
        <f>500*1461</f>
        <v>730500</v>
      </c>
      <c r="I579" s="3">
        <f>400*1461</f>
        <v>584400</v>
      </c>
      <c r="J579" s="3">
        <f>350*0</f>
        <v>0</v>
      </c>
      <c r="K579" s="4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6" t="e">
        <f t="shared" si="316"/>
        <v>#DIV/0!</v>
      </c>
    </row>
    <row r="580" spans="1:22" ht="21.95" customHeight="1" x14ac:dyDescent="0.25">
      <c r="A580" s="53" t="s">
        <v>1303</v>
      </c>
      <c r="B580" s="8" t="s">
        <v>607</v>
      </c>
      <c r="C580" s="2">
        <f t="shared" si="288"/>
        <v>1419000</v>
      </c>
      <c r="D580" s="3">
        <f t="shared" si="310"/>
        <v>0</v>
      </c>
      <c r="E580" s="3">
        <v>0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11">
        <v>0</v>
      </c>
      <c r="L580" s="5">
        <v>0</v>
      </c>
      <c r="M580" s="5">
        <v>258</v>
      </c>
      <c r="N580" s="3">
        <f t="shared" si="313"/>
        <v>1419000</v>
      </c>
      <c r="O580" s="5">
        <v>0</v>
      </c>
      <c r="P580" s="5">
        <v>0</v>
      </c>
      <c r="Q580" s="5">
        <v>0</v>
      </c>
      <c r="R580" s="3">
        <f t="shared" si="308"/>
        <v>0</v>
      </c>
      <c r="S580" s="5">
        <v>0</v>
      </c>
      <c r="T580" s="5">
        <v>0</v>
      </c>
      <c r="U580" s="5">
        <v>0</v>
      </c>
      <c r="V580" s="6">
        <f t="shared" si="309"/>
        <v>5500</v>
      </c>
    </row>
    <row r="581" spans="1:22" ht="21.95" customHeight="1" x14ac:dyDescent="0.25">
      <c r="A581" s="53" t="s">
        <v>1304</v>
      </c>
      <c r="B581" s="8" t="s">
        <v>537</v>
      </c>
      <c r="C581" s="2">
        <f t="shared" si="288"/>
        <v>1392050</v>
      </c>
      <c r="D581" s="3">
        <f t="shared" si="310"/>
        <v>0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11">
        <v>0</v>
      </c>
      <c r="L581" s="5">
        <v>0</v>
      </c>
      <c r="M581" s="5">
        <v>253.1</v>
      </c>
      <c r="N581" s="3">
        <f t="shared" si="313"/>
        <v>1392050</v>
      </c>
      <c r="O581" s="5">
        <v>0</v>
      </c>
      <c r="P581" s="5">
        <v>0</v>
      </c>
      <c r="Q581" s="5">
        <v>0</v>
      </c>
      <c r="R581" s="3">
        <f t="shared" si="308"/>
        <v>0</v>
      </c>
      <c r="S581" s="5">
        <v>0</v>
      </c>
      <c r="T581" s="5">
        <v>0</v>
      </c>
      <c r="U581" s="5">
        <v>0</v>
      </c>
      <c r="V581" s="6">
        <f t="shared" si="309"/>
        <v>5500</v>
      </c>
    </row>
    <row r="582" spans="1:22" ht="21.95" customHeight="1" x14ac:dyDescent="0.25">
      <c r="A582" s="53" t="s">
        <v>1558</v>
      </c>
      <c r="B582" s="8" t="s">
        <v>538</v>
      </c>
      <c r="C582" s="2">
        <f t="shared" si="288"/>
        <v>1364000</v>
      </c>
      <c r="D582" s="3">
        <f t="shared" si="310"/>
        <v>0</v>
      </c>
      <c r="E582" s="3">
        <v>0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11">
        <v>0</v>
      </c>
      <c r="L582" s="5">
        <v>0</v>
      </c>
      <c r="M582" s="5">
        <v>248</v>
      </c>
      <c r="N582" s="3">
        <f t="shared" ref="N582:N599" si="317">M582*5500</f>
        <v>1364000</v>
      </c>
      <c r="O582" s="5">
        <v>0</v>
      </c>
      <c r="P582" s="5">
        <v>0</v>
      </c>
      <c r="Q582" s="5">
        <v>0</v>
      </c>
      <c r="R582" s="3">
        <f t="shared" si="308"/>
        <v>0</v>
      </c>
      <c r="S582" s="5">
        <v>0</v>
      </c>
      <c r="T582" s="5">
        <v>0</v>
      </c>
      <c r="U582" s="5">
        <v>0</v>
      </c>
      <c r="V582" s="6">
        <f t="shared" si="309"/>
        <v>5500</v>
      </c>
    </row>
    <row r="583" spans="1:22" ht="21.95" customHeight="1" x14ac:dyDescent="0.25">
      <c r="A583" s="53" t="s">
        <v>1305</v>
      </c>
      <c r="B583" s="8" t="s">
        <v>539</v>
      </c>
      <c r="C583" s="2">
        <f t="shared" si="288"/>
        <v>1364000</v>
      </c>
      <c r="D583" s="3">
        <f t="shared" si="310"/>
        <v>0</v>
      </c>
      <c r="E583" s="3">
        <v>0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11">
        <v>0</v>
      </c>
      <c r="L583" s="5">
        <v>0</v>
      </c>
      <c r="M583" s="5">
        <v>248</v>
      </c>
      <c r="N583" s="3">
        <f t="shared" si="317"/>
        <v>1364000</v>
      </c>
      <c r="O583" s="5">
        <v>0</v>
      </c>
      <c r="P583" s="5">
        <v>0</v>
      </c>
      <c r="Q583" s="5">
        <v>0</v>
      </c>
      <c r="R583" s="3">
        <f t="shared" si="308"/>
        <v>0</v>
      </c>
      <c r="S583" s="5">
        <v>0</v>
      </c>
      <c r="T583" s="5">
        <v>0</v>
      </c>
      <c r="U583" s="5">
        <v>0</v>
      </c>
      <c r="V583" s="6">
        <f t="shared" si="309"/>
        <v>5500</v>
      </c>
    </row>
    <row r="584" spans="1:22" ht="21.95" customHeight="1" x14ac:dyDescent="0.25">
      <c r="A584" s="53" t="s">
        <v>1306</v>
      </c>
      <c r="B584" s="8" t="s">
        <v>536</v>
      </c>
      <c r="C584" s="2">
        <f>D584+L584+N584+P584+R584+S584+T584+U584</f>
        <v>2205500</v>
      </c>
      <c r="D584" s="3">
        <f>SUM(E584:J584)</f>
        <v>0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  <c r="K584" s="11">
        <v>0</v>
      </c>
      <c r="L584" s="5">
        <v>0</v>
      </c>
      <c r="M584" s="5">
        <v>401</v>
      </c>
      <c r="N584" s="3">
        <f>M584*5500</f>
        <v>2205500</v>
      </c>
      <c r="O584" s="5">
        <v>0</v>
      </c>
      <c r="P584" s="5">
        <v>0</v>
      </c>
      <c r="Q584" s="5">
        <v>0</v>
      </c>
      <c r="R584" s="3">
        <f>Q584*3000</f>
        <v>0</v>
      </c>
      <c r="S584" s="5">
        <v>0</v>
      </c>
      <c r="T584" s="5">
        <v>0</v>
      </c>
      <c r="U584" s="5">
        <v>0</v>
      </c>
      <c r="V584" s="6">
        <f>N584/M584</f>
        <v>5500</v>
      </c>
    </row>
    <row r="585" spans="1:22" ht="21.95" customHeight="1" x14ac:dyDescent="0.25">
      <c r="A585" s="53" t="s">
        <v>1559</v>
      </c>
      <c r="B585" s="8" t="s">
        <v>606</v>
      </c>
      <c r="C585" s="2">
        <f>D585+L585+N585+P585+R585+S585+T585+U585</f>
        <v>4933500</v>
      </c>
      <c r="D585" s="3">
        <f>SUM(E585:J585)</f>
        <v>0</v>
      </c>
      <c r="E585" s="3">
        <v>0</v>
      </c>
      <c r="F585" s="3">
        <v>0</v>
      </c>
      <c r="G585" s="3">
        <v>0</v>
      </c>
      <c r="H585" s="3">
        <v>0</v>
      </c>
      <c r="I585" s="3">
        <v>0</v>
      </c>
      <c r="J585" s="3">
        <v>0</v>
      </c>
      <c r="K585" s="11">
        <v>0</v>
      </c>
      <c r="L585" s="5">
        <v>0</v>
      </c>
      <c r="M585" s="5">
        <v>897</v>
      </c>
      <c r="N585" s="3">
        <f>M585*5500</f>
        <v>4933500</v>
      </c>
      <c r="O585" s="5">
        <v>0</v>
      </c>
      <c r="P585" s="5">
        <v>0</v>
      </c>
      <c r="Q585" s="5">
        <v>0</v>
      </c>
      <c r="R585" s="3">
        <f>Q585*3000</f>
        <v>0</v>
      </c>
      <c r="S585" s="5">
        <v>0</v>
      </c>
      <c r="T585" s="5">
        <v>0</v>
      </c>
      <c r="U585" s="5">
        <v>0</v>
      </c>
      <c r="V585" s="6">
        <f>N585/M585</f>
        <v>5500</v>
      </c>
    </row>
    <row r="586" spans="1:22" ht="21.95" customHeight="1" x14ac:dyDescent="0.25">
      <c r="A586" s="53" t="s">
        <v>1307</v>
      </c>
      <c r="B586" s="23" t="s">
        <v>608</v>
      </c>
      <c r="C586" s="2">
        <f t="shared" si="288"/>
        <v>4125000</v>
      </c>
      <c r="D586" s="3">
        <f t="shared" si="310"/>
        <v>0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  <c r="K586" s="11">
        <v>0</v>
      </c>
      <c r="L586" s="5">
        <v>0</v>
      </c>
      <c r="M586" s="5">
        <v>750</v>
      </c>
      <c r="N586" s="3">
        <f t="shared" si="317"/>
        <v>4125000</v>
      </c>
      <c r="O586" s="5">
        <v>0</v>
      </c>
      <c r="P586" s="5">
        <v>0</v>
      </c>
      <c r="Q586" s="5">
        <v>0</v>
      </c>
      <c r="R586" s="3">
        <f t="shared" si="308"/>
        <v>0</v>
      </c>
      <c r="S586" s="5">
        <v>0</v>
      </c>
      <c r="T586" s="5">
        <v>0</v>
      </c>
      <c r="U586" s="5">
        <v>0</v>
      </c>
      <c r="V586" s="6">
        <f t="shared" si="309"/>
        <v>5500</v>
      </c>
    </row>
    <row r="587" spans="1:22" ht="21.95" customHeight="1" x14ac:dyDescent="0.25">
      <c r="A587" s="53" t="s">
        <v>1308</v>
      </c>
      <c r="B587" s="23" t="s">
        <v>609</v>
      </c>
      <c r="C587" s="2">
        <f t="shared" si="288"/>
        <v>1221000</v>
      </c>
      <c r="D587" s="3">
        <f t="shared" si="310"/>
        <v>0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11">
        <v>0</v>
      </c>
      <c r="L587" s="5">
        <v>0</v>
      </c>
      <c r="M587" s="5">
        <v>222</v>
      </c>
      <c r="N587" s="3">
        <f t="shared" si="317"/>
        <v>1221000</v>
      </c>
      <c r="O587" s="5">
        <v>0</v>
      </c>
      <c r="P587" s="5">
        <v>0</v>
      </c>
      <c r="Q587" s="5">
        <v>0</v>
      </c>
      <c r="R587" s="3">
        <f t="shared" si="308"/>
        <v>0</v>
      </c>
      <c r="S587" s="5">
        <v>0</v>
      </c>
      <c r="T587" s="5">
        <v>0</v>
      </c>
      <c r="U587" s="5">
        <v>0</v>
      </c>
      <c r="V587" s="6">
        <f t="shared" si="309"/>
        <v>5500</v>
      </c>
    </row>
    <row r="588" spans="1:22" ht="21.95" customHeight="1" x14ac:dyDescent="0.25">
      <c r="A588" s="53" t="s">
        <v>1309</v>
      </c>
      <c r="B588" s="23" t="s">
        <v>610</v>
      </c>
      <c r="C588" s="2">
        <f t="shared" si="288"/>
        <v>1941500</v>
      </c>
      <c r="D588" s="3">
        <f t="shared" si="310"/>
        <v>0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11">
        <v>0</v>
      </c>
      <c r="L588" s="5">
        <v>0</v>
      </c>
      <c r="M588" s="5">
        <v>353</v>
      </c>
      <c r="N588" s="3">
        <f t="shared" si="317"/>
        <v>1941500</v>
      </c>
      <c r="O588" s="5">
        <v>0</v>
      </c>
      <c r="P588" s="5">
        <v>0</v>
      </c>
      <c r="Q588" s="5">
        <v>0</v>
      </c>
      <c r="R588" s="3">
        <f t="shared" si="308"/>
        <v>0</v>
      </c>
      <c r="S588" s="5">
        <v>0</v>
      </c>
      <c r="T588" s="5">
        <v>0</v>
      </c>
      <c r="U588" s="5">
        <v>0</v>
      </c>
      <c r="V588" s="6">
        <f t="shared" si="309"/>
        <v>5500</v>
      </c>
    </row>
    <row r="589" spans="1:22" ht="21.95" customHeight="1" x14ac:dyDescent="0.25">
      <c r="A589" s="53" t="s">
        <v>1310</v>
      </c>
      <c r="B589" s="8" t="s">
        <v>540</v>
      </c>
      <c r="C589" s="2">
        <f t="shared" si="288"/>
        <v>1995400</v>
      </c>
      <c r="D589" s="3">
        <f t="shared" si="310"/>
        <v>0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11">
        <v>0</v>
      </c>
      <c r="L589" s="5">
        <v>0</v>
      </c>
      <c r="M589" s="5">
        <v>362.8</v>
      </c>
      <c r="N589" s="3">
        <f t="shared" si="317"/>
        <v>1995400</v>
      </c>
      <c r="O589" s="5">
        <v>0</v>
      </c>
      <c r="P589" s="5">
        <v>0</v>
      </c>
      <c r="Q589" s="5">
        <v>0</v>
      </c>
      <c r="R589" s="3">
        <f t="shared" si="308"/>
        <v>0</v>
      </c>
      <c r="S589" s="5">
        <v>0</v>
      </c>
      <c r="T589" s="5">
        <v>0</v>
      </c>
      <c r="U589" s="5">
        <v>0</v>
      </c>
      <c r="V589" s="6">
        <f t="shared" si="309"/>
        <v>5500</v>
      </c>
    </row>
    <row r="590" spans="1:22" ht="21.95" customHeight="1" x14ac:dyDescent="0.25">
      <c r="A590" s="53" t="s">
        <v>1311</v>
      </c>
      <c r="B590" s="8" t="s">
        <v>611</v>
      </c>
      <c r="C590" s="2">
        <f t="shared" ref="C590:C671" si="318">D590+L590+N590+P590+R590+S590+T590+U590</f>
        <v>1534500</v>
      </c>
      <c r="D590" s="3">
        <f t="shared" si="310"/>
        <v>0</v>
      </c>
      <c r="E590" s="3">
        <v>0</v>
      </c>
      <c r="F590" s="3">
        <v>0</v>
      </c>
      <c r="G590" s="3">
        <v>0</v>
      </c>
      <c r="H590" s="3">
        <v>0</v>
      </c>
      <c r="I590" s="3">
        <v>0</v>
      </c>
      <c r="J590" s="3">
        <v>0</v>
      </c>
      <c r="K590" s="11">
        <v>0</v>
      </c>
      <c r="L590" s="5">
        <v>0</v>
      </c>
      <c r="M590" s="5">
        <v>279</v>
      </c>
      <c r="N590" s="3">
        <f t="shared" si="317"/>
        <v>1534500</v>
      </c>
      <c r="O590" s="5">
        <v>0</v>
      </c>
      <c r="P590" s="5">
        <v>0</v>
      </c>
      <c r="Q590" s="5">
        <v>0</v>
      </c>
      <c r="R590" s="3">
        <f t="shared" si="308"/>
        <v>0</v>
      </c>
      <c r="S590" s="5">
        <v>0</v>
      </c>
      <c r="T590" s="5">
        <v>0</v>
      </c>
      <c r="U590" s="5">
        <v>0</v>
      </c>
      <c r="V590" s="6">
        <f t="shared" si="309"/>
        <v>5500</v>
      </c>
    </row>
    <row r="591" spans="1:22" ht="21.95" customHeight="1" x14ac:dyDescent="0.25">
      <c r="A591" s="53" t="s">
        <v>1312</v>
      </c>
      <c r="B591" s="8" t="s">
        <v>541</v>
      </c>
      <c r="C591" s="2">
        <f t="shared" si="318"/>
        <v>1529000</v>
      </c>
      <c r="D591" s="3">
        <f t="shared" si="310"/>
        <v>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11">
        <v>0</v>
      </c>
      <c r="L591" s="5">
        <v>0</v>
      </c>
      <c r="M591" s="5">
        <v>278</v>
      </c>
      <c r="N591" s="3">
        <f t="shared" si="317"/>
        <v>1529000</v>
      </c>
      <c r="O591" s="5">
        <v>0</v>
      </c>
      <c r="P591" s="5">
        <v>0</v>
      </c>
      <c r="Q591" s="5">
        <v>0</v>
      </c>
      <c r="R591" s="3">
        <f t="shared" si="308"/>
        <v>0</v>
      </c>
      <c r="S591" s="5">
        <v>0</v>
      </c>
      <c r="T591" s="5">
        <v>0</v>
      </c>
      <c r="U591" s="5">
        <v>0</v>
      </c>
      <c r="V591" s="6">
        <f t="shared" si="309"/>
        <v>5500</v>
      </c>
    </row>
    <row r="592" spans="1:22" ht="21.95" customHeight="1" x14ac:dyDescent="0.25">
      <c r="A592" s="53" t="s">
        <v>1313</v>
      </c>
      <c r="B592" s="8" t="s">
        <v>612</v>
      </c>
      <c r="C592" s="2">
        <f t="shared" si="318"/>
        <v>4515500</v>
      </c>
      <c r="D592" s="3">
        <f t="shared" si="310"/>
        <v>0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11">
        <v>0</v>
      </c>
      <c r="L592" s="5">
        <v>0</v>
      </c>
      <c r="M592" s="5">
        <v>821</v>
      </c>
      <c r="N592" s="3">
        <f t="shared" si="317"/>
        <v>4515500</v>
      </c>
      <c r="O592" s="5">
        <v>0</v>
      </c>
      <c r="P592" s="5">
        <v>0</v>
      </c>
      <c r="Q592" s="5">
        <v>0</v>
      </c>
      <c r="R592" s="3">
        <f t="shared" si="308"/>
        <v>0</v>
      </c>
      <c r="S592" s="5">
        <v>0</v>
      </c>
      <c r="T592" s="5">
        <v>0</v>
      </c>
      <c r="U592" s="5">
        <v>0</v>
      </c>
      <c r="V592" s="6">
        <f t="shared" si="309"/>
        <v>5500</v>
      </c>
    </row>
    <row r="593" spans="1:22" ht="21.95" customHeight="1" x14ac:dyDescent="0.25">
      <c r="A593" s="53" t="s">
        <v>1314</v>
      </c>
      <c r="B593" s="8" t="s">
        <v>613</v>
      </c>
      <c r="C593" s="2">
        <f t="shared" si="318"/>
        <v>2678500</v>
      </c>
      <c r="D593" s="3">
        <f t="shared" si="310"/>
        <v>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11">
        <v>0</v>
      </c>
      <c r="L593" s="5">
        <v>0</v>
      </c>
      <c r="M593" s="5">
        <v>487</v>
      </c>
      <c r="N593" s="3">
        <f t="shared" si="317"/>
        <v>2678500</v>
      </c>
      <c r="O593" s="5">
        <v>0</v>
      </c>
      <c r="P593" s="5">
        <v>0</v>
      </c>
      <c r="Q593" s="5">
        <v>0</v>
      </c>
      <c r="R593" s="3">
        <f t="shared" si="308"/>
        <v>0</v>
      </c>
      <c r="S593" s="5">
        <v>0</v>
      </c>
      <c r="T593" s="5">
        <v>0</v>
      </c>
      <c r="U593" s="5">
        <v>0</v>
      </c>
      <c r="V593" s="6">
        <f t="shared" si="309"/>
        <v>5500</v>
      </c>
    </row>
    <row r="594" spans="1:22" ht="21.95" customHeight="1" x14ac:dyDescent="0.25">
      <c r="A594" s="53" t="s">
        <v>1315</v>
      </c>
      <c r="B594" s="8" t="s">
        <v>507</v>
      </c>
      <c r="C594" s="2">
        <f t="shared" si="318"/>
        <v>5223600</v>
      </c>
      <c r="D594" s="3">
        <f t="shared" si="310"/>
        <v>5223600</v>
      </c>
      <c r="E594" s="3">
        <v>0</v>
      </c>
      <c r="F594" s="3">
        <f>800*3482.4</f>
        <v>2785920</v>
      </c>
      <c r="G594" s="3">
        <f>300*3482.4</f>
        <v>1044720</v>
      </c>
      <c r="H594" s="3">
        <f>800*0</f>
        <v>0</v>
      </c>
      <c r="I594" s="3">
        <f>400*3482.4</f>
        <v>1392960</v>
      </c>
      <c r="J594" s="3">
        <f>800*0</f>
        <v>0</v>
      </c>
      <c r="K594" s="4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6" t="e">
        <f t="shared" si="309"/>
        <v>#DIV/0!</v>
      </c>
    </row>
    <row r="595" spans="1:22" ht="21.95" customHeight="1" x14ac:dyDescent="0.25">
      <c r="A595" s="53" t="s">
        <v>1316</v>
      </c>
      <c r="B595" s="8" t="s">
        <v>614</v>
      </c>
      <c r="C595" s="2">
        <f t="shared" si="318"/>
        <v>1633500</v>
      </c>
      <c r="D595" s="3">
        <f t="shared" si="310"/>
        <v>0</v>
      </c>
      <c r="E595" s="3">
        <v>0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11">
        <v>0</v>
      </c>
      <c r="L595" s="5">
        <v>0</v>
      </c>
      <c r="M595" s="5">
        <v>297</v>
      </c>
      <c r="N595" s="3">
        <f t="shared" si="317"/>
        <v>1633500</v>
      </c>
      <c r="O595" s="5">
        <v>0</v>
      </c>
      <c r="P595" s="5">
        <v>0</v>
      </c>
      <c r="Q595" s="5">
        <v>0</v>
      </c>
      <c r="R595" s="3">
        <f t="shared" si="308"/>
        <v>0</v>
      </c>
      <c r="S595" s="5">
        <v>0</v>
      </c>
      <c r="T595" s="5">
        <v>0</v>
      </c>
      <c r="U595" s="5">
        <v>0</v>
      </c>
      <c r="V595" s="6">
        <f t="shared" si="309"/>
        <v>5500</v>
      </c>
    </row>
    <row r="596" spans="1:22" ht="21.95" customHeight="1" x14ac:dyDescent="0.25">
      <c r="A596" s="53" t="s">
        <v>1317</v>
      </c>
      <c r="B596" s="8" t="s">
        <v>615</v>
      </c>
      <c r="C596" s="2">
        <f t="shared" si="318"/>
        <v>2698300</v>
      </c>
      <c r="D596" s="3">
        <f t="shared" si="310"/>
        <v>0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11">
        <v>0</v>
      </c>
      <c r="L596" s="5">
        <v>0</v>
      </c>
      <c r="M596" s="5">
        <v>490.6</v>
      </c>
      <c r="N596" s="3">
        <f t="shared" si="317"/>
        <v>2698300</v>
      </c>
      <c r="O596" s="5">
        <v>0</v>
      </c>
      <c r="P596" s="5">
        <v>0</v>
      </c>
      <c r="Q596" s="5">
        <v>0</v>
      </c>
      <c r="R596" s="3">
        <f t="shared" si="308"/>
        <v>0</v>
      </c>
      <c r="S596" s="5">
        <v>0</v>
      </c>
      <c r="T596" s="5">
        <v>0</v>
      </c>
      <c r="U596" s="5">
        <v>0</v>
      </c>
      <c r="V596" s="6">
        <f t="shared" si="309"/>
        <v>5500</v>
      </c>
    </row>
    <row r="597" spans="1:22" ht="21.95" customHeight="1" x14ac:dyDescent="0.25">
      <c r="A597" s="53" t="s">
        <v>1318</v>
      </c>
      <c r="B597" s="8" t="s">
        <v>469</v>
      </c>
      <c r="C597" s="2">
        <f t="shared" si="318"/>
        <v>3872000</v>
      </c>
      <c r="D597" s="3">
        <f t="shared" si="310"/>
        <v>0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4">
        <v>0</v>
      </c>
      <c r="L597" s="3">
        <v>0</v>
      </c>
      <c r="M597" s="3">
        <v>704</v>
      </c>
      <c r="N597" s="3">
        <f t="shared" si="317"/>
        <v>3872000</v>
      </c>
      <c r="O597" s="3">
        <v>0</v>
      </c>
      <c r="P597" s="3">
        <v>0</v>
      </c>
      <c r="Q597" s="3">
        <v>0</v>
      </c>
      <c r="R597" s="3">
        <f t="shared" si="308"/>
        <v>0</v>
      </c>
      <c r="S597" s="3">
        <v>0</v>
      </c>
      <c r="T597" s="5">
        <v>0</v>
      </c>
      <c r="U597" s="3">
        <v>0</v>
      </c>
      <c r="V597" s="6">
        <f t="shared" si="309"/>
        <v>5500</v>
      </c>
    </row>
    <row r="598" spans="1:22" ht="21.95" customHeight="1" x14ac:dyDescent="0.25">
      <c r="A598" s="53" t="s">
        <v>1319</v>
      </c>
      <c r="B598" s="8" t="s">
        <v>616</v>
      </c>
      <c r="C598" s="2">
        <f t="shared" si="318"/>
        <v>1639000</v>
      </c>
      <c r="D598" s="3">
        <f t="shared" si="310"/>
        <v>0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11">
        <v>0</v>
      </c>
      <c r="L598" s="5">
        <v>0</v>
      </c>
      <c r="M598" s="5">
        <v>298</v>
      </c>
      <c r="N598" s="3">
        <f t="shared" si="317"/>
        <v>1639000</v>
      </c>
      <c r="O598" s="5">
        <v>0</v>
      </c>
      <c r="P598" s="5">
        <v>0</v>
      </c>
      <c r="Q598" s="5">
        <v>0</v>
      </c>
      <c r="R598" s="3">
        <f t="shared" si="308"/>
        <v>0</v>
      </c>
      <c r="S598" s="5">
        <v>0</v>
      </c>
      <c r="T598" s="5">
        <v>0</v>
      </c>
      <c r="U598" s="5">
        <v>0</v>
      </c>
      <c r="V598" s="6">
        <f t="shared" si="309"/>
        <v>5500</v>
      </c>
    </row>
    <row r="599" spans="1:22" ht="21.95" customHeight="1" x14ac:dyDescent="0.25">
      <c r="A599" s="53" t="s">
        <v>1320</v>
      </c>
      <c r="B599" s="8" t="s">
        <v>542</v>
      </c>
      <c r="C599" s="2">
        <f t="shared" si="318"/>
        <v>3897300</v>
      </c>
      <c r="D599" s="3">
        <f t="shared" si="310"/>
        <v>0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11">
        <v>0</v>
      </c>
      <c r="L599" s="5">
        <v>0</v>
      </c>
      <c r="M599" s="5">
        <v>708.6</v>
      </c>
      <c r="N599" s="3">
        <f t="shared" si="317"/>
        <v>3897300</v>
      </c>
      <c r="O599" s="5">
        <v>0</v>
      </c>
      <c r="P599" s="5">
        <v>0</v>
      </c>
      <c r="Q599" s="5">
        <v>0</v>
      </c>
      <c r="R599" s="3">
        <f t="shared" si="308"/>
        <v>0</v>
      </c>
      <c r="S599" s="5">
        <v>0</v>
      </c>
      <c r="T599" s="5">
        <v>0</v>
      </c>
      <c r="U599" s="5">
        <v>0</v>
      </c>
      <c r="V599" s="6">
        <f t="shared" si="309"/>
        <v>5500</v>
      </c>
    </row>
    <row r="600" spans="1:22" ht="21.95" customHeight="1" x14ac:dyDescent="0.25">
      <c r="A600" s="53" t="s">
        <v>1321</v>
      </c>
      <c r="B600" s="8" t="s">
        <v>1411</v>
      </c>
      <c r="C600" s="2">
        <f t="shared" si="318"/>
        <v>12900000</v>
      </c>
      <c r="D600" s="3">
        <f t="shared" ref="D600" si="319">SUM(E600:J600)</f>
        <v>0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11">
        <v>6</v>
      </c>
      <c r="L600" s="5">
        <f>K600*2150000</f>
        <v>12900000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6" t="e">
        <f t="shared" si="309"/>
        <v>#DIV/0!</v>
      </c>
    </row>
    <row r="601" spans="1:22" ht="21.95" customHeight="1" x14ac:dyDescent="0.25">
      <c r="A601" s="53" t="s">
        <v>1322</v>
      </c>
      <c r="B601" s="8" t="s">
        <v>617</v>
      </c>
      <c r="C601" s="2">
        <f t="shared" si="318"/>
        <v>2524500</v>
      </c>
      <c r="D601" s="3">
        <f t="shared" si="310"/>
        <v>0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11">
        <v>0</v>
      </c>
      <c r="L601" s="5">
        <v>0</v>
      </c>
      <c r="M601" s="5">
        <v>459</v>
      </c>
      <c r="N601" s="3">
        <f t="shared" ref="N601:N617" si="320">M601*5500</f>
        <v>2524500</v>
      </c>
      <c r="O601" s="5">
        <v>0</v>
      </c>
      <c r="P601" s="5">
        <v>0</v>
      </c>
      <c r="Q601" s="5">
        <v>0</v>
      </c>
      <c r="R601" s="3">
        <f t="shared" si="308"/>
        <v>0</v>
      </c>
      <c r="S601" s="5">
        <v>0</v>
      </c>
      <c r="T601" s="5">
        <v>0</v>
      </c>
      <c r="U601" s="5">
        <v>0</v>
      </c>
      <c r="V601" s="6">
        <f t="shared" si="309"/>
        <v>5500</v>
      </c>
    </row>
    <row r="602" spans="1:22" ht="21.95" customHeight="1" x14ac:dyDescent="0.25">
      <c r="A602" s="53" t="s">
        <v>1323</v>
      </c>
      <c r="B602" s="8" t="s">
        <v>618</v>
      </c>
      <c r="C602" s="2">
        <f t="shared" si="318"/>
        <v>4521000</v>
      </c>
      <c r="D602" s="3">
        <f t="shared" si="310"/>
        <v>0</v>
      </c>
      <c r="E602" s="3">
        <v>0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11">
        <v>0</v>
      </c>
      <c r="L602" s="5">
        <v>0</v>
      </c>
      <c r="M602" s="5">
        <v>822</v>
      </c>
      <c r="N602" s="3">
        <f t="shared" si="320"/>
        <v>4521000</v>
      </c>
      <c r="O602" s="5">
        <v>0</v>
      </c>
      <c r="P602" s="5">
        <v>0</v>
      </c>
      <c r="Q602" s="5">
        <v>0</v>
      </c>
      <c r="R602" s="3">
        <f t="shared" si="308"/>
        <v>0</v>
      </c>
      <c r="S602" s="5">
        <v>0</v>
      </c>
      <c r="T602" s="5">
        <v>0</v>
      </c>
      <c r="U602" s="5">
        <v>0</v>
      </c>
      <c r="V602" s="6">
        <f t="shared" si="309"/>
        <v>5500</v>
      </c>
    </row>
    <row r="603" spans="1:22" ht="21.95" customHeight="1" x14ac:dyDescent="0.25">
      <c r="A603" s="53" t="s">
        <v>1324</v>
      </c>
      <c r="B603" s="8" t="s">
        <v>409</v>
      </c>
      <c r="C603" s="2">
        <f t="shared" ref="C603:C608" si="321">D603+L603+N603+P603+R603+S603+T603+U603</f>
        <v>6710190</v>
      </c>
      <c r="D603" s="3">
        <f t="shared" ref="D603:D608" si="322">SUM(E603:J603)</f>
        <v>6710190</v>
      </c>
      <c r="E603" s="3">
        <f>350*2855.4</f>
        <v>999390</v>
      </c>
      <c r="F603" s="3">
        <f>800*2855.4</f>
        <v>2284320</v>
      </c>
      <c r="G603" s="3">
        <f>300*2855.4</f>
        <v>856620</v>
      </c>
      <c r="H603" s="3">
        <f>500*2855.4</f>
        <v>1427700</v>
      </c>
      <c r="I603" s="3">
        <f>400*2855.4</f>
        <v>1142160</v>
      </c>
      <c r="J603" s="3">
        <f>800*0</f>
        <v>0</v>
      </c>
      <c r="K603" s="4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6" t="e">
        <f t="shared" ref="V603:V608" si="323">N603/M603</f>
        <v>#DIV/0!</v>
      </c>
    </row>
    <row r="604" spans="1:22" ht="21.95" customHeight="1" x14ac:dyDescent="0.25">
      <c r="A604" s="53" t="s">
        <v>865</v>
      </c>
      <c r="B604" s="8" t="s">
        <v>410</v>
      </c>
      <c r="C604" s="2">
        <f>D604+L604+N604+P604+R604+S604+T604+U604</f>
        <v>5433310</v>
      </c>
      <c r="D604" s="3">
        <f>SUM(E604:J604)</f>
        <v>5333310</v>
      </c>
      <c r="E604" s="3">
        <f>350*2125.1</f>
        <v>743785</v>
      </c>
      <c r="F604" s="3">
        <f>1050*2125.1</f>
        <v>2231355</v>
      </c>
      <c r="G604" s="3">
        <f>300*2125.1</f>
        <v>637530</v>
      </c>
      <c r="H604" s="3">
        <f>400*2125.1</f>
        <v>850040</v>
      </c>
      <c r="I604" s="3">
        <f>250*3482.4</f>
        <v>870600</v>
      </c>
      <c r="J604" s="3">
        <f>800*0</f>
        <v>0</v>
      </c>
      <c r="K604" s="4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100000</v>
      </c>
      <c r="V604" s="6" t="e">
        <f>N604/M604</f>
        <v>#DIV/0!</v>
      </c>
    </row>
    <row r="605" spans="1:22" ht="21.95" customHeight="1" x14ac:dyDescent="0.25">
      <c r="A605" s="53" t="s">
        <v>866</v>
      </c>
      <c r="B605" s="8" t="s">
        <v>385</v>
      </c>
      <c r="C605" s="2">
        <f t="shared" si="321"/>
        <v>7740720</v>
      </c>
      <c r="D605" s="3">
        <f t="shared" si="322"/>
        <v>7640720</v>
      </c>
      <c r="E605" s="3">
        <f>350*3482.4</f>
        <v>1218840</v>
      </c>
      <c r="F605" s="3">
        <f>1050*3482.4</f>
        <v>3656520</v>
      </c>
      <c r="G605" s="3">
        <f>300*3482.4</f>
        <v>1044720</v>
      </c>
      <c r="H605" s="3">
        <f>400*2125.1</f>
        <v>850040</v>
      </c>
      <c r="I605" s="3">
        <f>250*3482.4</f>
        <v>870600</v>
      </c>
      <c r="J605" s="3">
        <f>800*0</f>
        <v>0</v>
      </c>
      <c r="K605" s="4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100000</v>
      </c>
      <c r="V605" s="6" t="e">
        <f t="shared" si="323"/>
        <v>#DIV/0!</v>
      </c>
    </row>
    <row r="606" spans="1:22" ht="21.95" customHeight="1" x14ac:dyDescent="0.25">
      <c r="A606" s="53" t="s">
        <v>867</v>
      </c>
      <c r="B606" s="8" t="s">
        <v>431</v>
      </c>
      <c r="C606" s="2">
        <f t="shared" si="321"/>
        <v>2635000</v>
      </c>
      <c r="D606" s="3">
        <f t="shared" si="322"/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4">
        <v>0</v>
      </c>
      <c r="L606" s="3">
        <v>0</v>
      </c>
      <c r="M606" s="3">
        <v>370</v>
      </c>
      <c r="N606" s="3">
        <f>M606*5500</f>
        <v>2035000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600000</v>
      </c>
      <c r="V606" s="6">
        <f t="shared" si="323"/>
        <v>5500</v>
      </c>
    </row>
    <row r="607" spans="1:22" ht="21.95" customHeight="1" x14ac:dyDescent="0.25">
      <c r="A607" s="53" t="s">
        <v>868</v>
      </c>
      <c r="B607" s="8" t="s">
        <v>418</v>
      </c>
      <c r="C607" s="2">
        <f t="shared" si="321"/>
        <v>4398980</v>
      </c>
      <c r="D607" s="3">
        <f t="shared" si="322"/>
        <v>4198980</v>
      </c>
      <c r="E607" s="3">
        <f>350*1786.8</f>
        <v>625380</v>
      </c>
      <c r="F607" s="3">
        <f>800*1786.8</f>
        <v>1429440</v>
      </c>
      <c r="G607" s="3">
        <f>300*1786.8</f>
        <v>536040</v>
      </c>
      <c r="H607" s="3">
        <f>500*1786.8</f>
        <v>893400</v>
      </c>
      <c r="I607" s="3">
        <f>400*1786.8</f>
        <v>714720</v>
      </c>
      <c r="J607" s="3">
        <f>800*0</f>
        <v>0</v>
      </c>
      <c r="K607" s="4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200000</v>
      </c>
      <c r="V607" s="6" t="e">
        <f t="shared" si="323"/>
        <v>#DIV/0!</v>
      </c>
    </row>
    <row r="608" spans="1:22" ht="21.95" customHeight="1" x14ac:dyDescent="0.25">
      <c r="A608" s="53" t="s">
        <v>869</v>
      </c>
      <c r="B608" s="8" t="s">
        <v>408</v>
      </c>
      <c r="C608" s="2">
        <f t="shared" si="321"/>
        <v>300000</v>
      </c>
      <c r="D608" s="3">
        <f t="shared" si="322"/>
        <v>0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4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300000</v>
      </c>
      <c r="V608" s="6" t="e">
        <f t="shared" si="323"/>
        <v>#DIV/0!</v>
      </c>
    </row>
    <row r="609" spans="1:22" ht="21.95" customHeight="1" x14ac:dyDescent="0.25">
      <c r="A609" s="53" t="s">
        <v>870</v>
      </c>
      <c r="B609" s="24" t="s">
        <v>1371</v>
      </c>
      <c r="C609" s="2">
        <f>D609+L609+N609+P609+R609+S609+T609+U609</f>
        <v>6369250</v>
      </c>
      <c r="D609" s="3">
        <f>SUM(E609:J609)</f>
        <v>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4">
        <v>0</v>
      </c>
      <c r="L609" s="3">
        <v>0</v>
      </c>
      <c r="M609" s="3">
        <v>623.5</v>
      </c>
      <c r="N609" s="3">
        <f>M609*5500</f>
        <v>3429250</v>
      </c>
      <c r="O609" s="3">
        <v>0</v>
      </c>
      <c r="P609" s="3">
        <v>0</v>
      </c>
      <c r="Q609" s="3">
        <v>980</v>
      </c>
      <c r="R609" s="5">
        <f>Q609*3000</f>
        <v>2940000</v>
      </c>
      <c r="S609" s="3">
        <v>0</v>
      </c>
      <c r="T609" s="3">
        <v>0</v>
      </c>
      <c r="U609" s="3">
        <v>0</v>
      </c>
      <c r="V609" s="6">
        <f>N609/M609</f>
        <v>5500</v>
      </c>
    </row>
    <row r="610" spans="1:22" ht="21.95" customHeight="1" x14ac:dyDescent="0.25">
      <c r="A610" s="53" t="s">
        <v>871</v>
      </c>
      <c r="B610" s="23" t="s">
        <v>619</v>
      </c>
      <c r="C610" s="2">
        <f t="shared" si="318"/>
        <v>3737250</v>
      </c>
      <c r="D610" s="3">
        <f t="shared" si="310"/>
        <v>0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11">
        <v>0</v>
      </c>
      <c r="L610" s="5">
        <v>0</v>
      </c>
      <c r="M610" s="5">
        <v>679.5</v>
      </c>
      <c r="N610" s="3">
        <f t="shared" si="320"/>
        <v>3737250</v>
      </c>
      <c r="O610" s="5">
        <v>0</v>
      </c>
      <c r="P610" s="5">
        <v>0</v>
      </c>
      <c r="Q610" s="5">
        <v>0</v>
      </c>
      <c r="R610" s="3">
        <f t="shared" si="308"/>
        <v>0</v>
      </c>
      <c r="S610" s="5">
        <v>0</v>
      </c>
      <c r="T610" s="5">
        <v>0</v>
      </c>
      <c r="U610" s="5">
        <v>0</v>
      </c>
      <c r="V610" s="6">
        <f t="shared" si="309"/>
        <v>5500</v>
      </c>
    </row>
    <row r="611" spans="1:22" ht="21.95" customHeight="1" x14ac:dyDescent="0.25">
      <c r="A611" s="53" t="s">
        <v>872</v>
      </c>
      <c r="B611" s="23" t="s">
        <v>543</v>
      </c>
      <c r="C611" s="2">
        <f t="shared" si="318"/>
        <v>10671934.35</v>
      </c>
      <c r="D611" s="3">
        <f t="shared" si="310"/>
        <v>2652915</v>
      </c>
      <c r="E611" s="3">
        <f>350*1128.9</f>
        <v>395115.00000000006</v>
      </c>
      <c r="F611" s="3">
        <f>1050*1128.9</f>
        <v>1185345</v>
      </c>
      <c r="G611" s="3">
        <f>300*1128.9</f>
        <v>338670</v>
      </c>
      <c r="H611" s="3">
        <f>400*1128.9</f>
        <v>451560.00000000006</v>
      </c>
      <c r="I611" s="3">
        <f>250*1128.9</f>
        <v>282225</v>
      </c>
      <c r="J611" s="3">
        <v>0</v>
      </c>
      <c r="K611" s="11">
        <v>0</v>
      </c>
      <c r="L611" s="5">
        <v>0</v>
      </c>
      <c r="M611" s="5">
        <v>684.8</v>
      </c>
      <c r="N611" s="3">
        <f t="shared" si="320"/>
        <v>3766399.9999999995</v>
      </c>
      <c r="O611" s="5">
        <v>0</v>
      </c>
      <c r="P611" s="5">
        <v>0</v>
      </c>
      <c r="Q611" s="5">
        <v>1350</v>
      </c>
      <c r="R611" s="3">
        <f t="shared" si="308"/>
        <v>4050000</v>
      </c>
      <c r="S611" s="5">
        <v>0</v>
      </c>
      <c r="T611" s="5">
        <v>0</v>
      </c>
      <c r="U611" s="5">
        <v>202619.35</v>
      </c>
      <c r="V611" s="6">
        <f t="shared" si="309"/>
        <v>5500</v>
      </c>
    </row>
    <row r="612" spans="1:22" ht="21.95" customHeight="1" x14ac:dyDescent="0.25">
      <c r="A612" s="53" t="s">
        <v>873</v>
      </c>
      <c r="B612" s="23" t="s">
        <v>620</v>
      </c>
      <c r="C612" s="2">
        <f t="shared" si="318"/>
        <v>4015000</v>
      </c>
      <c r="D612" s="3">
        <f t="shared" si="310"/>
        <v>0</v>
      </c>
      <c r="E612" s="3">
        <v>0</v>
      </c>
      <c r="F612" s="3">
        <v>0</v>
      </c>
      <c r="G612" s="3">
        <v>0</v>
      </c>
      <c r="H612" s="3">
        <v>0</v>
      </c>
      <c r="I612" s="3">
        <v>0</v>
      </c>
      <c r="J612" s="3">
        <v>0</v>
      </c>
      <c r="K612" s="11">
        <v>0</v>
      </c>
      <c r="L612" s="5">
        <v>0</v>
      </c>
      <c r="M612" s="5">
        <v>730</v>
      </c>
      <c r="N612" s="3">
        <f t="shared" si="320"/>
        <v>4015000</v>
      </c>
      <c r="O612" s="5">
        <v>0</v>
      </c>
      <c r="P612" s="5">
        <v>0</v>
      </c>
      <c r="Q612" s="5">
        <v>0</v>
      </c>
      <c r="R612" s="3">
        <f t="shared" si="308"/>
        <v>0</v>
      </c>
      <c r="S612" s="5">
        <v>0</v>
      </c>
      <c r="T612" s="5">
        <v>0</v>
      </c>
      <c r="U612" s="5">
        <v>0</v>
      </c>
      <c r="V612" s="6">
        <f t="shared" si="309"/>
        <v>5500</v>
      </c>
    </row>
    <row r="613" spans="1:22" ht="21.95" customHeight="1" x14ac:dyDescent="0.25">
      <c r="A613" s="53" t="s">
        <v>874</v>
      </c>
      <c r="B613" s="8" t="s">
        <v>544</v>
      </c>
      <c r="C613" s="2">
        <f t="shared" si="318"/>
        <v>2494800</v>
      </c>
      <c r="D613" s="3">
        <f t="shared" si="310"/>
        <v>0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11">
        <v>0</v>
      </c>
      <c r="L613" s="5">
        <v>0</v>
      </c>
      <c r="M613" s="5">
        <v>453.6</v>
      </c>
      <c r="N613" s="3">
        <f t="shared" si="320"/>
        <v>2494800</v>
      </c>
      <c r="O613" s="5">
        <v>0</v>
      </c>
      <c r="P613" s="5">
        <v>0</v>
      </c>
      <c r="Q613" s="5">
        <v>0</v>
      </c>
      <c r="R613" s="3">
        <f t="shared" si="308"/>
        <v>0</v>
      </c>
      <c r="S613" s="5">
        <v>0</v>
      </c>
      <c r="T613" s="5">
        <v>0</v>
      </c>
      <c r="U613" s="5">
        <v>0</v>
      </c>
      <c r="V613" s="6">
        <f t="shared" si="309"/>
        <v>5500</v>
      </c>
    </row>
    <row r="614" spans="1:22" ht="21.95" customHeight="1" x14ac:dyDescent="0.25">
      <c r="A614" s="53" t="s">
        <v>875</v>
      </c>
      <c r="B614" s="8" t="s">
        <v>545</v>
      </c>
      <c r="C614" s="2">
        <f t="shared" si="318"/>
        <v>2494800</v>
      </c>
      <c r="D614" s="3">
        <f t="shared" si="310"/>
        <v>0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11">
        <v>0</v>
      </c>
      <c r="L614" s="5">
        <v>0</v>
      </c>
      <c r="M614" s="5">
        <v>453.6</v>
      </c>
      <c r="N614" s="3">
        <f t="shared" si="320"/>
        <v>2494800</v>
      </c>
      <c r="O614" s="5">
        <v>0</v>
      </c>
      <c r="P614" s="5">
        <v>0</v>
      </c>
      <c r="Q614" s="5">
        <v>0</v>
      </c>
      <c r="R614" s="3">
        <f t="shared" si="308"/>
        <v>0</v>
      </c>
      <c r="S614" s="5">
        <v>0</v>
      </c>
      <c r="T614" s="5">
        <v>0</v>
      </c>
      <c r="U614" s="5">
        <v>0</v>
      </c>
      <c r="V614" s="6">
        <f t="shared" si="309"/>
        <v>5500</v>
      </c>
    </row>
    <row r="615" spans="1:22" ht="21.95" customHeight="1" x14ac:dyDescent="0.25">
      <c r="A615" s="53" t="s">
        <v>876</v>
      </c>
      <c r="B615" s="8" t="s">
        <v>546</v>
      </c>
      <c r="C615" s="2">
        <f t="shared" si="318"/>
        <v>1518330</v>
      </c>
      <c r="D615" s="3">
        <f t="shared" si="310"/>
        <v>0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11">
        <v>0</v>
      </c>
      <c r="L615" s="5">
        <v>0</v>
      </c>
      <c r="M615" s="5">
        <v>276.06</v>
      </c>
      <c r="N615" s="3">
        <f t="shared" si="320"/>
        <v>1518330</v>
      </c>
      <c r="O615" s="5">
        <v>0</v>
      </c>
      <c r="P615" s="5">
        <v>0</v>
      </c>
      <c r="Q615" s="5">
        <v>0</v>
      </c>
      <c r="R615" s="3">
        <f t="shared" si="308"/>
        <v>0</v>
      </c>
      <c r="S615" s="5">
        <v>0</v>
      </c>
      <c r="T615" s="5">
        <v>0</v>
      </c>
      <c r="U615" s="5">
        <v>0</v>
      </c>
      <c r="V615" s="6">
        <f t="shared" si="309"/>
        <v>5500</v>
      </c>
    </row>
    <row r="616" spans="1:22" ht="21.95" customHeight="1" x14ac:dyDescent="0.25">
      <c r="A616" s="53" t="s">
        <v>877</v>
      </c>
      <c r="B616" s="8" t="s">
        <v>622</v>
      </c>
      <c r="C616" s="2">
        <f t="shared" si="318"/>
        <v>1545170</v>
      </c>
      <c r="D616" s="3">
        <f t="shared" si="310"/>
        <v>0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11">
        <v>0</v>
      </c>
      <c r="L616" s="5">
        <v>0</v>
      </c>
      <c r="M616" s="5">
        <v>280.94</v>
      </c>
      <c r="N616" s="3">
        <f t="shared" si="320"/>
        <v>1545170</v>
      </c>
      <c r="O616" s="5">
        <v>0</v>
      </c>
      <c r="P616" s="5">
        <v>0</v>
      </c>
      <c r="Q616" s="5">
        <v>0</v>
      </c>
      <c r="R616" s="3">
        <f t="shared" si="308"/>
        <v>0</v>
      </c>
      <c r="S616" s="5">
        <v>0</v>
      </c>
      <c r="T616" s="5">
        <v>0</v>
      </c>
      <c r="U616" s="5">
        <v>0</v>
      </c>
      <c r="V616" s="6">
        <f t="shared" si="309"/>
        <v>5500</v>
      </c>
    </row>
    <row r="617" spans="1:22" ht="21.95" customHeight="1" x14ac:dyDescent="0.25">
      <c r="A617" s="53" t="s">
        <v>1415</v>
      </c>
      <c r="B617" s="8" t="s">
        <v>623</v>
      </c>
      <c r="C617" s="2">
        <f t="shared" si="318"/>
        <v>1630199.9999999998</v>
      </c>
      <c r="D617" s="3">
        <f t="shared" si="310"/>
        <v>0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11">
        <v>0</v>
      </c>
      <c r="L617" s="5">
        <v>0</v>
      </c>
      <c r="M617" s="5">
        <v>296.39999999999998</v>
      </c>
      <c r="N617" s="3">
        <f t="shared" si="320"/>
        <v>1630199.9999999998</v>
      </c>
      <c r="O617" s="5">
        <v>0</v>
      </c>
      <c r="P617" s="5">
        <v>0</v>
      </c>
      <c r="Q617" s="5">
        <v>0</v>
      </c>
      <c r="R617" s="3">
        <f t="shared" si="308"/>
        <v>0</v>
      </c>
      <c r="S617" s="5">
        <v>0</v>
      </c>
      <c r="T617" s="5">
        <v>0</v>
      </c>
      <c r="U617" s="5">
        <v>0</v>
      </c>
      <c r="V617" s="6">
        <f t="shared" si="309"/>
        <v>5500</v>
      </c>
    </row>
    <row r="618" spans="1:22" ht="21.95" customHeight="1" x14ac:dyDescent="0.25">
      <c r="A618" s="53" t="s">
        <v>1416</v>
      </c>
      <c r="B618" s="8" t="s">
        <v>621</v>
      </c>
      <c r="C618" s="2">
        <f t="shared" si="318"/>
        <v>3809886.4599999995</v>
      </c>
      <c r="D618" s="3">
        <f t="shared" si="310"/>
        <v>0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11">
        <v>0</v>
      </c>
      <c r="L618" s="5">
        <v>0</v>
      </c>
      <c r="M618" s="5">
        <v>1033.6099999999999</v>
      </c>
      <c r="N618" s="3">
        <f>M618*3686</f>
        <v>3809886.4599999995</v>
      </c>
      <c r="O618" s="5">
        <v>0</v>
      </c>
      <c r="P618" s="5">
        <v>0</v>
      </c>
      <c r="Q618" s="5">
        <v>0</v>
      </c>
      <c r="R618" s="3">
        <f t="shared" si="308"/>
        <v>0</v>
      </c>
      <c r="S618" s="5">
        <v>0</v>
      </c>
      <c r="T618" s="5">
        <v>0</v>
      </c>
      <c r="U618" s="5">
        <v>0</v>
      </c>
      <c r="V618" s="6">
        <f t="shared" si="309"/>
        <v>3686</v>
      </c>
    </row>
    <row r="619" spans="1:22" ht="21.95" customHeight="1" x14ac:dyDescent="0.25">
      <c r="A619" s="53" t="s">
        <v>878</v>
      </c>
      <c r="B619" s="8" t="s">
        <v>509</v>
      </c>
      <c r="C619" s="2">
        <f>D619+L619+N619+P619+R619+S619+T619+U619</f>
        <v>4476155</v>
      </c>
      <c r="D619" s="3">
        <f>SUM(E619:J619)</f>
        <v>0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  <c r="K619" s="4">
        <v>0</v>
      </c>
      <c r="L619" s="3">
        <v>0</v>
      </c>
      <c r="M619" s="3">
        <v>472.2</v>
      </c>
      <c r="N619" s="3">
        <f>M619*5500</f>
        <v>2597100</v>
      </c>
      <c r="O619" s="3">
        <v>0</v>
      </c>
      <c r="P619" s="3">
        <v>0</v>
      </c>
      <c r="Q619" s="3">
        <v>491</v>
      </c>
      <c r="R619" s="3">
        <v>1279055</v>
      </c>
      <c r="S619" s="3">
        <v>0</v>
      </c>
      <c r="T619" s="3">
        <v>0</v>
      </c>
      <c r="U619" s="3">
        <v>600000</v>
      </c>
      <c r="V619" s="6">
        <f>N619/M619</f>
        <v>5500</v>
      </c>
    </row>
    <row r="620" spans="1:22" ht="21.95" customHeight="1" x14ac:dyDescent="0.25">
      <c r="A620" s="53" t="s">
        <v>879</v>
      </c>
      <c r="B620" s="8" t="s">
        <v>510</v>
      </c>
      <c r="C620" s="2">
        <f>D620+L620+N620+P620+R620+S620+T620+U620</f>
        <v>2022000</v>
      </c>
      <c r="D620" s="3">
        <f>SUM(E620:J620)</f>
        <v>0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4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474</v>
      </c>
      <c r="R620" s="3">
        <f>Q620*3000</f>
        <v>1422000</v>
      </c>
      <c r="S620" s="3">
        <v>0</v>
      </c>
      <c r="T620" s="3">
        <v>0</v>
      </c>
      <c r="U620" s="3">
        <v>600000</v>
      </c>
      <c r="V620" s="6" t="e">
        <f>N620/M620</f>
        <v>#DIV/0!</v>
      </c>
    </row>
    <row r="621" spans="1:22" ht="21.95" customHeight="1" x14ac:dyDescent="0.25">
      <c r="A621" s="53" t="s">
        <v>880</v>
      </c>
      <c r="B621" s="24" t="s">
        <v>1375</v>
      </c>
      <c r="C621" s="2">
        <f>D621+L621+N621+P621+R621+S621+T621+U621</f>
        <v>731420</v>
      </c>
      <c r="D621" s="3">
        <f>SUM(E621:J621)</f>
        <v>0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4">
        <v>0</v>
      </c>
      <c r="L621" s="3">
        <v>0</v>
      </c>
      <c r="M621" s="3">
        <v>0</v>
      </c>
      <c r="N621" s="3">
        <v>0</v>
      </c>
      <c r="O621" s="3">
        <v>110.2</v>
      </c>
      <c r="P621" s="3">
        <v>231420</v>
      </c>
      <c r="Q621" s="3">
        <v>0</v>
      </c>
      <c r="R621" s="3">
        <v>0</v>
      </c>
      <c r="S621" s="3">
        <v>0</v>
      </c>
      <c r="T621" s="3">
        <v>0</v>
      </c>
      <c r="U621" s="3">
        <v>500000</v>
      </c>
      <c r="V621" s="6" t="e">
        <f>N621/M621</f>
        <v>#DIV/0!</v>
      </c>
    </row>
    <row r="622" spans="1:22" ht="21.95" customHeight="1" x14ac:dyDescent="0.25">
      <c r="A622" s="53" t="s">
        <v>881</v>
      </c>
      <c r="B622" s="8" t="s">
        <v>399</v>
      </c>
      <c r="C622" s="2">
        <f>D622+L622+N622+P622+R622+S622+T622+U622</f>
        <v>3467080</v>
      </c>
      <c r="D622" s="3">
        <f>SUM(E622:J622)</f>
        <v>3367080</v>
      </c>
      <c r="E622" s="3">
        <f>350*1432.8</f>
        <v>501480</v>
      </c>
      <c r="F622" s="3">
        <f>1050*1432.8</f>
        <v>1504440</v>
      </c>
      <c r="G622" s="3">
        <f>300*1432.8</f>
        <v>429840</v>
      </c>
      <c r="H622" s="3">
        <f>400*1432.8</f>
        <v>573120</v>
      </c>
      <c r="I622" s="3">
        <f>250*1432.8</f>
        <v>358200</v>
      </c>
      <c r="J622" s="3">
        <f>800*0</f>
        <v>0</v>
      </c>
      <c r="K622" s="4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100000</v>
      </c>
      <c r="V622" s="6" t="e">
        <f>N622/M622</f>
        <v>#DIV/0!</v>
      </c>
    </row>
    <row r="623" spans="1:22" ht="21.95" customHeight="1" x14ac:dyDescent="0.25">
      <c r="A623" s="53" t="s">
        <v>882</v>
      </c>
      <c r="B623" s="8" t="s">
        <v>624</v>
      </c>
      <c r="C623" s="2">
        <f t="shared" ref="C623:C638" si="324">D623+L623+N623+P623+R623+S623+T623+U623</f>
        <v>1633500</v>
      </c>
      <c r="D623" s="3">
        <f t="shared" ref="D623:D638" si="325">SUM(E623:J623)</f>
        <v>0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11">
        <v>0</v>
      </c>
      <c r="L623" s="5">
        <v>0</v>
      </c>
      <c r="M623" s="5">
        <v>297</v>
      </c>
      <c r="N623" s="3">
        <f t="shared" ref="N623:N625" si="326">M623*5500</f>
        <v>1633500</v>
      </c>
      <c r="O623" s="5">
        <v>0</v>
      </c>
      <c r="P623" s="5">
        <v>0</v>
      </c>
      <c r="Q623" s="5">
        <v>0</v>
      </c>
      <c r="R623" s="3">
        <f>Q623*3000</f>
        <v>0</v>
      </c>
      <c r="S623" s="5">
        <v>0</v>
      </c>
      <c r="T623" s="5">
        <v>0</v>
      </c>
      <c r="U623" s="5">
        <v>0</v>
      </c>
      <c r="V623" s="6">
        <f t="shared" ref="V623:V638" si="327">N623/M623</f>
        <v>5500</v>
      </c>
    </row>
    <row r="624" spans="1:22" ht="21.95" customHeight="1" x14ac:dyDescent="0.25">
      <c r="A624" s="53" t="s">
        <v>883</v>
      </c>
      <c r="B624" s="8" t="s">
        <v>625</v>
      </c>
      <c r="C624" s="2">
        <f t="shared" si="324"/>
        <v>1628000</v>
      </c>
      <c r="D624" s="3">
        <f t="shared" si="325"/>
        <v>0</v>
      </c>
      <c r="E624" s="3">
        <v>0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11">
        <v>0</v>
      </c>
      <c r="L624" s="5">
        <v>0</v>
      </c>
      <c r="M624" s="5">
        <v>296</v>
      </c>
      <c r="N624" s="3">
        <f t="shared" si="326"/>
        <v>1628000</v>
      </c>
      <c r="O624" s="5">
        <v>0</v>
      </c>
      <c r="P624" s="5">
        <v>0</v>
      </c>
      <c r="Q624" s="5">
        <v>0</v>
      </c>
      <c r="R624" s="3">
        <f>Q624*3000</f>
        <v>0</v>
      </c>
      <c r="S624" s="5">
        <v>0</v>
      </c>
      <c r="T624" s="5">
        <v>0</v>
      </c>
      <c r="U624" s="5">
        <v>0</v>
      </c>
      <c r="V624" s="6">
        <f t="shared" si="327"/>
        <v>5500</v>
      </c>
    </row>
    <row r="625" spans="1:22" ht="21.95" customHeight="1" x14ac:dyDescent="0.25">
      <c r="A625" s="53" t="s">
        <v>884</v>
      </c>
      <c r="B625" s="8" t="s">
        <v>626</v>
      </c>
      <c r="C625" s="2">
        <f t="shared" si="324"/>
        <v>1622500</v>
      </c>
      <c r="D625" s="3">
        <f t="shared" si="325"/>
        <v>0</v>
      </c>
      <c r="E625" s="3">
        <v>0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11">
        <v>0</v>
      </c>
      <c r="L625" s="5">
        <v>0</v>
      </c>
      <c r="M625" s="5">
        <v>295</v>
      </c>
      <c r="N625" s="3">
        <f t="shared" si="326"/>
        <v>1622500</v>
      </c>
      <c r="O625" s="5">
        <v>0</v>
      </c>
      <c r="P625" s="5">
        <v>0</v>
      </c>
      <c r="Q625" s="5">
        <v>0</v>
      </c>
      <c r="R625" s="3">
        <f>Q625*3000</f>
        <v>0</v>
      </c>
      <c r="S625" s="5">
        <v>0</v>
      </c>
      <c r="T625" s="5">
        <v>0</v>
      </c>
      <c r="U625" s="5">
        <v>0</v>
      </c>
      <c r="V625" s="6">
        <f t="shared" si="327"/>
        <v>5500</v>
      </c>
    </row>
    <row r="626" spans="1:22" ht="21.95" customHeight="1" x14ac:dyDescent="0.25">
      <c r="A626" s="53" t="s">
        <v>885</v>
      </c>
      <c r="B626" s="24" t="s">
        <v>1412</v>
      </c>
      <c r="C626" s="2">
        <f t="shared" si="324"/>
        <v>4300000</v>
      </c>
      <c r="D626" s="3">
        <f t="shared" si="325"/>
        <v>0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4">
        <v>2</v>
      </c>
      <c r="L626" s="3">
        <f>K626*2150000</f>
        <v>4300000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6" t="e">
        <f t="shared" si="327"/>
        <v>#DIV/0!</v>
      </c>
    </row>
    <row r="627" spans="1:22" ht="21.95" customHeight="1" x14ac:dyDescent="0.25">
      <c r="A627" s="53" t="s">
        <v>886</v>
      </c>
      <c r="B627" s="24" t="s">
        <v>1384</v>
      </c>
      <c r="C627" s="2">
        <f>D627+L627+N627+P627+R627+S627+T627+U627</f>
        <v>5326697.04</v>
      </c>
      <c r="D627" s="3">
        <f>SUM(E627:J627)</f>
        <v>0</v>
      </c>
      <c r="E627" s="3">
        <v>0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4">
        <v>0</v>
      </c>
      <c r="L627" s="3">
        <v>0</v>
      </c>
      <c r="M627" s="3">
        <v>456.13</v>
      </c>
      <c r="N627" s="3">
        <v>2750175.12</v>
      </c>
      <c r="O627" s="3">
        <v>0</v>
      </c>
      <c r="P627" s="3">
        <v>0</v>
      </c>
      <c r="Q627" s="3">
        <v>1359</v>
      </c>
      <c r="R627" s="3">
        <v>2516238.71</v>
      </c>
      <c r="S627" s="3">
        <v>60283.21</v>
      </c>
      <c r="T627" s="3">
        <v>0</v>
      </c>
      <c r="U627" s="3">
        <v>0</v>
      </c>
      <c r="V627" s="6">
        <f>N627/M627</f>
        <v>6029.3668910179122</v>
      </c>
    </row>
    <row r="628" spans="1:22" ht="21.95" customHeight="1" x14ac:dyDescent="0.25">
      <c r="A628" s="53" t="s">
        <v>887</v>
      </c>
      <c r="B628" s="8" t="s">
        <v>1357</v>
      </c>
      <c r="C628" s="2">
        <f t="shared" si="324"/>
        <v>23298989</v>
      </c>
      <c r="D628" s="3">
        <f t="shared" si="325"/>
        <v>2311789</v>
      </c>
      <c r="E628" s="3">
        <f>350*983.74</f>
        <v>344309</v>
      </c>
      <c r="F628" s="3">
        <f>1050*983.74</f>
        <v>1032927</v>
      </c>
      <c r="G628" s="3">
        <f>300*983.74</f>
        <v>295122</v>
      </c>
      <c r="H628" s="3">
        <f>400*983.74</f>
        <v>393496</v>
      </c>
      <c r="I628" s="3">
        <f>250*983.74</f>
        <v>245935</v>
      </c>
      <c r="J628" s="3">
        <v>0</v>
      </c>
      <c r="K628" s="11">
        <v>0</v>
      </c>
      <c r="L628" s="5">
        <v>0</v>
      </c>
      <c r="M628" s="5">
        <v>1200</v>
      </c>
      <c r="N628" s="3">
        <f>M628*3686</f>
        <v>4423200</v>
      </c>
      <c r="O628" s="5">
        <v>0</v>
      </c>
      <c r="P628" s="5">
        <v>0</v>
      </c>
      <c r="Q628" s="5">
        <v>5488</v>
      </c>
      <c r="R628" s="3">
        <f t="shared" ref="R628:R634" si="328">Q628*3000</f>
        <v>16464000</v>
      </c>
      <c r="S628" s="5">
        <v>0</v>
      </c>
      <c r="T628" s="5">
        <v>0</v>
      </c>
      <c r="U628" s="5">
        <v>100000</v>
      </c>
      <c r="V628" s="6">
        <f t="shared" si="327"/>
        <v>3686</v>
      </c>
    </row>
    <row r="629" spans="1:22" ht="21.95" customHeight="1" x14ac:dyDescent="0.25">
      <c r="A629" s="53" t="s">
        <v>888</v>
      </c>
      <c r="B629" s="24" t="s">
        <v>1369</v>
      </c>
      <c r="C629" s="2">
        <f>D629+L629+N629+P629+R629+S629+T629+U629</f>
        <v>4541301.41</v>
      </c>
      <c r="D629" s="3">
        <f>SUM(E629:J629)</f>
        <v>0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  <c r="K629" s="4">
        <v>0</v>
      </c>
      <c r="L629" s="3">
        <v>0</v>
      </c>
      <c r="M629" s="3">
        <v>741</v>
      </c>
      <c r="N629" s="3">
        <f>M629*5500</f>
        <v>4075500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465801.41</v>
      </c>
      <c r="V629" s="6">
        <f>N629/M629</f>
        <v>5500</v>
      </c>
    </row>
    <row r="630" spans="1:22" ht="21.95" customHeight="1" x14ac:dyDescent="0.25">
      <c r="A630" s="53" t="s">
        <v>889</v>
      </c>
      <c r="B630" s="8" t="s">
        <v>419</v>
      </c>
      <c r="C630" s="2">
        <f>D630+L630+N630+P630+R630+S630+T630+U630</f>
        <v>1815000</v>
      </c>
      <c r="D630" s="3">
        <f>SUM(E630:J630)</f>
        <v>0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4">
        <v>0</v>
      </c>
      <c r="L630" s="3">
        <v>0</v>
      </c>
      <c r="M630" s="3">
        <v>330</v>
      </c>
      <c r="N630" s="3">
        <f>M630*5500</f>
        <v>1815000</v>
      </c>
      <c r="O630" s="3">
        <v>0</v>
      </c>
      <c r="P630" s="3">
        <v>0</v>
      </c>
      <c r="Q630" s="3">
        <v>0</v>
      </c>
      <c r="R630" s="3">
        <f>Q630*3000</f>
        <v>0</v>
      </c>
      <c r="S630" s="3">
        <v>0</v>
      </c>
      <c r="T630" s="5">
        <v>0</v>
      </c>
      <c r="U630" s="3">
        <v>0</v>
      </c>
      <c r="V630" s="6">
        <f>N630/M630</f>
        <v>5500</v>
      </c>
    </row>
    <row r="631" spans="1:22" ht="21.95" customHeight="1" x14ac:dyDescent="0.25">
      <c r="A631" s="53" t="s">
        <v>890</v>
      </c>
      <c r="B631" s="8" t="s">
        <v>627</v>
      </c>
      <c r="C631" s="2">
        <f t="shared" si="324"/>
        <v>3660600.0000000005</v>
      </c>
      <c r="D631" s="3">
        <f t="shared" si="325"/>
        <v>0</v>
      </c>
      <c r="E631" s="3">
        <v>0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11">
        <v>0</v>
      </c>
      <c r="L631" s="5">
        <v>0</v>
      </c>
      <c r="M631" s="5">
        <v>629.20000000000005</v>
      </c>
      <c r="N631" s="3">
        <f t="shared" ref="N631:N638" si="329">M631*5500</f>
        <v>3460600.0000000005</v>
      </c>
      <c r="O631" s="5">
        <v>0</v>
      </c>
      <c r="P631" s="5">
        <v>0</v>
      </c>
      <c r="Q631" s="5">
        <v>0</v>
      </c>
      <c r="R631" s="3">
        <f t="shared" si="328"/>
        <v>0</v>
      </c>
      <c r="S631" s="5">
        <v>0</v>
      </c>
      <c r="T631" s="5">
        <v>0</v>
      </c>
      <c r="U631" s="5">
        <v>200000</v>
      </c>
      <c r="V631" s="6">
        <f t="shared" si="327"/>
        <v>5500</v>
      </c>
    </row>
    <row r="632" spans="1:22" ht="21.95" customHeight="1" x14ac:dyDescent="0.25">
      <c r="A632" s="53" t="s">
        <v>891</v>
      </c>
      <c r="B632" s="8" t="s">
        <v>630</v>
      </c>
      <c r="C632" s="2">
        <f>D632+L632+N632+P632+R632+S632+T632+U632</f>
        <v>13326500</v>
      </c>
      <c r="D632" s="3">
        <f>SUM(E632:J632)</f>
        <v>0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  <c r="K632" s="11">
        <v>0</v>
      </c>
      <c r="L632" s="5">
        <v>0</v>
      </c>
      <c r="M632" s="5">
        <v>2423</v>
      </c>
      <c r="N632" s="3">
        <f>M632*5500</f>
        <v>13326500</v>
      </c>
      <c r="O632" s="5">
        <v>0</v>
      </c>
      <c r="P632" s="5">
        <v>0</v>
      </c>
      <c r="Q632" s="5">
        <v>0</v>
      </c>
      <c r="R632" s="3">
        <f>Q632*3000</f>
        <v>0</v>
      </c>
      <c r="S632" s="5">
        <v>0</v>
      </c>
      <c r="T632" s="5">
        <v>0</v>
      </c>
      <c r="U632" s="5">
        <v>0</v>
      </c>
      <c r="V632" s="6">
        <f>N632/M632</f>
        <v>5500</v>
      </c>
    </row>
    <row r="633" spans="1:22" ht="21.95" customHeight="1" x14ac:dyDescent="0.25">
      <c r="A633" s="53" t="s">
        <v>892</v>
      </c>
      <c r="B633" s="8" t="s">
        <v>628</v>
      </c>
      <c r="C633" s="2">
        <f t="shared" si="324"/>
        <v>3140500</v>
      </c>
      <c r="D633" s="3">
        <f t="shared" si="325"/>
        <v>0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11">
        <v>0</v>
      </c>
      <c r="L633" s="5">
        <v>0</v>
      </c>
      <c r="M633" s="5">
        <v>571</v>
      </c>
      <c r="N633" s="3">
        <f t="shared" si="329"/>
        <v>3140500</v>
      </c>
      <c r="O633" s="5">
        <v>0</v>
      </c>
      <c r="P633" s="5">
        <v>0</v>
      </c>
      <c r="Q633" s="5">
        <v>0</v>
      </c>
      <c r="R633" s="3">
        <f t="shared" si="328"/>
        <v>0</v>
      </c>
      <c r="S633" s="5">
        <v>0</v>
      </c>
      <c r="T633" s="5">
        <v>0</v>
      </c>
      <c r="U633" s="5">
        <v>0</v>
      </c>
      <c r="V633" s="6">
        <f t="shared" si="327"/>
        <v>5500</v>
      </c>
    </row>
    <row r="634" spans="1:22" ht="21.95" customHeight="1" x14ac:dyDescent="0.25">
      <c r="A634" s="53" t="s">
        <v>893</v>
      </c>
      <c r="B634" s="8" t="s">
        <v>629</v>
      </c>
      <c r="C634" s="2">
        <f t="shared" si="324"/>
        <v>2645500</v>
      </c>
      <c r="D634" s="3">
        <f t="shared" si="325"/>
        <v>0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11">
        <v>0</v>
      </c>
      <c r="L634" s="5">
        <v>0</v>
      </c>
      <c r="M634" s="5">
        <v>481</v>
      </c>
      <c r="N634" s="3">
        <f t="shared" si="329"/>
        <v>2645500</v>
      </c>
      <c r="O634" s="5">
        <v>0</v>
      </c>
      <c r="P634" s="5">
        <v>0</v>
      </c>
      <c r="Q634" s="5">
        <v>0</v>
      </c>
      <c r="R634" s="3">
        <f t="shared" si="328"/>
        <v>0</v>
      </c>
      <c r="S634" s="5">
        <v>0</v>
      </c>
      <c r="T634" s="5">
        <v>0</v>
      </c>
      <c r="U634" s="5">
        <v>0</v>
      </c>
      <c r="V634" s="6">
        <f t="shared" si="327"/>
        <v>5500</v>
      </c>
    </row>
    <row r="635" spans="1:22" ht="21.95" customHeight="1" x14ac:dyDescent="0.25">
      <c r="A635" s="53" t="s">
        <v>894</v>
      </c>
      <c r="B635" s="8" t="s">
        <v>831</v>
      </c>
      <c r="C635" s="2">
        <f t="shared" si="324"/>
        <v>25785119.82</v>
      </c>
      <c r="D635" s="3">
        <f t="shared" si="325"/>
        <v>12969180</v>
      </c>
      <c r="E635" s="3">
        <f>350*5518.8</f>
        <v>1931580</v>
      </c>
      <c r="F635" s="3">
        <f>800*5518.8</f>
        <v>4415040</v>
      </c>
      <c r="G635" s="3">
        <f>300*5518.8</f>
        <v>1655640</v>
      </c>
      <c r="H635" s="3">
        <f>500*5518.8</f>
        <v>2759400</v>
      </c>
      <c r="I635" s="3">
        <f>400*5518.8</f>
        <v>2207520</v>
      </c>
      <c r="J635" s="3">
        <f>350*0</f>
        <v>0</v>
      </c>
      <c r="K635" s="4">
        <v>0</v>
      </c>
      <c r="L635" s="3">
        <v>0</v>
      </c>
      <c r="M635" s="5">
        <v>613.20000000000005</v>
      </c>
      <c r="N635" s="5">
        <v>2315458.5299999998</v>
      </c>
      <c r="O635" s="3">
        <v>819.8</v>
      </c>
      <c r="P635" s="3">
        <v>1125667.3799999999</v>
      </c>
      <c r="Q635" s="3">
        <v>3078</v>
      </c>
      <c r="R635" s="3">
        <v>9174813.9100000001</v>
      </c>
      <c r="S635" s="3">
        <v>0</v>
      </c>
      <c r="T635" s="3">
        <v>0</v>
      </c>
      <c r="U635" s="3">
        <v>200000</v>
      </c>
      <c r="V635" s="6">
        <f t="shared" si="327"/>
        <v>3776.0249999999992</v>
      </c>
    </row>
    <row r="636" spans="1:22" ht="21.95" customHeight="1" x14ac:dyDescent="0.25">
      <c r="A636" s="53" t="s">
        <v>895</v>
      </c>
      <c r="B636" s="8" t="s">
        <v>379</v>
      </c>
      <c r="C636" s="2">
        <f t="shared" si="324"/>
        <v>300000</v>
      </c>
      <c r="D636" s="3">
        <f t="shared" si="325"/>
        <v>0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  <c r="J636" s="3">
        <v>0</v>
      </c>
      <c r="K636" s="4">
        <v>0</v>
      </c>
      <c r="L636" s="3">
        <v>0</v>
      </c>
      <c r="M636" s="3">
        <v>0</v>
      </c>
      <c r="N636" s="3">
        <f t="shared" si="329"/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300000</v>
      </c>
      <c r="V636" s="6" t="e">
        <f t="shared" si="327"/>
        <v>#DIV/0!</v>
      </c>
    </row>
    <row r="637" spans="1:22" ht="21.95" customHeight="1" x14ac:dyDescent="0.25">
      <c r="A637" s="53" t="s">
        <v>896</v>
      </c>
      <c r="B637" s="8" t="s">
        <v>631</v>
      </c>
      <c r="C637" s="2">
        <f t="shared" si="324"/>
        <v>3029000</v>
      </c>
      <c r="D637" s="3">
        <f t="shared" si="325"/>
        <v>0</v>
      </c>
      <c r="E637" s="3">
        <v>0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11">
        <v>0</v>
      </c>
      <c r="L637" s="5">
        <v>0</v>
      </c>
      <c r="M637" s="5">
        <v>278</v>
      </c>
      <c r="N637" s="3">
        <f t="shared" si="329"/>
        <v>1529000</v>
      </c>
      <c r="O637" s="5">
        <v>0</v>
      </c>
      <c r="P637" s="5">
        <v>0</v>
      </c>
      <c r="Q637" s="5">
        <v>500</v>
      </c>
      <c r="R637" s="3">
        <f>Q637*3000</f>
        <v>1500000</v>
      </c>
      <c r="S637" s="5">
        <v>0</v>
      </c>
      <c r="T637" s="5">
        <v>0</v>
      </c>
      <c r="U637" s="5">
        <v>0</v>
      </c>
      <c r="V637" s="6">
        <f t="shared" si="327"/>
        <v>5500</v>
      </c>
    </row>
    <row r="638" spans="1:22" ht="21.95" customHeight="1" x14ac:dyDescent="0.25">
      <c r="A638" s="53" t="s">
        <v>897</v>
      </c>
      <c r="B638" s="23" t="s">
        <v>632</v>
      </c>
      <c r="C638" s="2">
        <f t="shared" si="324"/>
        <v>1534500</v>
      </c>
      <c r="D638" s="3">
        <f t="shared" si="325"/>
        <v>0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  <c r="J638" s="3">
        <v>0</v>
      </c>
      <c r="K638" s="11">
        <v>0</v>
      </c>
      <c r="L638" s="5">
        <v>0</v>
      </c>
      <c r="M638" s="5">
        <v>279</v>
      </c>
      <c r="N638" s="3">
        <f t="shared" si="329"/>
        <v>1534500</v>
      </c>
      <c r="O638" s="5">
        <v>0</v>
      </c>
      <c r="P638" s="5">
        <v>0</v>
      </c>
      <c r="Q638" s="5">
        <v>0</v>
      </c>
      <c r="R638" s="3">
        <f>Q638*3000</f>
        <v>0</v>
      </c>
      <c r="S638" s="5">
        <v>0</v>
      </c>
      <c r="T638" s="5">
        <v>0</v>
      </c>
      <c r="U638" s="5">
        <v>0</v>
      </c>
      <c r="V638" s="6">
        <f t="shared" si="327"/>
        <v>5500</v>
      </c>
    </row>
    <row r="639" spans="1:22" ht="21.95" customHeight="1" x14ac:dyDescent="0.25">
      <c r="A639" s="53" t="s">
        <v>898</v>
      </c>
      <c r="B639" s="8" t="s">
        <v>1536</v>
      </c>
      <c r="C639" s="2">
        <f>D639+L639+N639+P639+R639+S639+T639+U639</f>
        <v>13400000</v>
      </c>
      <c r="D639" s="3">
        <f>SUM(E639:J639)</f>
        <v>0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0</v>
      </c>
      <c r="K639" s="11">
        <v>6</v>
      </c>
      <c r="L639" s="5">
        <f>K639*2150000</f>
        <v>12900000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3">
        <f>Q639*3000</f>
        <v>0</v>
      </c>
      <c r="S639" s="5">
        <v>0</v>
      </c>
      <c r="T639" s="5">
        <v>0</v>
      </c>
      <c r="U639" s="5">
        <v>500000</v>
      </c>
      <c r="V639" s="6" t="e">
        <f>N639/M639</f>
        <v>#DIV/0!</v>
      </c>
    </row>
    <row r="640" spans="1:22" ht="21.95" customHeight="1" x14ac:dyDescent="0.25">
      <c r="A640" s="53" t="s">
        <v>899</v>
      </c>
      <c r="B640" s="8" t="s">
        <v>547</v>
      </c>
      <c r="C640" s="2">
        <f t="shared" si="318"/>
        <v>300000</v>
      </c>
      <c r="D640" s="3">
        <f t="shared" ref="D640:D714" si="330">SUM(E640:J640)</f>
        <v>0</v>
      </c>
      <c r="E640" s="3">
        <v>0</v>
      </c>
      <c r="F640" s="3">
        <v>0</v>
      </c>
      <c r="G640" s="3">
        <v>0</v>
      </c>
      <c r="H640" s="3">
        <v>0</v>
      </c>
      <c r="I640" s="3">
        <v>0</v>
      </c>
      <c r="J640" s="3">
        <v>0</v>
      </c>
      <c r="K640" s="11">
        <v>0</v>
      </c>
      <c r="L640" s="5">
        <v>0</v>
      </c>
      <c r="M640" s="5">
        <v>0</v>
      </c>
      <c r="N640" s="3">
        <v>0</v>
      </c>
      <c r="O640" s="5">
        <v>0</v>
      </c>
      <c r="P640" s="5">
        <v>0</v>
      </c>
      <c r="Q640" s="5">
        <v>0</v>
      </c>
      <c r="R640" s="3">
        <f t="shared" ref="R640:R715" si="331">Q640*3000</f>
        <v>0</v>
      </c>
      <c r="S640" s="5">
        <v>0</v>
      </c>
      <c r="T640" s="5">
        <v>0</v>
      </c>
      <c r="U640" s="5">
        <v>300000</v>
      </c>
      <c r="V640" s="6" t="e">
        <f t="shared" ref="V640:V715" si="332">N640/M640</f>
        <v>#DIV/0!</v>
      </c>
    </row>
    <row r="641" spans="1:22" ht="21.95" customHeight="1" x14ac:dyDescent="0.25">
      <c r="A641" s="53" t="s">
        <v>900</v>
      </c>
      <c r="B641" s="8" t="s">
        <v>633</v>
      </c>
      <c r="C641" s="2">
        <f t="shared" si="318"/>
        <v>1732500</v>
      </c>
      <c r="D641" s="3">
        <f t="shared" si="330"/>
        <v>0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11">
        <v>0</v>
      </c>
      <c r="L641" s="5">
        <v>0</v>
      </c>
      <c r="M641" s="5">
        <v>315</v>
      </c>
      <c r="N641" s="3">
        <f t="shared" ref="N641:N642" si="333">M641*5500</f>
        <v>1732500</v>
      </c>
      <c r="O641" s="5">
        <v>0</v>
      </c>
      <c r="P641" s="5">
        <v>0</v>
      </c>
      <c r="Q641" s="5">
        <v>0</v>
      </c>
      <c r="R641" s="3">
        <f t="shared" si="331"/>
        <v>0</v>
      </c>
      <c r="S641" s="5">
        <v>0</v>
      </c>
      <c r="T641" s="5">
        <v>0</v>
      </c>
      <c r="U641" s="5">
        <v>0</v>
      </c>
      <c r="V641" s="6">
        <f t="shared" si="332"/>
        <v>5500</v>
      </c>
    </row>
    <row r="642" spans="1:22" ht="21.95" customHeight="1" x14ac:dyDescent="0.25">
      <c r="A642" s="53" t="s">
        <v>901</v>
      </c>
      <c r="B642" s="23" t="s">
        <v>548</v>
      </c>
      <c r="C642" s="2">
        <f t="shared" si="318"/>
        <v>1732500</v>
      </c>
      <c r="D642" s="3">
        <f t="shared" si="330"/>
        <v>0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11">
        <v>0</v>
      </c>
      <c r="L642" s="5">
        <v>0</v>
      </c>
      <c r="M642" s="5">
        <v>315</v>
      </c>
      <c r="N642" s="3">
        <f t="shared" si="333"/>
        <v>1732500</v>
      </c>
      <c r="O642" s="5">
        <v>0</v>
      </c>
      <c r="P642" s="5">
        <v>0</v>
      </c>
      <c r="Q642" s="5">
        <v>0</v>
      </c>
      <c r="R642" s="3">
        <f t="shared" si="331"/>
        <v>0</v>
      </c>
      <c r="S642" s="5">
        <v>0</v>
      </c>
      <c r="T642" s="5">
        <v>0</v>
      </c>
      <c r="U642" s="5">
        <v>0</v>
      </c>
      <c r="V642" s="6">
        <f t="shared" si="332"/>
        <v>5500</v>
      </c>
    </row>
    <row r="643" spans="1:22" ht="21.95" customHeight="1" x14ac:dyDescent="0.25">
      <c r="A643" s="53" t="s">
        <v>902</v>
      </c>
      <c r="B643" s="8" t="s">
        <v>635</v>
      </c>
      <c r="C643" s="2">
        <f t="shared" si="318"/>
        <v>3311000</v>
      </c>
      <c r="D643" s="3">
        <f t="shared" si="330"/>
        <v>0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11">
        <v>0</v>
      </c>
      <c r="L643" s="5">
        <v>0</v>
      </c>
      <c r="M643" s="5">
        <v>602</v>
      </c>
      <c r="N643" s="3">
        <f t="shared" ref="N643:N650" si="334">M643*5500</f>
        <v>3311000</v>
      </c>
      <c r="O643" s="5">
        <v>0</v>
      </c>
      <c r="P643" s="5">
        <v>0</v>
      </c>
      <c r="Q643" s="5">
        <v>0</v>
      </c>
      <c r="R643" s="3">
        <f t="shared" si="331"/>
        <v>0</v>
      </c>
      <c r="S643" s="5">
        <v>0</v>
      </c>
      <c r="T643" s="5">
        <v>0</v>
      </c>
      <c r="U643" s="5">
        <v>0</v>
      </c>
      <c r="V643" s="6">
        <f t="shared" si="332"/>
        <v>5500</v>
      </c>
    </row>
    <row r="644" spans="1:22" ht="21.95" customHeight="1" x14ac:dyDescent="0.25">
      <c r="A644" s="53" t="s">
        <v>903</v>
      </c>
      <c r="B644" s="8" t="s">
        <v>549</v>
      </c>
      <c r="C644" s="2">
        <f t="shared" si="318"/>
        <v>700000</v>
      </c>
      <c r="D644" s="3">
        <f t="shared" si="330"/>
        <v>0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11">
        <v>0</v>
      </c>
      <c r="L644" s="5">
        <v>0</v>
      </c>
      <c r="M644" s="5">
        <v>0</v>
      </c>
      <c r="N644" s="3">
        <v>0</v>
      </c>
      <c r="O644" s="5">
        <v>0</v>
      </c>
      <c r="P644" s="5">
        <v>0</v>
      </c>
      <c r="Q644" s="5">
        <v>0</v>
      </c>
      <c r="R644" s="3">
        <f t="shared" si="331"/>
        <v>0</v>
      </c>
      <c r="S644" s="5">
        <v>500000</v>
      </c>
      <c r="T644" s="5">
        <v>0</v>
      </c>
      <c r="U644" s="5">
        <v>200000</v>
      </c>
      <c r="V644" s="6" t="e">
        <f t="shared" si="332"/>
        <v>#DIV/0!</v>
      </c>
    </row>
    <row r="645" spans="1:22" ht="21.95" customHeight="1" x14ac:dyDescent="0.25">
      <c r="A645" s="53" t="s">
        <v>1325</v>
      </c>
      <c r="B645" s="8" t="s">
        <v>634</v>
      </c>
      <c r="C645" s="2">
        <f t="shared" si="318"/>
        <v>3547500</v>
      </c>
      <c r="D645" s="3">
        <f t="shared" si="330"/>
        <v>0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11">
        <v>0</v>
      </c>
      <c r="L645" s="5">
        <v>0</v>
      </c>
      <c r="M645" s="5">
        <v>645</v>
      </c>
      <c r="N645" s="3">
        <f t="shared" si="334"/>
        <v>3547500</v>
      </c>
      <c r="O645" s="5">
        <v>0</v>
      </c>
      <c r="P645" s="5">
        <v>0</v>
      </c>
      <c r="Q645" s="5">
        <v>0</v>
      </c>
      <c r="R645" s="3">
        <f t="shared" si="331"/>
        <v>0</v>
      </c>
      <c r="S645" s="5">
        <v>0</v>
      </c>
      <c r="T645" s="5">
        <v>0</v>
      </c>
      <c r="U645" s="5">
        <v>0</v>
      </c>
      <c r="V645" s="6">
        <f t="shared" si="332"/>
        <v>5500</v>
      </c>
    </row>
    <row r="646" spans="1:22" ht="21.95" customHeight="1" x14ac:dyDescent="0.25">
      <c r="A646" s="53" t="s">
        <v>1569</v>
      </c>
      <c r="B646" s="8" t="s">
        <v>636</v>
      </c>
      <c r="C646" s="2">
        <f t="shared" si="318"/>
        <v>11077318</v>
      </c>
      <c r="D646" s="3">
        <f t="shared" si="330"/>
        <v>2857318</v>
      </c>
      <c r="E646" s="3">
        <f>350*1215.88</f>
        <v>425558.00000000006</v>
      </c>
      <c r="F646" s="3">
        <f>1050*1215.88</f>
        <v>1276674</v>
      </c>
      <c r="G646" s="3">
        <f>300*1215.88</f>
        <v>364764.00000000006</v>
      </c>
      <c r="H646" s="3">
        <f>400*1215.88</f>
        <v>486352.00000000006</v>
      </c>
      <c r="I646" s="3">
        <f>250*1215.88</f>
        <v>303970</v>
      </c>
      <c r="J646" s="3">
        <v>0</v>
      </c>
      <c r="K646" s="11">
        <v>0</v>
      </c>
      <c r="L646" s="5">
        <v>0</v>
      </c>
      <c r="M646" s="5">
        <v>908</v>
      </c>
      <c r="N646" s="3">
        <f t="shared" si="334"/>
        <v>4994000</v>
      </c>
      <c r="O646" s="5">
        <v>0</v>
      </c>
      <c r="P646" s="5">
        <v>0</v>
      </c>
      <c r="Q646" s="5">
        <v>1042</v>
      </c>
      <c r="R646" s="3">
        <f t="shared" si="331"/>
        <v>3126000</v>
      </c>
      <c r="S646" s="5">
        <v>0</v>
      </c>
      <c r="T646" s="5">
        <v>0</v>
      </c>
      <c r="U646" s="5">
        <v>100000</v>
      </c>
      <c r="V646" s="6">
        <f t="shared" si="332"/>
        <v>5500</v>
      </c>
    </row>
    <row r="647" spans="1:22" ht="21.95" customHeight="1" x14ac:dyDescent="0.25">
      <c r="A647" s="53" t="s">
        <v>904</v>
      </c>
      <c r="B647" s="8" t="s">
        <v>550</v>
      </c>
      <c r="C647" s="2">
        <f t="shared" si="318"/>
        <v>2101000</v>
      </c>
      <c r="D647" s="3">
        <f t="shared" si="330"/>
        <v>0</v>
      </c>
      <c r="E647" s="3">
        <v>0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11">
        <v>0</v>
      </c>
      <c r="L647" s="5">
        <v>0</v>
      </c>
      <c r="M647" s="5">
        <v>382</v>
      </c>
      <c r="N647" s="3">
        <f t="shared" si="334"/>
        <v>2101000</v>
      </c>
      <c r="O647" s="5">
        <v>0</v>
      </c>
      <c r="P647" s="5">
        <v>0</v>
      </c>
      <c r="Q647" s="5">
        <v>0</v>
      </c>
      <c r="R647" s="3">
        <f t="shared" si="331"/>
        <v>0</v>
      </c>
      <c r="S647" s="5">
        <v>0</v>
      </c>
      <c r="T647" s="5">
        <v>0</v>
      </c>
      <c r="U647" s="5">
        <v>0</v>
      </c>
      <c r="V647" s="6">
        <f t="shared" si="332"/>
        <v>5500</v>
      </c>
    </row>
    <row r="648" spans="1:22" ht="21.95" customHeight="1" x14ac:dyDescent="0.25">
      <c r="A648" s="53" t="s">
        <v>905</v>
      </c>
      <c r="B648" s="8" t="s">
        <v>551</v>
      </c>
      <c r="C648" s="2">
        <f t="shared" si="318"/>
        <v>2090000</v>
      </c>
      <c r="D648" s="3">
        <f t="shared" si="330"/>
        <v>0</v>
      </c>
      <c r="E648" s="3">
        <v>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11">
        <v>0</v>
      </c>
      <c r="L648" s="5">
        <v>0</v>
      </c>
      <c r="M648" s="5">
        <v>380</v>
      </c>
      <c r="N648" s="3">
        <f t="shared" si="334"/>
        <v>2090000</v>
      </c>
      <c r="O648" s="5">
        <v>0</v>
      </c>
      <c r="P648" s="5">
        <v>0</v>
      </c>
      <c r="Q648" s="5">
        <v>0</v>
      </c>
      <c r="R648" s="3">
        <f t="shared" si="331"/>
        <v>0</v>
      </c>
      <c r="S648" s="5">
        <v>0</v>
      </c>
      <c r="T648" s="5">
        <v>0</v>
      </c>
      <c r="U648" s="5">
        <v>0</v>
      </c>
      <c r="V648" s="6">
        <f t="shared" si="332"/>
        <v>5500</v>
      </c>
    </row>
    <row r="649" spans="1:22" ht="21.95" customHeight="1" x14ac:dyDescent="0.25">
      <c r="A649" s="53" t="s">
        <v>906</v>
      </c>
      <c r="B649" s="8" t="s">
        <v>637</v>
      </c>
      <c r="C649" s="2">
        <f t="shared" si="318"/>
        <v>1485000</v>
      </c>
      <c r="D649" s="3">
        <f t="shared" si="330"/>
        <v>0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11">
        <v>0</v>
      </c>
      <c r="L649" s="5">
        <v>0</v>
      </c>
      <c r="M649" s="5">
        <v>270</v>
      </c>
      <c r="N649" s="3">
        <f t="shared" si="334"/>
        <v>1485000</v>
      </c>
      <c r="O649" s="5">
        <v>0</v>
      </c>
      <c r="P649" s="5">
        <v>0</v>
      </c>
      <c r="Q649" s="5">
        <v>0</v>
      </c>
      <c r="R649" s="3">
        <f t="shared" si="331"/>
        <v>0</v>
      </c>
      <c r="S649" s="5">
        <v>0</v>
      </c>
      <c r="T649" s="5">
        <v>0</v>
      </c>
      <c r="U649" s="5">
        <v>0</v>
      </c>
      <c r="V649" s="6">
        <f t="shared" si="332"/>
        <v>5500</v>
      </c>
    </row>
    <row r="650" spans="1:22" ht="21.95" customHeight="1" x14ac:dyDescent="0.25">
      <c r="A650" s="53" t="s">
        <v>907</v>
      </c>
      <c r="B650" s="8" t="s">
        <v>638</v>
      </c>
      <c r="C650" s="2">
        <f t="shared" si="318"/>
        <v>1479500</v>
      </c>
      <c r="D650" s="3">
        <f t="shared" si="330"/>
        <v>0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11">
        <v>0</v>
      </c>
      <c r="L650" s="5">
        <v>0</v>
      </c>
      <c r="M650" s="5">
        <v>269</v>
      </c>
      <c r="N650" s="3">
        <f t="shared" si="334"/>
        <v>1479500</v>
      </c>
      <c r="O650" s="5">
        <v>0</v>
      </c>
      <c r="P650" s="5">
        <v>0</v>
      </c>
      <c r="Q650" s="5">
        <v>0</v>
      </c>
      <c r="R650" s="3">
        <f t="shared" si="331"/>
        <v>0</v>
      </c>
      <c r="S650" s="5">
        <v>0</v>
      </c>
      <c r="T650" s="5">
        <v>0</v>
      </c>
      <c r="U650" s="5">
        <v>0</v>
      </c>
      <c r="V650" s="6">
        <f t="shared" si="332"/>
        <v>5500</v>
      </c>
    </row>
    <row r="651" spans="1:22" ht="21.95" customHeight="1" x14ac:dyDescent="0.25">
      <c r="A651" s="53" t="s">
        <v>908</v>
      </c>
      <c r="B651" s="8" t="s">
        <v>639</v>
      </c>
      <c r="C651" s="2">
        <f t="shared" si="318"/>
        <v>300000</v>
      </c>
      <c r="D651" s="3">
        <f t="shared" si="330"/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  <c r="J651" s="5">
        <f>350*0</f>
        <v>0</v>
      </c>
      <c r="K651" s="11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3">
        <f t="shared" si="331"/>
        <v>0</v>
      </c>
      <c r="S651" s="5">
        <v>0</v>
      </c>
      <c r="T651" s="5">
        <v>0</v>
      </c>
      <c r="U651" s="5">
        <v>300000</v>
      </c>
      <c r="V651" s="6" t="e">
        <f t="shared" si="332"/>
        <v>#DIV/0!</v>
      </c>
    </row>
    <row r="652" spans="1:22" ht="21.95" customHeight="1" x14ac:dyDescent="0.25">
      <c r="A652" s="53" t="s">
        <v>909</v>
      </c>
      <c r="B652" s="8" t="s">
        <v>640</v>
      </c>
      <c r="C652" s="2">
        <f t="shared" si="318"/>
        <v>1584000</v>
      </c>
      <c r="D652" s="3">
        <f t="shared" si="330"/>
        <v>0</v>
      </c>
      <c r="E652" s="3">
        <v>0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11">
        <v>0</v>
      </c>
      <c r="L652" s="5">
        <v>0</v>
      </c>
      <c r="M652" s="5">
        <v>288</v>
      </c>
      <c r="N652" s="3">
        <f t="shared" ref="N652" si="335">M652*5500</f>
        <v>1584000</v>
      </c>
      <c r="O652" s="5">
        <v>0</v>
      </c>
      <c r="P652" s="5">
        <v>0</v>
      </c>
      <c r="Q652" s="5">
        <v>0</v>
      </c>
      <c r="R652" s="3">
        <f t="shared" si="331"/>
        <v>0</v>
      </c>
      <c r="S652" s="5">
        <v>0</v>
      </c>
      <c r="T652" s="5">
        <v>0</v>
      </c>
      <c r="U652" s="5">
        <v>0</v>
      </c>
      <c r="V652" s="6">
        <f t="shared" si="332"/>
        <v>5500</v>
      </c>
    </row>
    <row r="653" spans="1:22" ht="21.95" customHeight="1" x14ac:dyDescent="0.25">
      <c r="A653" s="53" t="s">
        <v>910</v>
      </c>
      <c r="B653" s="8" t="s">
        <v>641</v>
      </c>
      <c r="C653" s="2">
        <f t="shared" si="318"/>
        <v>2183510</v>
      </c>
      <c r="D653" s="3">
        <f t="shared" si="330"/>
        <v>814510</v>
      </c>
      <c r="E653" s="5">
        <f>350*346.6</f>
        <v>121310.00000000001</v>
      </c>
      <c r="F653" s="5">
        <f>1050*346.6</f>
        <v>363930</v>
      </c>
      <c r="G653" s="5">
        <f>300*346.6</f>
        <v>103980</v>
      </c>
      <c r="H653" s="5">
        <f>400*346.6</f>
        <v>138640</v>
      </c>
      <c r="I653" s="5">
        <f>250*346.6</f>
        <v>86650</v>
      </c>
      <c r="J653" s="5">
        <f>350*0</f>
        <v>0</v>
      </c>
      <c r="K653" s="11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423</v>
      </c>
      <c r="R653" s="3">
        <f t="shared" si="331"/>
        <v>1269000</v>
      </c>
      <c r="S653" s="5">
        <v>0</v>
      </c>
      <c r="T653" s="5">
        <v>0</v>
      </c>
      <c r="U653" s="5">
        <v>100000</v>
      </c>
      <c r="V653" s="6" t="e">
        <f t="shared" si="332"/>
        <v>#DIV/0!</v>
      </c>
    </row>
    <row r="654" spans="1:22" ht="21.95" customHeight="1" x14ac:dyDescent="0.25">
      <c r="A654" s="53" t="s">
        <v>911</v>
      </c>
      <c r="B654" s="8" t="s">
        <v>642</v>
      </c>
      <c r="C654" s="2">
        <f t="shared" si="318"/>
        <v>1507000</v>
      </c>
      <c r="D654" s="3">
        <f t="shared" si="330"/>
        <v>0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11">
        <v>0</v>
      </c>
      <c r="L654" s="5">
        <v>0</v>
      </c>
      <c r="M654" s="5">
        <v>274</v>
      </c>
      <c r="N654" s="3">
        <f t="shared" ref="N654:N673" si="336">M654*5500</f>
        <v>1507000</v>
      </c>
      <c r="O654" s="5">
        <v>0</v>
      </c>
      <c r="P654" s="5">
        <v>0</v>
      </c>
      <c r="Q654" s="5">
        <v>0</v>
      </c>
      <c r="R654" s="3">
        <f t="shared" si="331"/>
        <v>0</v>
      </c>
      <c r="S654" s="5">
        <v>0</v>
      </c>
      <c r="T654" s="5">
        <v>0</v>
      </c>
      <c r="U654" s="5">
        <v>0</v>
      </c>
      <c r="V654" s="6">
        <f t="shared" si="332"/>
        <v>5500</v>
      </c>
    </row>
    <row r="655" spans="1:22" ht="21.95" customHeight="1" x14ac:dyDescent="0.25">
      <c r="A655" s="53" t="s">
        <v>912</v>
      </c>
      <c r="B655" s="8" t="s">
        <v>643</v>
      </c>
      <c r="C655" s="2">
        <f t="shared" si="318"/>
        <v>1562000</v>
      </c>
      <c r="D655" s="3">
        <f t="shared" si="330"/>
        <v>0</v>
      </c>
      <c r="E655" s="3">
        <v>0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11">
        <v>0</v>
      </c>
      <c r="L655" s="5">
        <v>0</v>
      </c>
      <c r="M655" s="5">
        <v>284</v>
      </c>
      <c r="N655" s="3">
        <f t="shared" si="336"/>
        <v>1562000</v>
      </c>
      <c r="O655" s="5">
        <v>0</v>
      </c>
      <c r="P655" s="5">
        <v>0</v>
      </c>
      <c r="Q655" s="5">
        <v>0</v>
      </c>
      <c r="R655" s="3">
        <f t="shared" si="331"/>
        <v>0</v>
      </c>
      <c r="S655" s="5">
        <v>0</v>
      </c>
      <c r="T655" s="5">
        <v>0</v>
      </c>
      <c r="U655" s="5">
        <v>0</v>
      </c>
      <c r="V655" s="6">
        <f t="shared" si="332"/>
        <v>5500</v>
      </c>
    </row>
    <row r="656" spans="1:22" ht="21.95" customHeight="1" x14ac:dyDescent="0.25">
      <c r="A656" s="53" t="s">
        <v>913</v>
      </c>
      <c r="B656" s="8" t="s">
        <v>644</v>
      </c>
      <c r="C656" s="2">
        <f t="shared" si="318"/>
        <v>3351149.9999999995</v>
      </c>
      <c r="D656" s="3">
        <f t="shared" si="330"/>
        <v>0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11">
        <v>0</v>
      </c>
      <c r="L656" s="5">
        <v>0</v>
      </c>
      <c r="M656" s="5">
        <v>609.29999999999995</v>
      </c>
      <c r="N656" s="3">
        <f t="shared" si="336"/>
        <v>3351149.9999999995</v>
      </c>
      <c r="O656" s="5">
        <v>0</v>
      </c>
      <c r="P656" s="5">
        <v>0</v>
      </c>
      <c r="Q656" s="5">
        <v>0</v>
      </c>
      <c r="R656" s="3">
        <f t="shared" si="331"/>
        <v>0</v>
      </c>
      <c r="S656" s="5">
        <v>0</v>
      </c>
      <c r="T656" s="5">
        <v>0</v>
      </c>
      <c r="U656" s="5">
        <v>0</v>
      </c>
      <c r="V656" s="6">
        <f t="shared" si="332"/>
        <v>5500</v>
      </c>
    </row>
    <row r="657" spans="1:22" ht="21.95" customHeight="1" x14ac:dyDescent="0.25">
      <c r="A657" s="53" t="s">
        <v>914</v>
      </c>
      <c r="B657" s="24" t="s">
        <v>1368</v>
      </c>
      <c r="C657" s="2">
        <f>D657+L657+N657+P657+R657+S657+T657+U657</f>
        <v>2150913.14</v>
      </c>
      <c r="D657" s="3">
        <f>SUM(E657:J657)</f>
        <v>0</v>
      </c>
      <c r="E657" s="3">
        <v>0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4">
        <v>0</v>
      </c>
      <c r="L657" s="3">
        <v>0</v>
      </c>
      <c r="M657" s="3">
        <v>312.19</v>
      </c>
      <c r="N657" s="3">
        <f>M657*5500</f>
        <v>1717045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433868.14</v>
      </c>
      <c r="V657" s="6">
        <f>N657/M657</f>
        <v>5500</v>
      </c>
    </row>
    <row r="658" spans="1:22" ht="21.95" customHeight="1" x14ac:dyDescent="0.25">
      <c r="A658" s="53" t="s">
        <v>915</v>
      </c>
      <c r="B658" s="8" t="s">
        <v>645</v>
      </c>
      <c r="C658" s="2">
        <f t="shared" si="318"/>
        <v>1705000</v>
      </c>
      <c r="D658" s="3">
        <f t="shared" si="330"/>
        <v>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11">
        <v>0</v>
      </c>
      <c r="L658" s="5">
        <v>0</v>
      </c>
      <c r="M658" s="5">
        <v>310</v>
      </c>
      <c r="N658" s="3">
        <f t="shared" si="336"/>
        <v>1705000</v>
      </c>
      <c r="O658" s="5">
        <v>0</v>
      </c>
      <c r="P658" s="5">
        <v>0</v>
      </c>
      <c r="Q658" s="5">
        <v>0</v>
      </c>
      <c r="R658" s="3">
        <f t="shared" si="331"/>
        <v>0</v>
      </c>
      <c r="S658" s="5">
        <v>0</v>
      </c>
      <c r="T658" s="5">
        <v>0</v>
      </c>
      <c r="U658" s="5">
        <v>0</v>
      </c>
      <c r="V658" s="6">
        <f t="shared" si="332"/>
        <v>5500</v>
      </c>
    </row>
    <row r="659" spans="1:22" ht="21.95" customHeight="1" x14ac:dyDescent="0.25">
      <c r="A659" s="53" t="s">
        <v>916</v>
      </c>
      <c r="B659" s="8" t="s">
        <v>552</v>
      </c>
      <c r="C659" s="2">
        <f t="shared" si="318"/>
        <v>1699500</v>
      </c>
      <c r="D659" s="3">
        <f t="shared" si="330"/>
        <v>0</v>
      </c>
      <c r="E659" s="3">
        <v>0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11">
        <v>0</v>
      </c>
      <c r="L659" s="5">
        <v>0</v>
      </c>
      <c r="M659" s="5">
        <v>309</v>
      </c>
      <c r="N659" s="3">
        <f t="shared" si="336"/>
        <v>1699500</v>
      </c>
      <c r="O659" s="5">
        <v>0</v>
      </c>
      <c r="P659" s="5">
        <v>0</v>
      </c>
      <c r="Q659" s="5">
        <v>0</v>
      </c>
      <c r="R659" s="3">
        <f t="shared" si="331"/>
        <v>0</v>
      </c>
      <c r="S659" s="5">
        <v>0</v>
      </c>
      <c r="T659" s="5">
        <v>0</v>
      </c>
      <c r="U659" s="5">
        <v>0</v>
      </c>
      <c r="V659" s="6">
        <f t="shared" si="332"/>
        <v>5500</v>
      </c>
    </row>
    <row r="660" spans="1:22" ht="21.95" customHeight="1" x14ac:dyDescent="0.25">
      <c r="A660" s="53" t="s">
        <v>917</v>
      </c>
      <c r="B660" s="8" t="s">
        <v>646</v>
      </c>
      <c r="C660" s="2">
        <f t="shared" si="318"/>
        <v>1628000</v>
      </c>
      <c r="D660" s="3">
        <f t="shared" si="330"/>
        <v>0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11">
        <v>0</v>
      </c>
      <c r="L660" s="5">
        <v>0</v>
      </c>
      <c r="M660" s="5">
        <v>296</v>
      </c>
      <c r="N660" s="3">
        <f t="shared" si="336"/>
        <v>1628000</v>
      </c>
      <c r="O660" s="5">
        <v>0</v>
      </c>
      <c r="P660" s="5">
        <v>0</v>
      </c>
      <c r="Q660" s="5">
        <v>0</v>
      </c>
      <c r="R660" s="3">
        <f t="shared" si="331"/>
        <v>0</v>
      </c>
      <c r="S660" s="5">
        <v>0</v>
      </c>
      <c r="T660" s="5">
        <v>0</v>
      </c>
      <c r="U660" s="5">
        <v>0</v>
      </c>
      <c r="V660" s="6">
        <f t="shared" si="332"/>
        <v>5500</v>
      </c>
    </row>
    <row r="661" spans="1:22" ht="21.95" customHeight="1" x14ac:dyDescent="0.25">
      <c r="A661" s="53" t="s">
        <v>918</v>
      </c>
      <c r="B661" s="8" t="s">
        <v>647</v>
      </c>
      <c r="C661" s="2">
        <f t="shared" si="318"/>
        <v>979000</v>
      </c>
      <c r="D661" s="3">
        <f t="shared" si="330"/>
        <v>0</v>
      </c>
      <c r="E661" s="3">
        <v>0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11">
        <v>0</v>
      </c>
      <c r="L661" s="5">
        <v>0</v>
      </c>
      <c r="M661" s="5">
        <v>178</v>
      </c>
      <c r="N661" s="3">
        <f t="shared" si="336"/>
        <v>979000</v>
      </c>
      <c r="O661" s="5">
        <v>0</v>
      </c>
      <c r="P661" s="5">
        <v>0</v>
      </c>
      <c r="Q661" s="5">
        <v>0</v>
      </c>
      <c r="R661" s="3">
        <f t="shared" si="331"/>
        <v>0</v>
      </c>
      <c r="S661" s="5">
        <v>0</v>
      </c>
      <c r="T661" s="5">
        <v>0</v>
      </c>
      <c r="U661" s="5">
        <v>0</v>
      </c>
      <c r="V661" s="6">
        <f t="shared" si="332"/>
        <v>5500</v>
      </c>
    </row>
    <row r="662" spans="1:22" ht="21.95" customHeight="1" x14ac:dyDescent="0.25">
      <c r="A662" s="53" t="s">
        <v>919</v>
      </c>
      <c r="B662" s="8" t="s">
        <v>457</v>
      </c>
      <c r="C662" s="2">
        <f t="shared" si="318"/>
        <v>4348264.43</v>
      </c>
      <c r="D662" s="3">
        <f t="shared" ref="D662" si="337">SUM(E662:J662)</f>
        <v>0</v>
      </c>
      <c r="E662" s="3">
        <v>0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4">
        <v>0</v>
      </c>
      <c r="L662" s="3">
        <v>0</v>
      </c>
      <c r="M662" s="3">
        <v>717</v>
      </c>
      <c r="N662" s="3">
        <v>4348264.43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6">
        <f t="shared" si="332"/>
        <v>6064.5250069735002</v>
      </c>
    </row>
    <row r="663" spans="1:22" ht="21.95" customHeight="1" x14ac:dyDescent="0.25">
      <c r="A663" s="53" t="s">
        <v>920</v>
      </c>
      <c r="B663" s="24" t="s">
        <v>1378</v>
      </c>
      <c r="C663" s="2">
        <f>D663+L663+N663+P663+R663+S663+T663+U663</f>
        <v>4295000</v>
      </c>
      <c r="D663" s="3">
        <f>SUM(E663:J663)</f>
        <v>0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4">
        <v>0</v>
      </c>
      <c r="L663" s="3">
        <v>0</v>
      </c>
      <c r="M663" s="3">
        <v>690</v>
      </c>
      <c r="N663" s="3">
        <f>M663*5500</f>
        <v>3795000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500000</v>
      </c>
      <c r="V663" s="6">
        <f>N663/M663</f>
        <v>5500</v>
      </c>
    </row>
    <row r="664" spans="1:22" ht="21.95" customHeight="1" x14ac:dyDescent="0.25">
      <c r="A664" s="53" t="s">
        <v>921</v>
      </c>
      <c r="B664" s="8" t="s">
        <v>650</v>
      </c>
      <c r="C664" s="2">
        <f>D664+L664+N664+P664+R664+S664+T664+U664</f>
        <v>2997500</v>
      </c>
      <c r="D664" s="3">
        <f>SUM(E664:J664)</f>
        <v>0</v>
      </c>
      <c r="E664" s="3">
        <v>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11">
        <v>0</v>
      </c>
      <c r="L664" s="5">
        <v>0</v>
      </c>
      <c r="M664" s="5">
        <v>545</v>
      </c>
      <c r="N664" s="3">
        <f>M664*5500</f>
        <v>2997500</v>
      </c>
      <c r="O664" s="5">
        <v>0</v>
      </c>
      <c r="P664" s="5">
        <v>0</v>
      </c>
      <c r="Q664" s="5">
        <v>0</v>
      </c>
      <c r="R664" s="3">
        <f>Q664*3000</f>
        <v>0</v>
      </c>
      <c r="S664" s="5">
        <v>0</v>
      </c>
      <c r="T664" s="5">
        <v>0</v>
      </c>
      <c r="U664" s="5">
        <v>0</v>
      </c>
      <c r="V664" s="6">
        <f>N664/M664</f>
        <v>5500</v>
      </c>
    </row>
    <row r="665" spans="1:22" ht="21.95" customHeight="1" x14ac:dyDescent="0.25">
      <c r="A665" s="53" t="s">
        <v>922</v>
      </c>
      <c r="B665" s="8" t="s">
        <v>648</v>
      </c>
      <c r="C665" s="2">
        <f t="shared" si="318"/>
        <v>1428900</v>
      </c>
      <c r="D665" s="3">
        <f t="shared" si="330"/>
        <v>0</v>
      </c>
      <c r="E665" s="3">
        <v>0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11">
        <v>0</v>
      </c>
      <c r="L665" s="5">
        <v>0</v>
      </c>
      <c r="M665" s="5">
        <v>259.8</v>
      </c>
      <c r="N665" s="3">
        <f t="shared" si="336"/>
        <v>1428900</v>
      </c>
      <c r="O665" s="5">
        <v>0</v>
      </c>
      <c r="P665" s="5">
        <v>0</v>
      </c>
      <c r="Q665" s="5">
        <v>0</v>
      </c>
      <c r="R665" s="3">
        <f t="shared" si="331"/>
        <v>0</v>
      </c>
      <c r="S665" s="5">
        <v>0</v>
      </c>
      <c r="T665" s="5">
        <v>0</v>
      </c>
      <c r="U665" s="5">
        <v>0</v>
      </c>
      <c r="V665" s="6">
        <f t="shared" si="332"/>
        <v>5500</v>
      </c>
    </row>
    <row r="666" spans="1:22" ht="21.95" customHeight="1" x14ac:dyDescent="0.25">
      <c r="A666" s="53" t="s">
        <v>923</v>
      </c>
      <c r="B666" s="8" t="s">
        <v>649</v>
      </c>
      <c r="C666" s="2">
        <f t="shared" si="318"/>
        <v>2744500</v>
      </c>
      <c r="D666" s="3">
        <f t="shared" si="330"/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11">
        <v>0</v>
      </c>
      <c r="L666" s="5">
        <v>0</v>
      </c>
      <c r="M666" s="5">
        <v>499</v>
      </c>
      <c r="N666" s="3">
        <f t="shared" si="336"/>
        <v>2744500</v>
      </c>
      <c r="O666" s="5">
        <v>0</v>
      </c>
      <c r="P666" s="5">
        <v>0</v>
      </c>
      <c r="Q666" s="5">
        <v>0</v>
      </c>
      <c r="R666" s="3">
        <f t="shared" si="331"/>
        <v>0</v>
      </c>
      <c r="S666" s="5">
        <v>0</v>
      </c>
      <c r="T666" s="5">
        <v>0</v>
      </c>
      <c r="U666" s="5">
        <v>0</v>
      </c>
      <c r="V666" s="6">
        <f t="shared" si="332"/>
        <v>5500</v>
      </c>
    </row>
    <row r="667" spans="1:22" ht="21.95" customHeight="1" x14ac:dyDescent="0.25">
      <c r="A667" s="53" t="s">
        <v>924</v>
      </c>
      <c r="B667" s="8" t="s">
        <v>553</v>
      </c>
      <c r="C667" s="2">
        <f t="shared" si="318"/>
        <v>1844150</v>
      </c>
      <c r="D667" s="3">
        <f t="shared" si="330"/>
        <v>0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11">
        <v>0</v>
      </c>
      <c r="L667" s="5">
        <v>0</v>
      </c>
      <c r="M667" s="5">
        <v>335.3</v>
      </c>
      <c r="N667" s="3">
        <f t="shared" si="336"/>
        <v>1844150</v>
      </c>
      <c r="O667" s="5">
        <v>0</v>
      </c>
      <c r="P667" s="5">
        <v>0</v>
      </c>
      <c r="Q667" s="5">
        <v>0</v>
      </c>
      <c r="R667" s="3">
        <f t="shared" si="331"/>
        <v>0</v>
      </c>
      <c r="S667" s="5">
        <v>0</v>
      </c>
      <c r="T667" s="5">
        <v>0</v>
      </c>
      <c r="U667" s="5">
        <v>0</v>
      </c>
      <c r="V667" s="6">
        <f t="shared" si="332"/>
        <v>5500</v>
      </c>
    </row>
    <row r="668" spans="1:22" ht="21.95" customHeight="1" x14ac:dyDescent="0.25">
      <c r="A668" s="53" t="s">
        <v>925</v>
      </c>
      <c r="B668" s="8" t="s">
        <v>651</v>
      </c>
      <c r="C668" s="2">
        <f t="shared" si="318"/>
        <v>2816000</v>
      </c>
      <c r="D668" s="3">
        <f t="shared" si="330"/>
        <v>0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11">
        <v>0</v>
      </c>
      <c r="L668" s="5">
        <v>0</v>
      </c>
      <c r="M668" s="5">
        <v>512</v>
      </c>
      <c r="N668" s="3">
        <f t="shared" si="336"/>
        <v>2816000</v>
      </c>
      <c r="O668" s="5">
        <v>0</v>
      </c>
      <c r="P668" s="5">
        <v>0</v>
      </c>
      <c r="Q668" s="5">
        <v>0</v>
      </c>
      <c r="R668" s="3">
        <f t="shared" si="331"/>
        <v>0</v>
      </c>
      <c r="S668" s="5">
        <v>0</v>
      </c>
      <c r="T668" s="5">
        <v>0</v>
      </c>
      <c r="U668" s="5">
        <v>0</v>
      </c>
      <c r="V668" s="6">
        <f t="shared" si="332"/>
        <v>5500</v>
      </c>
    </row>
    <row r="669" spans="1:22" ht="21.95" customHeight="1" x14ac:dyDescent="0.25">
      <c r="A669" s="53" t="s">
        <v>1417</v>
      </c>
      <c r="B669" s="8" t="s">
        <v>652</v>
      </c>
      <c r="C669" s="2">
        <f t="shared" si="318"/>
        <v>300000</v>
      </c>
      <c r="D669" s="3">
        <f t="shared" si="330"/>
        <v>0</v>
      </c>
      <c r="E669" s="3">
        <v>0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11">
        <v>0</v>
      </c>
      <c r="L669" s="5">
        <v>0</v>
      </c>
      <c r="M669" s="5">
        <v>0</v>
      </c>
      <c r="N669" s="3">
        <f t="shared" si="336"/>
        <v>0</v>
      </c>
      <c r="O669" s="5">
        <v>0</v>
      </c>
      <c r="P669" s="5">
        <v>0</v>
      </c>
      <c r="Q669" s="5">
        <v>0</v>
      </c>
      <c r="R669" s="3">
        <f t="shared" si="331"/>
        <v>0</v>
      </c>
      <c r="S669" s="5">
        <v>0</v>
      </c>
      <c r="T669" s="5">
        <v>0</v>
      </c>
      <c r="U669" s="5">
        <v>300000</v>
      </c>
      <c r="V669" s="6" t="e">
        <f t="shared" si="332"/>
        <v>#DIV/0!</v>
      </c>
    </row>
    <row r="670" spans="1:22" ht="21.95" customHeight="1" x14ac:dyDescent="0.25">
      <c r="A670" s="53" t="s">
        <v>926</v>
      </c>
      <c r="B670" s="8" t="s">
        <v>438</v>
      </c>
      <c r="C670" s="2">
        <f t="shared" si="318"/>
        <v>6850425</v>
      </c>
      <c r="D670" s="3">
        <f t="shared" si="330"/>
        <v>2010425</v>
      </c>
      <c r="E670" s="3">
        <f>350*855.5</f>
        <v>299425</v>
      </c>
      <c r="F670" s="3">
        <f>1050*855.5</f>
        <v>898275</v>
      </c>
      <c r="G670" s="3">
        <f>300*855.5</f>
        <v>256650</v>
      </c>
      <c r="H670" s="3">
        <f>400*855.5</f>
        <v>342200</v>
      </c>
      <c r="I670" s="3">
        <f>250*855.5</f>
        <v>213875</v>
      </c>
      <c r="J670" s="3">
        <v>0</v>
      </c>
      <c r="K670" s="4">
        <v>0</v>
      </c>
      <c r="L670" s="3">
        <v>0</v>
      </c>
      <c r="M670" s="3">
        <v>480</v>
      </c>
      <c r="N670" s="3">
        <f t="shared" si="336"/>
        <v>2640000</v>
      </c>
      <c r="O670" s="3">
        <v>0</v>
      </c>
      <c r="P670" s="3">
        <v>0</v>
      </c>
      <c r="Q670" s="3">
        <v>700</v>
      </c>
      <c r="R670" s="3">
        <f t="shared" si="331"/>
        <v>2100000</v>
      </c>
      <c r="S670" s="3">
        <v>0</v>
      </c>
      <c r="T670" s="5">
        <v>0</v>
      </c>
      <c r="U670" s="3">
        <v>100000</v>
      </c>
      <c r="V670" s="6">
        <f t="shared" si="332"/>
        <v>5500</v>
      </c>
    </row>
    <row r="671" spans="1:22" ht="21.95" customHeight="1" x14ac:dyDescent="0.25">
      <c r="A671" s="53" t="s">
        <v>927</v>
      </c>
      <c r="B671" s="8" t="s">
        <v>554</v>
      </c>
      <c r="C671" s="2">
        <f t="shared" si="318"/>
        <v>2459600</v>
      </c>
      <c r="D671" s="3">
        <f t="shared" si="330"/>
        <v>0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11">
        <v>0</v>
      </c>
      <c r="L671" s="5">
        <v>0</v>
      </c>
      <c r="M671" s="5">
        <v>447.2</v>
      </c>
      <c r="N671" s="3">
        <f t="shared" si="336"/>
        <v>2459600</v>
      </c>
      <c r="O671" s="5">
        <v>0</v>
      </c>
      <c r="P671" s="5">
        <v>0</v>
      </c>
      <c r="Q671" s="5">
        <v>0</v>
      </c>
      <c r="R671" s="3">
        <f t="shared" si="331"/>
        <v>0</v>
      </c>
      <c r="S671" s="5">
        <v>0</v>
      </c>
      <c r="T671" s="5">
        <v>0</v>
      </c>
      <c r="U671" s="5">
        <v>0</v>
      </c>
      <c r="V671" s="6">
        <f t="shared" si="332"/>
        <v>5500</v>
      </c>
    </row>
    <row r="672" spans="1:22" ht="21.95" customHeight="1" x14ac:dyDescent="0.25">
      <c r="A672" s="53" t="s">
        <v>928</v>
      </c>
      <c r="B672" s="23" t="s">
        <v>555</v>
      </c>
      <c r="C672" s="2">
        <f t="shared" ref="C672:C745" si="338">D672+L672+N672+P672+R672+S672+T672+U672</f>
        <v>3795000</v>
      </c>
      <c r="D672" s="3">
        <f t="shared" si="330"/>
        <v>0</v>
      </c>
      <c r="E672" s="3">
        <v>0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11">
        <v>0</v>
      </c>
      <c r="L672" s="5">
        <v>0</v>
      </c>
      <c r="M672" s="5">
        <v>690</v>
      </c>
      <c r="N672" s="3">
        <f t="shared" si="336"/>
        <v>3795000</v>
      </c>
      <c r="O672" s="5">
        <v>0</v>
      </c>
      <c r="P672" s="5">
        <v>0</v>
      </c>
      <c r="Q672" s="5">
        <v>0</v>
      </c>
      <c r="R672" s="3">
        <f t="shared" si="331"/>
        <v>0</v>
      </c>
      <c r="S672" s="5">
        <v>0</v>
      </c>
      <c r="T672" s="5">
        <v>0</v>
      </c>
      <c r="U672" s="5">
        <v>0</v>
      </c>
      <c r="V672" s="6">
        <f t="shared" si="332"/>
        <v>5500</v>
      </c>
    </row>
    <row r="673" spans="1:22" ht="21.95" customHeight="1" x14ac:dyDescent="0.25">
      <c r="A673" s="53" t="s">
        <v>929</v>
      </c>
      <c r="B673" s="23" t="s">
        <v>556</v>
      </c>
      <c r="C673" s="2">
        <f t="shared" si="338"/>
        <v>3877500</v>
      </c>
      <c r="D673" s="3">
        <f t="shared" si="330"/>
        <v>0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11">
        <v>0</v>
      </c>
      <c r="L673" s="5">
        <v>0</v>
      </c>
      <c r="M673" s="5">
        <v>705</v>
      </c>
      <c r="N673" s="3">
        <f t="shared" si="336"/>
        <v>3877500</v>
      </c>
      <c r="O673" s="5">
        <v>0</v>
      </c>
      <c r="P673" s="5">
        <v>0</v>
      </c>
      <c r="Q673" s="5">
        <v>0</v>
      </c>
      <c r="R673" s="3">
        <f t="shared" si="331"/>
        <v>0</v>
      </c>
      <c r="S673" s="5">
        <v>0</v>
      </c>
      <c r="T673" s="5">
        <v>0</v>
      </c>
      <c r="U673" s="5">
        <v>0</v>
      </c>
      <c r="V673" s="6">
        <f t="shared" si="332"/>
        <v>5500</v>
      </c>
    </row>
    <row r="674" spans="1:22" ht="21.95" customHeight="1" x14ac:dyDescent="0.25">
      <c r="A674" s="53" t="s">
        <v>930</v>
      </c>
      <c r="B674" s="24" t="s">
        <v>1379</v>
      </c>
      <c r="C674" s="2">
        <f t="shared" ref="C674:C680" si="339">D674+L674+N674+P674+R674+S674+T674+U674</f>
        <v>15514058.279999999</v>
      </c>
      <c r="D674" s="3">
        <f t="shared" ref="D674:D680" si="340">SUM(E674:J674)</f>
        <v>0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4">
        <v>0</v>
      </c>
      <c r="L674" s="3">
        <v>0</v>
      </c>
      <c r="M674" s="3">
        <v>1081</v>
      </c>
      <c r="N674" s="3">
        <f>M674*5500</f>
        <v>5945500</v>
      </c>
      <c r="O674" s="3">
        <v>0</v>
      </c>
      <c r="P674" s="3">
        <v>0</v>
      </c>
      <c r="Q674" s="3">
        <v>2900</v>
      </c>
      <c r="R674" s="3">
        <f>Q674*3000</f>
        <v>8700000</v>
      </c>
      <c r="S674" s="3">
        <v>0</v>
      </c>
      <c r="T674" s="3">
        <v>0</v>
      </c>
      <c r="U674" s="3">
        <v>868558.28</v>
      </c>
      <c r="V674" s="6">
        <f t="shared" ref="V674:V680" si="341">N674/M674</f>
        <v>5500</v>
      </c>
    </row>
    <row r="675" spans="1:22" ht="21.95" customHeight="1" x14ac:dyDescent="0.25">
      <c r="A675" s="53" t="s">
        <v>931</v>
      </c>
      <c r="B675" s="8" t="s">
        <v>386</v>
      </c>
      <c r="C675" s="2">
        <f t="shared" si="339"/>
        <v>26010061.449999999</v>
      </c>
      <c r="D675" s="3">
        <f t="shared" si="340"/>
        <v>8565750</v>
      </c>
      <c r="E675" s="3">
        <f>350*3645</f>
        <v>1275750</v>
      </c>
      <c r="F675" s="3">
        <f>1050*3645</f>
        <v>3827250</v>
      </c>
      <c r="G675" s="3">
        <f>300*3645</f>
        <v>1093500</v>
      </c>
      <c r="H675" s="3">
        <f>400*3645</f>
        <v>1458000</v>
      </c>
      <c r="I675" s="3">
        <f>250*3645</f>
        <v>911250</v>
      </c>
      <c r="J675" s="3">
        <f>350*0</f>
        <v>0</v>
      </c>
      <c r="K675" s="4">
        <v>0</v>
      </c>
      <c r="L675" s="3">
        <v>0</v>
      </c>
      <c r="M675" s="3">
        <v>1296</v>
      </c>
      <c r="N675" s="3">
        <f>M675*5500</f>
        <v>7128000</v>
      </c>
      <c r="O675" s="3">
        <v>0</v>
      </c>
      <c r="P675" s="3">
        <v>0</v>
      </c>
      <c r="Q675" s="3">
        <v>3020</v>
      </c>
      <c r="R675" s="3">
        <f>Q675*3000</f>
        <v>9060000</v>
      </c>
      <c r="S675" s="3">
        <v>0</v>
      </c>
      <c r="T675" s="3">
        <v>0</v>
      </c>
      <c r="U675" s="3">
        <v>1256311.45</v>
      </c>
      <c r="V675" s="6">
        <f t="shared" si="341"/>
        <v>5500</v>
      </c>
    </row>
    <row r="676" spans="1:22" ht="21.95" customHeight="1" x14ac:dyDescent="0.25">
      <c r="A676" s="53" t="s">
        <v>932</v>
      </c>
      <c r="B676" s="24" t="s">
        <v>1380</v>
      </c>
      <c r="C676" s="2">
        <f t="shared" si="339"/>
        <v>10908068.98</v>
      </c>
      <c r="D676" s="3">
        <f t="shared" si="340"/>
        <v>0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4">
        <v>0</v>
      </c>
      <c r="L676" s="3">
        <v>0</v>
      </c>
      <c r="M676" s="3">
        <v>637</v>
      </c>
      <c r="N676" s="3">
        <f>M676*5500</f>
        <v>3503500</v>
      </c>
      <c r="O676" s="3">
        <v>0</v>
      </c>
      <c r="P676" s="3">
        <v>0</v>
      </c>
      <c r="Q676" s="3">
        <v>2200</v>
      </c>
      <c r="R676" s="3">
        <f>Q676*3000</f>
        <v>6600000</v>
      </c>
      <c r="S676" s="3">
        <v>0</v>
      </c>
      <c r="T676" s="3">
        <v>0</v>
      </c>
      <c r="U676" s="3">
        <v>804568.98</v>
      </c>
      <c r="V676" s="6">
        <f t="shared" si="341"/>
        <v>5500</v>
      </c>
    </row>
    <row r="677" spans="1:22" ht="21.95" customHeight="1" x14ac:dyDescent="0.25">
      <c r="A677" s="53" t="s">
        <v>1326</v>
      </c>
      <c r="B677" s="23" t="s">
        <v>393</v>
      </c>
      <c r="C677" s="2">
        <f t="shared" si="339"/>
        <v>675100</v>
      </c>
      <c r="D677" s="3">
        <f t="shared" si="340"/>
        <v>0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4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275100</v>
      </c>
      <c r="T677" s="3">
        <v>0</v>
      </c>
      <c r="U677" s="3">
        <v>400000</v>
      </c>
      <c r="V677" s="6" t="e">
        <f t="shared" si="341"/>
        <v>#DIV/0!</v>
      </c>
    </row>
    <row r="678" spans="1:22" ht="21.95" customHeight="1" x14ac:dyDescent="0.25">
      <c r="A678" s="53" t="s">
        <v>933</v>
      </c>
      <c r="B678" s="8" t="s">
        <v>394</v>
      </c>
      <c r="C678" s="2">
        <f t="shared" si="339"/>
        <v>6741805</v>
      </c>
      <c r="D678" s="3">
        <f t="shared" si="340"/>
        <v>6641805</v>
      </c>
      <c r="E678" s="3">
        <f>350*2826.3</f>
        <v>989205.00000000012</v>
      </c>
      <c r="F678" s="3">
        <f>1050*2826.3</f>
        <v>2967615</v>
      </c>
      <c r="G678" s="3">
        <f>300*2826.3</f>
        <v>847890</v>
      </c>
      <c r="H678" s="3">
        <f>400*2826.3</f>
        <v>1130520</v>
      </c>
      <c r="I678" s="3">
        <f>250*2826.3</f>
        <v>706575</v>
      </c>
      <c r="J678" s="3">
        <f>350*0</f>
        <v>0</v>
      </c>
      <c r="K678" s="4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100000</v>
      </c>
      <c r="V678" s="6" t="e">
        <f t="shared" si="341"/>
        <v>#DIV/0!</v>
      </c>
    </row>
    <row r="679" spans="1:22" ht="21.95" customHeight="1" x14ac:dyDescent="0.25">
      <c r="A679" s="53" t="s">
        <v>934</v>
      </c>
      <c r="B679" s="8" t="s">
        <v>459</v>
      </c>
      <c r="C679" s="2">
        <f t="shared" si="339"/>
        <v>12084060</v>
      </c>
      <c r="D679" s="3">
        <f t="shared" si="340"/>
        <v>11984060</v>
      </c>
      <c r="E679" s="3">
        <f>350*5099.6</f>
        <v>1784860.0000000002</v>
      </c>
      <c r="F679" s="3">
        <f>1050*5099.6</f>
        <v>5354580</v>
      </c>
      <c r="G679" s="3">
        <f>300*5099.6</f>
        <v>1529880</v>
      </c>
      <c r="H679" s="3">
        <f>400*5099.6</f>
        <v>2039840.0000000002</v>
      </c>
      <c r="I679" s="3">
        <f>250*5099.6</f>
        <v>1274900</v>
      </c>
      <c r="J679" s="3">
        <f>350*0</f>
        <v>0</v>
      </c>
      <c r="K679" s="4">
        <v>0</v>
      </c>
      <c r="L679" s="3">
        <v>0</v>
      </c>
      <c r="M679" s="3">
        <v>0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100000</v>
      </c>
      <c r="V679" s="6" t="e">
        <f t="shared" si="341"/>
        <v>#DIV/0!</v>
      </c>
    </row>
    <row r="680" spans="1:22" ht="21.95" customHeight="1" x14ac:dyDescent="0.25">
      <c r="A680" s="53" t="s">
        <v>935</v>
      </c>
      <c r="B680" s="8" t="s">
        <v>405</v>
      </c>
      <c r="C680" s="2">
        <f t="shared" si="339"/>
        <v>2242614.54</v>
      </c>
      <c r="D680" s="3">
        <f t="shared" si="340"/>
        <v>2242614.54</v>
      </c>
      <c r="E680" s="3">
        <v>520846.5</v>
      </c>
      <c r="F680" s="3">
        <v>1069624.2</v>
      </c>
      <c r="G680" s="3">
        <v>296593.74</v>
      </c>
      <c r="H680" s="3">
        <v>0</v>
      </c>
      <c r="I680" s="3">
        <v>355550.1</v>
      </c>
      <c r="J680" s="3">
        <f>350*0</f>
        <v>0</v>
      </c>
      <c r="K680" s="4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6" t="e">
        <f t="shared" si="341"/>
        <v>#DIV/0!</v>
      </c>
    </row>
    <row r="681" spans="1:22" ht="21.95" customHeight="1" x14ac:dyDescent="0.25">
      <c r="A681" s="53" t="s">
        <v>936</v>
      </c>
      <c r="B681" s="8" t="s">
        <v>557</v>
      </c>
      <c r="C681" s="2">
        <f t="shared" si="338"/>
        <v>19102850</v>
      </c>
      <c r="D681" s="3">
        <f t="shared" si="330"/>
        <v>9942850</v>
      </c>
      <c r="E681" s="3">
        <f>350*4231</f>
        <v>1480850</v>
      </c>
      <c r="F681" s="3">
        <f>1050*4231</f>
        <v>4442550</v>
      </c>
      <c r="G681" s="3">
        <f>300*4231</f>
        <v>1269300</v>
      </c>
      <c r="H681" s="3">
        <f>400*4231</f>
        <v>1692400</v>
      </c>
      <c r="I681" s="3">
        <f>250*4231</f>
        <v>1057750</v>
      </c>
      <c r="J681" s="3">
        <v>0</v>
      </c>
      <c r="K681" s="11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3020</v>
      </c>
      <c r="R681" s="3">
        <f t="shared" si="331"/>
        <v>9060000</v>
      </c>
      <c r="S681" s="5">
        <v>0</v>
      </c>
      <c r="T681" s="5">
        <v>0</v>
      </c>
      <c r="U681" s="5">
        <v>100000</v>
      </c>
      <c r="V681" s="6" t="e">
        <f t="shared" si="332"/>
        <v>#DIV/0!</v>
      </c>
    </row>
    <row r="682" spans="1:22" ht="21.95" customHeight="1" x14ac:dyDescent="0.25">
      <c r="A682" s="53" t="s">
        <v>937</v>
      </c>
      <c r="B682" s="8" t="s">
        <v>460</v>
      </c>
      <c r="C682" s="2">
        <f t="shared" si="338"/>
        <v>652509.77</v>
      </c>
      <c r="D682" s="3">
        <f t="shared" ref="D682" si="342">SUM(E682:J682)</f>
        <v>652509.77</v>
      </c>
      <c r="E682" s="3">
        <v>652509.77</v>
      </c>
      <c r="F682" s="3">
        <v>0</v>
      </c>
      <c r="G682" s="3">
        <v>0</v>
      </c>
      <c r="H682" s="3">
        <v>0</v>
      </c>
      <c r="I682" s="3">
        <v>0</v>
      </c>
      <c r="J682" s="3">
        <f>350*0</f>
        <v>0</v>
      </c>
      <c r="K682" s="4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6" t="e">
        <f t="shared" si="332"/>
        <v>#DIV/0!</v>
      </c>
    </row>
    <row r="683" spans="1:22" ht="21.95" customHeight="1" x14ac:dyDescent="0.25">
      <c r="A683" s="53" t="s">
        <v>938</v>
      </c>
      <c r="B683" s="8" t="s">
        <v>380</v>
      </c>
      <c r="C683" s="2">
        <f>D683+L683+N683+P683+R683+S683+T683+U683</f>
        <v>4023750</v>
      </c>
      <c r="D683" s="3">
        <f>SUM(E683:J683)</f>
        <v>0</v>
      </c>
      <c r="E683" s="3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4">
        <v>0</v>
      </c>
      <c r="L683" s="3">
        <v>0</v>
      </c>
      <c r="M683" s="3">
        <v>622.5</v>
      </c>
      <c r="N683" s="3">
        <f>M683*5500</f>
        <v>3423750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600000</v>
      </c>
      <c r="V683" s="6">
        <f>N683/M683</f>
        <v>5500</v>
      </c>
    </row>
    <row r="684" spans="1:22" ht="21.95" customHeight="1" x14ac:dyDescent="0.25">
      <c r="A684" s="53" t="s">
        <v>939</v>
      </c>
      <c r="B684" s="23" t="s">
        <v>654</v>
      </c>
      <c r="C684" s="2">
        <f>D684+L684+N684+P684+R684+S684+T684+U684</f>
        <v>4532000</v>
      </c>
      <c r="D684" s="3">
        <f>SUM(E684:J684)</f>
        <v>0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11">
        <v>0</v>
      </c>
      <c r="L684" s="5">
        <v>0</v>
      </c>
      <c r="M684" s="5">
        <v>824</v>
      </c>
      <c r="N684" s="3">
        <f>M684*5500</f>
        <v>4532000</v>
      </c>
      <c r="O684" s="5">
        <v>0</v>
      </c>
      <c r="P684" s="5">
        <v>0</v>
      </c>
      <c r="Q684" s="5">
        <v>0</v>
      </c>
      <c r="R684" s="3">
        <f>Q684*3000</f>
        <v>0</v>
      </c>
      <c r="S684" s="5">
        <v>0</v>
      </c>
      <c r="T684" s="5">
        <v>0</v>
      </c>
      <c r="U684" s="5">
        <v>0</v>
      </c>
      <c r="V684" s="6">
        <f>N684/M684</f>
        <v>5500</v>
      </c>
    </row>
    <row r="685" spans="1:22" ht="21.95" customHeight="1" x14ac:dyDescent="0.25">
      <c r="A685" s="53" t="s">
        <v>940</v>
      </c>
      <c r="B685" s="23" t="s">
        <v>653</v>
      </c>
      <c r="C685" s="2">
        <f t="shared" si="338"/>
        <v>5368000</v>
      </c>
      <c r="D685" s="3">
        <f t="shared" si="330"/>
        <v>0</v>
      </c>
      <c r="E685" s="3">
        <v>0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11">
        <v>0</v>
      </c>
      <c r="L685" s="5">
        <v>0</v>
      </c>
      <c r="M685" s="5">
        <v>976</v>
      </c>
      <c r="N685" s="3">
        <f t="shared" ref="N685:N687" si="343">M685*5500</f>
        <v>5368000</v>
      </c>
      <c r="O685" s="5">
        <v>0</v>
      </c>
      <c r="P685" s="5">
        <v>0</v>
      </c>
      <c r="Q685" s="5">
        <v>0</v>
      </c>
      <c r="R685" s="3">
        <f t="shared" si="331"/>
        <v>0</v>
      </c>
      <c r="S685" s="5">
        <v>0</v>
      </c>
      <c r="T685" s="5">
        <v>0</v>
      </c>
      <c r="U685" s="5">
        <v>0</v>
      </c>
      <c r="V685" s="6">
        <f t="shared" si="332"/>
        <v>5500</v>
      </c>
    </row>
    <row r="686" spans="1:22" ht="21.95" customHeight="1" x14ac:dyDescent="0.25">
      <c r="A686" s="53" t="s">
        <v>941</v>
      </c>
      <c r="B686" s="8" t="s">
        <v>472</v>
      </c>
      <c r="C686" s="2">
        <f t="shared" si="338"/>
        <v>1697300.0000000002</v>
      </c>
      <c r="D686" s="3">
        <f t="shared" si="330"/>
        <v>0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4">
        <v>0</v>
      </c>
      <c r="L686" s="3">
        <v>0</v>
      </c>
      <c r="M686" s="3">
        <v>308.60000000000002</v>
      </c>
      <c r="N686" s="3">
        <f t="shared" si="343"/>
        <v>1697300.0000000002</v>
      </c>
      <c r="O686" s="3">
        <v>0</v>
      </c>
      <c r="P686" s="3">
        <v>0</v>
      </c>
      <c r="Q686" s="3">
        <v>0</v>
      </c>
      <c r="R686" s="3">
        <f t="shared" si="331"/>
        <v>0</v>
      </c>
      <c r="S686" s="3">
        <v>0</v>
      </c>
      <c r="T686" s="5">
        <v>0</v>
      </c>
      <c r="U686" s="3">
        <v>0</v>
      </c>
      <c r="V686" s="6">
        <f t="shared" si="332"/>
        <v>5500</v>
      </c>
    </row>
    <row r="687" spans="1:22" ht="21.95" customHeight="1" x14ac:dyDescent="0.25">
      <c r="A687" s="53" t="s">
        <v>942</v>
      </c>
      <c r="B687" s="8" t="s">
        <v>406</v>
      </c>
      <c r="C687" s="2">
        <f t="shared" si="338"/>
        <v>5318292</v>
      </c>
      <c r="D687" s="3">
        <f t="shared" si="330"/>
        <v>968292</v>
      </c>
      <c r="E687" s="5">
        <f>350*496.56</f>
        <v>173796</v>
      </c>
      <c r="F687" s="5">
        <f>1050*496.56</f>
        <v>521388</v>
      </c>
      <c r="G687" s="5">
        <f>300*496.56</f>
        <v>148968</v>
      </c>
      <c r="H687" s="5">
        <f>400*0</f>
        <v>0</v>
      </c>
      <c r="I687" s="5">
        <f>250*496.56</f>
        <v>124140</v>
      </c>
      <c r="J687" s="5">
        <f>350*0</f>
        <v>0</v>
      </c>
      <c r="K687" s="4">
        <v>0</v>
      </c>
      <c r="L687" s="3">
        <v>0</v>
      </c>
      <c r="M687" s="3">
        <v>500</v>
      </c>
      <c r="N687" s="3">
        <f t="shared" si="343"/>
        <v>2750000</v>
      </c>
      <c r="O687" s="3">
        <v>0</v>
      </c>
      <c r="P687" s="3">
        <v>0</v>
      </c>
      <c r="Q687" s="3">
        <v>500</v>
      </c>
      <c r="R687" s="3">
        <f t="shared" si="331"/>
        <v>1500000</v>
      </c>
      <c r="S687" s="3">
        <v>0</v>
      </c>
      <c r="T687" s="5">
        <v>0</v>
      </c>
      <c r="U687" s="3">
        <v>100000</v>
      </c>
      <c r="V687" s="6">
        <f t="shared" si="332"/>
        <v>5500</v>
      </c>
    </row>
    <row r="688" spans="1:22" ht="21.95" customHeight="1" x14ac:dyDescent="0.25">
      <c r="A688" s="53" t="s">
        <v>943</v>
      </c>
      <c r="B688" s="8" t="s">
        <v>655</v>
      </c>
      <c r="C688" s="2">
        <f t="shared" si="338"/>
        <v>3410153.43</v>
      </c>
      <c r="D688" s="3">
        <f t="shared" si="330"/>
        <v>3251695</v>
      </c>
      <c r="E688" s="3">
        <f>350*1383.7</f>
        <v>484295</v>
      </c>
      <c r="F688" s="3">
        <f>1050*1383.7</f>
        <v>1452885</v>
      </c>
      <c r="G688" s="3">
        <f>300*1383.7</f>
        <v>415110</v>
      </c>
      <c r="H688" s="3">
        <f>400*1383.7</f>
        <v>553480</v>
      </c>
      <c r="I688" s="3">
        <f>250*1383.7</f>
        <v>345925</v>
      </c>
      <c r="J688" s="3">
        <v>0</v>
      </c>
      <c r="K688" s="11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3">
        <f t="shared" si="331"/>
        <v>0</v>
      </c>
      <c r="S688" s="5">
        <v>0</v>
      </c>
      <c r="T688" s="5">
        <v>0</v>
      </c>
      <c r="U688" s="5">
        <v>158458.43</v>
      </c>
      <c r="V688" s="6" t="e">
        <f t="shared" si="332"/>
        <v>#DIV/0!</v>
      </c>
    </row>
    <row r="689" spans="1:22" ht="21.95" customHeight="1" x14ac:dyDescent="0.25">
      <c r="A689" s="53" t="s">
        <v>944</v>
      </c>
      <c r="B689" s="8" t="s">
        <v>558</v>
      </c>
      <c r="C689" s="2">
        <f t="shared" si="338"/>
        <v>6039728.04</v>
      </c>
      <c r="D689" s="3">
        <f t="shared" si="330"/>
        <v>5827342</v>
      </c>
      <c r="E689" s="3">
        <f>350*2479.72</f>
        <v>867901.99999999988</v>
      </c>
      <c r="F689" s="3">
        <f>1050*2479.72</f>
        <v>2603706</v>
      </c>
      <c r="G689" s="3">
        <f>300*2479.72</f>
        <v>743915.99999999988</v>
      </c>
      <c r="H689" s="3">
        <f>400*2479.72</f>
        <v>991887.99999999988</v>
      </c>
      <c r="I689" s="3">
        <f>250*2479.72</f>
        <v>619930</v>
      </c>
      <c r="J689" s="3">
        <v>0</v>
      </c>
      <c r="K689" s="11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3">
        <f t="shared" si="331"/>
        <v>0</v>
      </c>
      <c r="S689" s="5">
        <v>0</v>
      </c>
      <c r="T689" s="5">
        <v>0</v>
      </c>
      <c r="U689" s="5">
        <v>212386.04</v>
      </c>
      <c r="V689" s="6" t="e">
        <f t="shared" si="332"/>
        <v>#DIV/0!</v>
      </c>
    </row>
    <row r="690" spans="1:22" ht="21.95" customHeight="1" x14ac:dyDescent="0.25">
      <c r="A690" s="53" t="s">
        <v>945</v>
      </c>
      <c r="B690" s="8" t="s">
        <v>656</v>
      </c>
      <c r="C690" s="2">
        <f t="shared" si="338"/>
        <v>2878729.18</v>
      </c>
      <c r="D690" s="3">
        <f t="shared" si="330"/>
        <v>2718495</v>
      </c>
      <c r="E690" s="3">
        <f>350*1394.1</f>
        <v>487934.99999999994</v>
      </c>
      <c r="F690" s="3">
        <f>1050*1394.1</f>
        <v>1463805</v>
      </c>
      <c r="G690" s="3">
        <f>300*1394.1</f>
        <v>418230</v>
      </c>
      <c r="H690" s="3">
        <v>0</v>
      </c>
      <c r="I690" s="3">
        <f>250*1394.1</f>
        <v>348525</v>
      </c>
      <c r="J690" s="3">
        <v>0</v>
      </c>
      <c r="K690" s="11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3">
        <f t="shared" si="331"/>
        <v>0</v>
      </c>
      <c r="S690" s="5">
        <v>0</v>
      </c>
      <c r="T690" s="5">
        <v>0</v>
      </c>
      <c r="U690" s="5">
        <v>160234.18</v>
      </c>
      <c r="V690" s="6" t="e">
        <f t="shared" si="332"/>
        <v>#DIV/0!</v>
      </c>
    </row>
    <row r="691" spans="1:22" ht="21.95" customHeight="1" x14ac:dyDescent="0.25">
      <c r="A691" s="53" t="s">
        <v>946</v>
      </c>
      <c r="B691" s="8" t="s">
        <v>657</v>
      </c>
      <c r="C691" s="2">
        <f t="shared" si="338"/>
        <v>2871542.15</v>
      </c>
      <c r="D691" s="3">
        <f t="shared" si="330"/>
        <v>2711767.5</v>
      </c>
      <c r="E691" s="3">
        <f>350*1390.65</f>
        <v>486727.50000000006</v>
      </c>
      <c r="F691" s="3">
        <f>1050*1390.65</f>
        <v>1460182.5</v>
      </c>
      <c r="G691" s="3">
        <f>300*1390.65</f>
        <v>417195</v>
      </c>
      <c r="H691" s="3">
        <v>0</v>
      </c>
      <c r="I691" s="3">
        <f>250*1390.65</f>
        <v>347662.5</v>
      </c>
      <c r="J691" s="3">
        <v>0</v>
      </c>
      <c r="K691" s="11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3">
        <f t="shared" si="331"/>
        <v>0</v>
      </c>
      <c r="S691" s="5">
        <v>0</v>
      </c>
      <c r="T691" s="5">
        <v>0</v>
      </c>
      <c r="U691" s="5">
        <v>159774.65</v>
      </c>
      <c r="V691" s="6" t="e">
        <f t="shared" si="332"/>
        <v>#DIV/0!</v>
      </c>
    </row>
    <row r="692" spans="1:22" ht="21.95" customHeight="1" x14ac:dyDescent="0.25">
      <c r="A692" s="53" t="s">
        <v>947</v>
      </c>
      <c r="B692" s="8" t="s">
        <v>559</v>
      </c>
      <c r="C692" s="2">
        <f t="shared" si="338"/>
        <v>300000</v>
      </c>
      <c r="D692" s="3">
        <f t="shared" si="330"/>
        <v>0</v>
      </c>
      <c r="E692" s="3">
        <v>0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11">
        <v>0</v>
      </c>
      <c r="L692" s="5">
        <v>0</v>
      </c>
      <c r="M692" s="5">
        <v>0</v>
      </c>
      <c r="N692" s="3">
        <f t="shared" ref="N692" si="344">M692*5500</f>
        <v>0</v>
      </c>
      <c r="O692" s="5">
        <v>0</v>
      </c>
      <c r="P692" s="5">
        <v>0</v>
      </c>
      <c r="Q692" s="5">
        <v>0</v>
      </c>
      <c r="R692" s="3">
        <f t="shared" si="331"/>
        <v>0</v>
      </c>
      <c r="S692" s="5">
        <v>0</v>
      </c>
      <c r="T692" s="5">
        <v>0</v>
      </c>
      <c r="U692" s="5">
        <v>300000</v>
      </c>
      <c r="V692" s="6" t="e">
        <f t="shared" si="332"/>
        <v>#DIV/0!</v>
      </c>
    </row>
    <row r="693" spans="1:22" ht="21.95" customHeight="1" x14ac:dyDescent="0.25">
      <c r="A693" s="53" t="s">
        <v>948</v>
      </c>
      <c r="B693" s="8" t="s">
        <v>658</v>
      </c>
      <c r="C693" s="2">
        <f t="shared" si="338"/>
        <v>1529000</v>
      </c>
      <c r="D693" s="3">
        <f t="shared" si="330"/>
        <v>0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11">
        <v>0</v>
      </c>
      <c r="L693" s="5">
        <v>0</v>
      </c>
      <c r="M693" s="5">
        <v>278</v>
      </c>
      <c r="N693" s="3">
        <f t="shared" ref="N693:N711" si="345">M693*5500</f>
        <v>1529000</v>
      </c>
      <c r="O693" s="5">
        <v>0</v>
      </c>
      <c r="P693" s="5">
        <v>0</v>
      </c>
      <c r="Q693" s="5">
        <v>0</v>
      </c>
      <c r="R693" s="3">
        <f t="shared" si="331"/>
        <v>0</v>
      </c>
      <c r="S693" s="5">
        <v>0</v>
      </c>
      <c r="T693" s="5">
        <v>0</v>
      </c>
      <c r="U693" s="5">
        <v>0</v>
      </c>
      <c r="V693" s="6">
        <f t="shared" si="332"/>
        <v>5500</v>
      </c>
    </row>
    <row r="694" spans="1:22" ht="21.95" customHeight="1" x14ac:dyDescent="0.25">
      <c r="A694" s="53" t="s">
        <v>949</v>
      </c>
      <c r="B694" s="8" t="s">
        <v>659</v>
      </c>
      <c r="C694" s="2">
        <f t="shared" si="338"/>
        <v>4983000</v>
      </c>
      <c r="D694" s="3">
        <f t="shared" si="330"/>
        <v>0</v>
      </c>
      <c r="E694" s="3">
        <v>0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11">
        <v>0</v>
      </c>
      <c r="L694" s="5">
        <v>0</v>
      </c>
      <c r="M694" s="5">
        <v>906</v>
      </c>
      <c r="N694" s="3">
        <f t="shared" si="345"/>
        <v>4983000</v>
      </c>
      <c r="O694" s="5">
        <v>0</v>
      </c>
      <c r="P694" s="5">
        <v>0</v>
      </c>
      <c r="Q694" s="5">
        <v>0</v>
      </c>
      <c r="R694" s="3">
        <f t="shared" si="331"/>
        <v>0</v>
      </c>
      <c r="S694" s="5">
        <v>0</v>
      </c>
      <c r="T694" s="5">
        <v>0</v>
      </c>
      <c r="U694" s="5">
        <v>0</v>
      </c>
      <c r="V694" s="6">
        <f t="shared" si="332"/>
        <v>5500</v>
      </c>
    </row>
    <row r="695" spans="1:22" ht="21.95" customHeight="1" x14ac:dyDescent="0.25">
      <c r="A695" s="53" t="s">
        <v>950</v>
      </c>
      <c r="B695" s="8" t="s">
        <v>560</v>
      </c>
      <c r="C695" s="2">
        <f t="shared" si="338"/>
        <v>1942600</v>
      </c>
      <c r="D695" s="3">
        <f t="shared" si="330"/>
        <v>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11">
        <v>0</v>
      </c>
      <c r="L695" s="5">
        <v>0</v>
      </c>
      <c r="M695" s="5">
        <v>353.2</v>
      </c>
      <c r="N695" s="3">
        <f t="shared" si="345"/>
        <v>1942600</v>
      </c>
      <c r="O695" s="5">
        <v>0</v>
      </c>
      <c r="P695" s="5">
        <v>0</v>
      </c>
      <c r="Q695" s="5">
        <v>0</v>
      </c>
      <c r="R695" s="3">
        <f t="shared" si="331"/>
        <v>0</v>
      </c>
      <c r="S695" s="5">
        <v>0</v>
      </c>
      <c r="T695" s="5">
        <v>0</v>
      </c>
      <c r="U695" s="5">
        <v>0</v>
      </c>
      <c r="V695" s="6">
        <f t="shared" si="332"/>
        <v>5500</v>
      </c>
    </row>
    <row r="696" spans="1:22" ht="21.95" customHeight="1" x14ac:dyDescent="0.25">
      <c r="A696" s="53" t="s">
        <v>1570</v>
      </c>
      <c r="B696" s="8" t="s">
        <v>462</v>
      </c>
      <c r="C696" s="2">
        <f t="shared" si="338"/>
        <v>4888007.1500000004</v>
      </c>
      <c r="D696" s="3">
        <f t="shared" ref="D696" si="346">SUM(E696:J696)</f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4">
        <v>0</v>
      </c>
      <c r="L696" s="3">
        <v>0</v>
      </c>
      <c r="M696" s="3">
        <v>806</v>
      </c>
      <c r="N696" s="3">
        <v>4888007.1500000004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6">
        <f t="shared" si="332"/>
        <v>6064.5250000000005</v>
      </c>
    </row>
    <row r="697" spans="1:22" ht="21.95" customHeight="1" x14ac:dyDescent="0.25">
      <c r="A697" s="53" t="s">
        <v>951</v>
      </c>
      <c r="B697" s="8" t="s">
        <v>561</v>
      </c>
      <c r="C697" s="2">
        <f t="shared" si="338"/>
        <v>3721979</v>
      </c>
      <c r="D697" s="3">
        <f t="shared" si="330"/>
        <v>1008479</v>
      </c>
      <c r="E697" s="3">
        <f>350*429.14</f>
        <v>150199</v>
      </c>
      <c r="F697" s="3">
        <f>1050*429.14</f>
        <v>450597</v>
      </c>
      <c r="G697" s="3">
        <f>300*429.14</f>
        <v>128742</v>
      </c>
      <c r="H697" s="3">
        <f>400*429.14</f>
        <v>171656</v>
      </c>
      <c r="I697" s="3">
        <f>250*429.14</f>
        <v>107285</v>
      </c>
      <c r="J697" s="3">
        <v>0</v>
      </c>
      <c r="K697" s="11">
        <v>0</v>
      </c>
      <c r="L697" s="5">
        <v>0</v>
      </c>
      <c r="M697" s="5">
        <v>251</v>
      </c>
      <c r="N697" s="3">
        <f t="shared" si="345"/>
        <v>1380500</v>
      </c>
      <c r="O697" s="5">
        <v>0</v>
      </c>
      <c r="P697" s="5">
        <v>0</v>
      </c>
      <c r="Q697" s="5">
        <v>411</v>
      </c>
      <c r="R697" s="3">
        <f t="shared" si="331"/>
        <v>1233000</v>
      </c>
      <c r="S697" s="5">
        <v>0</v>
      </c>
      <c r="T697" s="5">
        <v>0</v>
      </c>
      <c r="U697" s="5">
        <v>100000</v>
      </c>
      <c r="V697" s="6">
        <f t="shared" si="332"/>
        <v>5500</v>
      </c>
    </row>
    <row r="698" spans="1:22" ht="21.95" customHeight="1" x14ac:dyDescent="0.25">
      <c r="A698" s="53" t="s">
        <v>952</v>
      </c>
      <c r="B698" s="8" t="s">
        <v>660</v>
      </c>
      <c r="C698" s="2">
        <f t="shared" si="338"/>
        <v>2502500</v>
      </c>
      <c r="D698" s="3">
        <f t="shared" si="330"/>
        <v>0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11">
        <v>0</v>
      </c>
      <c r="L698" s="5">
        <v>0</v>
      </c>
      <c r="M698" s="5">
        <v>455</v>
      </c>
      <c r="N698" s="3">
        <f t="shared" si="345"/>
        <v>2502500</v>
      </c>
      <c r="O698" s="5">
        <v>0</v>
      </c>
      <c r="P698" s="5">
        <v>0</v>
      </c>
      <c r="Q698" s="5">
        <v>0</v>
      </c>
      <c r="R698" s="3">
        <f t="shared" si="331"/>
        <v>0</v>
      </c>
      <c r="S698" s="5">
        <v>0</v>
      </c>
      <c r="T698" s="5">
        <v>0</v>
      </c>
      <c r="U698" s="5">
        <v>0</v>
      </c>
      <c r="V698" s="6">
        <f t="shared" si="332"/>
        <v>5500</v>
      </c>
    </row>
    <row r="699" spans="1:22" ht="21.95" customHeight="1" x14ac:dyDescent="0.25">
      <c r="A699" s="53" t="s">
        <v>953</v>
      </c>
      <c r="B699" s="24" t="s">
        <v>1402</v>
      </c>
      <c r="C699" s="2">
        <f>D699+L699+N699+P699+R699+S699+T699+U699</f>
        <v>2326500</v>
      </c>
      <c r="D699" s="3">
        <f>SUM(E699:J699)</f>
        <v>0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4">
        <v>0</v>
      </c>
      <c r="L699" s="3">
        <v>0</v>
      </c>
      <c r="M699" s="3">
        <v>423</v>
      </c>
      <c r="N699" s="3">
        <f>M699*5500</f>
        <v>2326500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6">
        <f>N699/M699</f>
        <v>5500</v>
      </c>
    </row>
    <row r="700" spans="1:22" ht="21.95" customHeight="1" x14ac:dyDescent="0.25">
      <c r="A700" s="53" t="s">
        <v>954</v>
      </c>
      <c r="B700" s="8" t="s">
        <v>433</v>
      </c>
      <c r="C700" s="2">
        <f>D700+L700+N700+P700+R700+S700+T700+U700</f>
        <v>7284472.5</v>
      </c>
      <c r="D700" s="3">
        <f>SUM(E700:J700)</f>
        <v>3455707.5</v>
      </c>
      <c r="E700" s="3">
        <f>350*1867.95</f>
        <v>653782.5</v>
      </c>
      <c r="F700" s="3">
        <f>800*1867.95</f>
        <v>1494360</v>
      </c>
      <c r="G700" s="3">
        <f>300*1867.95</f>
        <v>560385</v>
      </c>
      <c r="H700" s="3">
        <v>0</v>
      </c>
      <c r="I700" s="3">
        <f>400*1867.95</f>
        <v>747180</v>
      </c>
      <c r="J700" s="3">
        <f>350*0</f>
        <v>0</v>
      </c>
      <c r="K700" s="4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1393</v>
      </c>
      <c r="R700" s="3">
        <f>Q700*2605</f>
        <v>3628765</v>
      </c>
      <c r="S700" s="3">
        <v>0</v>
      </c>
      <c r="T700" s="3">
        <v>0</v>
      </c>
      <c r="U700" s="3">
        <v>200000</v>
      </c>
      <c r="V700" s="6" t="e">
        <f>N700/M700</f>
        <v>#DIV/0!</v>
      </c>
    </row>
    <row r="701" spans="1:22" ht="21.95" customHeight="1" x14ac:dyDescent="0.25">
      <c r="A701" s="53" t="s">
        <v>955</v>
      </c>
      <c r="B701" s="8" t="s">
        <v>664</v>
      </c>
      <c r="C701" s="2">
        <f>D701+L701+N701+P701+R701+S701+T701+U701</f>
        <v>1446500</v>
      </c>
      <c r="D701" s="3">
        <f>SUM(E701:J701)</f>
        <v>0</v>
      </c>
      <c r="E701" s="3">
        <v>0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11">
        <v>0</v>
      </c>
      <c r="L701" s="5">
        <v>0</v>
      </c>
      <c r="M701" s="5">
        <v>263</v>
      </c>
      <c r="N701" s="3">
        <f>M701*5500</f>
        <v>1446500</v>
      </c>
      <c r="O701" s="5">
        <v>0</v>
      </c>
      <c r="P701" s="5">
        <v>0</v>
      </c>
      <c r="Q701" s="5">
        <v>0</v>
      </c>
      <c r="R701" s="3">
        <f>Q701*3000</f>
        <v>0</v>
      </c>
      <c r="S701" s="5">
        <v>0</v>
      </c>
      <c r="T701" s="5">
        <v>0</v>
      </c>
      <c r="U701" s="5">
        <v>0</v>
      </c>
      <c r="V701" s="6">
        <f>N701/M701</f>
        <v>5500</v>
      </c>
    </row>
    <row r="702" spans="1:22" ht="21.95" customHeight="1" x14ac:dyDescent="0.25">
      <c r="A702" s="53" t="s">
        <v>956</v>
      </c>
      <c r="B702" s="8" t="s">
        <v>661</v>
      </c>
      <c r="C702" s="2">
        <f t="shared" si="338"/>
        <v>300000</v>
      </c>
      <c r="D702" s="3">
        <f t="shared" si="330"/>
        <v>0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11">
        <v>0</v>
      </c>
      <c r="L702" s="5">
        <v>0</v>
      </c>
      <c r="M702" s="5">
        <v>0</v>
      </c>
      <c r="N702" s="3">
        <v>0</v>
      </c>
      <c r="O702" s="5">
        <v>0</v>
      </c>
      <c r="P702" s="5">
        <v>0</v>
      </c>
      <c r="Q702" s="5">
        <v>0</v>
      </c>
      <c r="R702" s="3">
        <f t="shared" si="331"/>
        <v>0</v>
      </c>
      <c r="S702" s="5">
        <v>0</v>
      </c>
      <c r="T702" s="5">
        <v>0</v>
      </c>
      <c r="U702" s="5">
        <v>300000</v>
      </c>
      <c r="V702" s="6" t="e">
        <f t="shared" si="332"/>
        <v>#DIV/0!</v>
      </c>
    </row>
    <row r="703" spans="1:22" ht="21.95" customHeight="1" x14ac:dyDescent="0.25">
      <c r="A703" s="53" t="s">
        <v>957</v>
      </c>
      <c r="B703" s="8" t="s">
        <v>662</v>
      </c>
      <c r="C703" s="2">
        <f t="shared" si="338"/>
        <v>1474000</v>
      </c>
      <c r="D703" s="3">
        <f t="shared" si="330"/>
        <v>0</v>
      </c>
      <c r="E703" s="3">
        <v>0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11">
        <v>0</v>
      </c>
      <c r="L703" s="5">
        <v>0</v>
      </c>
      <c r="M703" s="5">
        <v>268</v>
      </c>
      <c r="N703" s="3">
        <f t="shared" si="345"/>
        <v>1474000</v>
      </c>
      <c r="O703" s="5">
        <v>0</v>
      </c>
      <c r="P703" s="5">
        <v>0</v>
      </c>
      <c r="Q703" s="5">
        <v>0</v>
      </c>
      <c r="R703" s="3">
        <f t="shared" si="331"/>
        <v>0</v>
      </c>
      <c r="S703" s="5">
        <v>0</v>
      </c>
      <c r="T703" s="5">
        <v>0</v>
      </c>
      <c r="U703" s="5">
        <v>0</v>
      </c>
      <c r="V703" s="6">
        <f t="shared" si="332"/>
        <v>5500</v>
      </c>
    </row>
    <row r="704" spans="1:22" ht="21.95" customHeight="1" x14ac:dyDescent="0.25">
      <c r="A704" s="53" t="s">
        <v>958</v>
      </c>
      <c r="B704" s="8" t="s">
        <v>663</v>
      </c>
      <c r="C704" s="2">
        <f t="shared" si="338"/>
        <v>1446500</v>
      </c>
      <c r="D704" s="3">
        <f t="shared" si="330"/>
        <v>0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11">
        <v>0</v>
      </c>
      <c r="L704" s="5">
        <v>0</v>
      </c>
      <c r="M704" s="5">
        <v>263</v>
      </c>
      <c r="N704" s="3">
        <f t="shared" si="345"/>
        <v>1446500</v>
      </c>
      <c r="O704" s="5">
        <v>0</v>
      </c>
      <c r="P704" s="5">
        <v>0</v>
      </c>
      <c r="Q704" s="5">
        <v>0</v>
      </c>
      <c r="R704" s="3">
        <f t="shared" si="331"/>
        <v>0</v>
      </c>
      <c r="S704" s="5">
        <v>0</v>
      </c>
      <c r="T704" s="5">
        <v>0</v>
      </c>
      <c r="U704" s="5">
        <v>0</v>
      </c>
      <c r="V704" s="6">
        <f t="shared" si="332"/>
        <v>5500</v>
      </c>
    </row>
    <row r="705" spans="1:22" ht="21.95" customHeight="1" x14ac:dyDescent="0.25">
      <c r="A705" s="53" t="s">
        <v>959</v>
      </c>
      <c r="B705" s="8" t="s">
        <v>570</v>
      </c>
      <c r="C705" s="2">
        <f>D705+L705+N705+P705+R705+S705+T705+U705</f>
        <v>2104850</v>
      </c>
      <c r="D705" s="3">
        <f>SUM(E705:J705)</f>
        <v>0</v>
      </c>
      <c r="E705" s="3">
        <v>0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11">
        <v>0</v>
      </c>
      <c r="L705" s="5">
        <v>0</v>
      </c>
      <c r="M705" s="5">
        <v>382.7</v>
      </c>
      <c r="N705" s="3">
        <f>M705*5500</f>
        <v>2104850</v>
      </c>
      <c r="O705" s="5">
        <v>0</v>
      </c>
      <c r="P705" s="5">
        <v>0</v>
      </c>
      <c r="Q705" s="5">
        <v>0</v>
      </c>
      <c r="R705" s="3">
        <f>Q705*3000</f>
        <v>0</v>
      </c>
      <c r="S705" s="5">
        <v>0</v>
      </c>
      <c r="T705" s="5">
        <v>0</v>
      </c>
      <c r="U705" s="5">
        <v>0</v>
      </c>
      <c r="V705" s="6">
        <f>N705/M705</f>
        <v>5500</v>
      </c>
    </row>
    <row r="706" spans="1:22" ht="21.95" customHeight="1" x14ac:dyDescent="0.25">
      <c r="A706" s="53" t="s">
        <v>960</v>
      </c>
      <c r="B706" s="8" t="s">
        <v>571</v>
      </c>
      <c r="C706" s="2">
        <f>D706+L706+N706+P706+R706+S706+T706+U706</f>
        <v>2112000</v>
      </c>
      <c r="D706" s="3">
        <f>SUM(E706:J706)</f>
        <v>0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11">
        <v>0</v>
      </c>
      <c r="L706" s="5">
        <v>0</v>
      </c>
      <c r="M706" s="5">
        <v>384</v>
      </c>
      <c r="N706" s="3">
        <f>M706*5500</f>
        <v>2112000</v>
      </c>
      <c r="O706" s="5">
        <v>0</v>
      </c>
      <c r="P706" s="5">
        <v>0</v>
      </c>
      <c r="Q706" s="5">
        <v>0</v>
      </c>
      <c r="R706" s="3">
        <f>Q706*3000</f>
        <v>0</v>
      </c>
      <c r="S706" s="5">
        <v>0</v>
      </c>
      <c r="T706" s="5">
        <v>0</v>
      </c>
      <c r="U706" s="5">
        <v>0</v>
      </c>
      <c r="V706" s="6">
        <f>N706/M706</f>
        <v>5500</v>
      </c>
    </row>
    <row r="707" spans="1:22" ht="21.95" customHeight="1" x14ac:dyDescent="0.25">
      <c r="A707" s="53" t="s">
        <v>961</v>
      </c>
      <c r="B707" s="8" t="s">
        <v>562</v>
      </c>
      <c r="C707" s="2">
        <f t="shared" si="338"/>
        <v>2391400</v>
      </c>
      <c r="D707" s="3">
        <f t="shared" si="330"/>
        <v>0</v>
      </c>
      <c r="E707" s="3">
        <v>0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11">
        <v>0</v>
      </c>
      <c r="L707" s="5">
        <v>0</v>
      </c>
      <c r="M707" s="5">
        <v>434.8</v>
      </c>
      <c r="N707" s="3">
        <f t="shared" si="345"/>
        <v>2391400</v>
      </c>
      <c r="O707" s="5">
        <v>0</v>
      </c>
      <c r="P707" s="5">
        <v>0</v>
      </c>
      <c r="Q707" s="5">
        <v>0</v>
      </c>
      <c r="R707" s="3">
        <f t="shared" si="331"/>
        <v>0</v>
      </c>
      <c r="S707" s="5">
        <v>0</v>
      </c>
      <c r="T707" s="5">
        <v>0</v>
      </c>
      <c r="U707" s="5">
        <v>0</v>
      </c>
      <c r="V707" s="6">
        <f t="shared" si="332"/>
        <v>5500</v>
      </c>
    </row>
    <row r="708" spans="1:22" ht="21.95" customHeight="1" x14ac:dyDescent="0.25">
      <c r="A708" s="53" t="s">
        <v>962</v>
      </c>
      <c r="B708" s="8" t="s">
        <v>665</v>
      </c>
      <c r="C708" s="2">
        <f t="shared" si="338"/>
        <v>300000</v>
      </c>
      <c r="D708" s="3">
        <f t="shared" si="330"/>
        <v>0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11">
        <v>0</v>
      </c>
      <c r="L708" s="5">
        <v>0</v>
      </c>
      <c r="M708" s="5">
        <v>0</v>
      </c>
      <c r="N708" s="3">
        <f t="shared" si="345"/>
        <v>0</v>
      </c>
      <c r="O708" s="5">
        <v>0</v>
      </c>
      <c r="P708" s="5">
        <v>0</v>
      </c>
      <c r="Q708" s="5">
        <v>0</v>
      </c>
      <c r="R708" s="3">
        <f t="shared" si="331"/>
        <v>0</v>
      </c>
      <c r="S708" s="5">
        <v>0</v>
      </c>
      <c r="T708" s="5">
        <v>0</v>
      </c>
      <c r="U708" s="5">
        <v>300000</v>
      </c>
      <c r="V708" s="6" t="e">
        <f t="shared" si="332"/>
        <v>#DIV/0!</v>
      </c>
    </row>
    <row r="709" spans="1:22" ht="21.95" customHeight="1" x14ac:dyDescent="0.25">
      <c r="A709" s="53" t="s">
        <v>963</v>
      </c>
      <c r="B709" s="8" t="s">
        <v>666</v>
      </c>
      <c r="C709" s="2">
        <f t="shared" si="338"/>
        <v>300000</v>
      </c>
      <c r="D709" s="3">
        <f t="shared" si="330"/>
        <v>0</v>
      </c>
      <c r="E709" s="3">
        <v>0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11">
        <v>0</v>
      </c>
      <c r="L709" s="5">
        <v>0</v>
      </c>
      <c r="M709" s="5">
        <v>0</v>
      </c>
      <c r="N709" s="3">
        <f t="shared" si="345"/>
        <v>0</v>
      </c>
      <c r="O709" s="5">
        <v>0</v>
      </c>
      <c r="P709" s="5">
        <v>0</v>
      </c>
      <c r="Q709" s="5">
        <v>0</v>
      </c>
      <c r="R709" s="3">
        <f t="shared" si="331"/>
        <v>0</v>
      </c>
      <c r="S709" s="5">
        <v>0</v>
      </c>
      <c r="T709" s="5">
        <v>0</v>
      </c>
      <c r="U709" s="5">
        <v>300000</v>
      </c>
      <c r="V709" s="6" t="e">
        <f t="shared" si="332"/>
        <v>#DIV/0!</v>
      </c>
    </row>
    <row r="710" spans="1:22" ht="21.95" customHeight="1" x14ac:dyDescent="0.25">
      <c r="A710" s="53" t="s">
        <v>964</v>
      </c>
      <c r="B710" s="8" t="s">
        <v>667</v>
      </c>
      <c r="C710" s="2">
        <f t="shared" si="338"/>
        <v>300000</v>
      </c>
      <c r="D710" s="3">
        <f t="shared" si="330"/>
        <v>0</v>
      </c>
      <c r="E710" s="3">
        <v>0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11">
        <v>0</v>
      </c>
      <c r="L710" s="5">
        <v>0</v>
      </c>
      <c r="M710" s="5">
        <v>0</v>
      </c>
      <c r="N710" s="3">
        <f t="shared" si="345"/>
        <v>0</v>
      </c>
      <c r="O710" s="5">
        <v>0</v>
      </c>
      <c r="P710" s="5">
        <v>0</v>
      </c>
      <c r="Q710" s="5">
        <v>0</v>
      </c>
      <c r="R710" s="3">
        <f t="shared" si="331"/>
        <v>0</v>
      </c>
      <c r="S710" s="5">
        <v>0</v>
      </c>
      <c r="T710" s="5">
        <v>0</v>
      </c>
      <c r="U710" s="5">
        <v>300000</v>
      </c>
      <c r="V710" s="6" t="e">
        <f t="shared" si="332"/>
        <v>#DIV/0!</v>
      </c>
    </row>
    <row r="711" spans="1:22" ht="21.95" customHeight="1" x14ac:dyDescent="0.25">
      <c r="A711" s="53" t="s">
        <v>965</v>
      </c>
      <c r="B711" s="8" t="s">
        <v>563</v>
      </c>
      <c r="C711" s="2">
        <f t="shared" si="338"/>
        <v>1531199.9999999998</v>
      </c>
      <c r="D711" s="3">
        <f t="shared" si="330"/>
        <v>0</v>
      </c>
      <c r="E711" s="3">
        <v>0</v>
      </c>
      <c r="F711" s="3">
        <v>0</v>
      </c>
      <c r="G711" s="3">
        <v>0</v>
      </c>
      <c r="H711" s="3">
        <v>0</v>
      </c>
      <c r="I711" s="3">
        <v>0</v>
      </c>
      <c r="J711" s="3">
        <v>0</v>
      </c>
      <c r="K711" s="11">
        <v>0</v>
      </c>
      <c r="L711" s="5">
        <v>0</v>
      </c>
      <c r="M711" s="5">
        <v>278.39999999999998</v>
      </c>
      <c r="N711" s="3">
        <f t="shared" si="345"/>
        <v>1531199.9999999998</v>
      </c>
      <c r="O711" s="5">
        <v>0</v>
      </c>
      <c r="P711" s="5">
        <v>0</v>
      </c>
      <c r="Q711" s="5">
        <v>0</v>
      </c>
      <c r="R711" s="3">
        <f t="shared" si="331"/>
        <v>0</v>
      </c>
      <c r="S711" s="5">
        <v>0</v>
      </c>
      <c r="T711" s="5">
        <v>0</v>
      </c>
      <c r="U711" s="5">
        <v>0</v>
      </c>
      <c r="V711" s="6">
        <f t="shared" si="332"/>
        <v>5500</v>
      </c>
    </row>
    <row r="712" spans="1:22" ht="21.95" customHeight="1" x14ac:dyDescent="0.25">
      <c r="A712" s="53" t="s">
        <v>966</v>
      </c>
      <c r="B712" s="8" t="s">
        <v>475</v>
      </c>
      <c r="C712" s="2">
        <f t="shared" si="338"/>
        <v>1441000</v>
      </c>
      <c r="D712" s="3">
        <f t="shared" si="330"/>
        <v>0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4">
        <v>0</v>
      </c>
      <c r="L712" s="3">
        <v>0</v>
      </c>
      <c r="M712" s="3">
        <v>262</v>
      </c>
      <c r="N712" s="3">
        <f t="shared" ref="N712:N726" si="347">M712*5500</f>
        <v>1441000</v>
      </c>
      <c r="O712" s="3">
        <v>0</v>
      </c>
      <c r="P712" s="3">
        <v>0</v>
      </c>
      <c r="Q712" s="3">
        <v>0</v>
      </c>
      <c r="R712" s="3">
        <f t="shared" si="331"/>
        <v>0</v>
      </c>
      <c r="S712" s="3">
        <v>0</v>
      </c>
      <c r="T712" s="5">
        <v>0</v>
      </c>
      <c r="U712" s="3">
        <v>0</v>
      </c>
      <c r="V712" s="6">
        <f t="shared" si="332"/>
        <v>5500</v>
      </c>
    </row>
    <row r="713" spans="1:22" ht="21.95" customHeight="1" x14ac:dyDescent="0.25">
      <c r="A713" s="53" t="s">
        <v>967</v>
      </c>
      <c r="B713" s="8" t="s">
        <v>668</v>
      </c>
      <c r="C713" s="2">
        <f t="shared" si="338"/>
        <v>2114200</v>
      </c>
      <c r="D713" s="3">
        <f t="shared" si="330"/>
        <v>0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11">
        <v>0</v>
      </c>
      <c r="L713" s="5">
        <v>0</v>
      </c>
      <c r="M713" s="5">
        <v>384.4</v>
      </c>
      <c r="N713" s="3">
        <f t="shared" si="347"/>
        <v>2114200</v>
      </c>
      <c r="O713" s="5">
        <v>0</v>
      </c>
      <c r="P713" s="5">
        <v>0</v>
      </c>
      <c r="Q713" s="5">
        <v>0</v>
      </c>
      <c r="R713" s="3">
        <f t="shared" si="331"/>
        <v>0</v>
      </c>
      <c r="S713" s="5">
        <v>0</v>
      </c>
      <c r="T713" s="5">
        <v>0</v>
      </c>
      <c r="U713" s="5">
        <v>0</v>
      </c>
      <c r="V713" s="6">
        <f t="shared" si="332"/>
        <v>5500</v>
      </c>
    </row>
    <row r="714" spans="1:22" ht="21.95" customHeight="1" x14ac:dyDescent="0.25">
      <c r="A714" s="53" t="s">
        <v>968</v>
      </c>
      <c r="B714" s="8" t="s">
        <v>564</v>
      </c>
      <c r="C714" s="2">
        <f t="shared" si="338"/>
        <v>1411850</v>
      </c>
      <c r="D714" s="3">
        <f t="shared" si="330"/>
        <v>0</v>
      </c>
      <c r="E714" s="3">
        <v>0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11">
        <v>0</v>
      </c>
      <c r="L714" s="5">
        <v>0</v>
      </c>
      <c r="M714" s="5">
        <v>256.7</v>
      </c>
      <c r="N714" s="3">
        <f t="shared" si="347"/>
        <v>1411850</v>
      </c>
      <c r="O714" s="5">
        <v>0</v>
      </c>
      <c r="P714" s="5">
        <v>0</v>
      </c>
      <c r="Q714" s="5">
        <v>0</v>
      </c>
      <c r="R714" s="3">
        <f t="shared" si="331"/>
        <v>0</v>
      </c>
      <c r="S714" s="5">
        <v>0</v>
      </c>
      <c r="T714" s="5">
        <v>0</v>
      </c>
      <c r="U714" s="5">
        <v>0</v>
      </c>
      <c r="V714" s="6">
        <f t="shared" si="332"/>
        <v>5500</v>
      </c>
    </row>
    <row r="715" spans="1:22" ht="21.95" customHeight="1" x14ac:dyDescent="0.25">
      <c r="A715" s="53" t="s">
        <v>969</v>
      </c>
      <c r="B715" s="8" t="s">
        <v>565</v>
      </c>
      <c r="C715" s="2">
        <f t="shared" si="338"/>
        <v>1399200</v>
      </c>
      <c r="D715" s="3">
        <f t="shared" ref="D715:D726" si="348">SUM(E715:J715)</f>
        <v>0</v>
      </c>
      <c r="E715" s="3">
        <v>0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11">
        <v>0</v>
      </c>
      <c r="L715" s="5">
        <v>0</v>
      </c>
      <c r="M715" s="5">
        <v>254.4</v>
      </c>
      <c r="N715" s="3">
        <f t="shared" si="347"/>
        <v>1399200</v>
      </c>
      <c r="O715" s="5">
        <v>0</v>
      </c>
      <c r="P715" s="5">
        <v>0</v>
      </c>
      <c r="Q715" s="5">
        <v>0</v>
      </c>
      <c r="R715" s="3">
        <f t="shared" si="331"/>
        <v>0</v>
      </c>
      <c r="S715" s="5">
        <v>0</v>
      </c>
      <c r="T715" s="5">
        <v>0</v>
      </c>
      <c r="U715" s="5">
        <v>0</v>
      </c>
      <c r="V715" s="6">
        <f t="shared" si="332"/>
        <v>5500</v>
      </c>
    </row>
    <row r="716" spans="1:22" ht="21.95" customHeight="1" x14ac:dyDescent="0.25">
      <c r="A716" s="53" t="s">
        <v>970</v>
      </c>
      <c r="B716" s="8" t="s">
        <v>566</v>
      </c>
      <c r="C716" s="2">
        <f t="shared" si="338"/>
        <v>1345300</v>
      </c>
      <c r="D716" s="3">
        <f t="shared" si="348"/>
        <v>0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11">
        <v>0</v>
      </c>
      <c r="L716" s="5">
        <v>0</v>
      </c>
      <c r="M716" s="5">
        <v>244.6</v>
      </c>
      <c r="N716" s="3">
        <f t="shared" si="347"/>
        <v>1345300</v>
      </c>
      <c r="O716" s="5">
        <v>0</v>
      </c>
      <c r="P716" s="5">
        <v>0</v>
      </c>
      <c r="Q716" s="5">
        <v>0</v>
      </c>
      <c r="R716" s="3">
        <f t="shared" ref="R716:R726" si="349">Q716*3000</f>
        <v>0</v>
      </c>
      <c r="S716" s="5">
        <v>0</v>
      </c>
      <c r="T716" s="5">
        <v>0</v>
      </c>
      <c r="U716" s="5">
        <v>0</v>
      </c>
      <c r="V716" s="6">
        <f t="shared" ref="V716:V726" si="350">N716/M716</f>
        <v>5500</v>
      </c>
    </row>
    <row r="717" spans="1:22" ht="21.95" customHeight="1" x14ac:dyDescent="0.25">
      <c r="A717" s="53" t="s">
        <v>971</v>
      </c>
      <c r="B717" s="8" t="s">
        <v>567</v>
      </c>
      <c r="C717" s="2">
        <f t="shared" si="338"/>
        <v>1463550.0000000002</v>
      </c>
      <c r="D717" s="3">
        <f t="shared" si="348"/>
        <v>0</v>
      </c>
      <c r="E717" s="3">
        <v>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11">
        <v>0</v>
      </c>
      <c r="L717" s="5">
        <v>0</v>
      </c>
      <c r="M717" s="5">
        <v>266.10000000000002</v>
      </c>
      <c r="N717" s="3">
        <f t="shared" si="347"/>
        <v>1463550.0000000002</v>
      </c>
      <c r="O717" s="5">
        <v>0</v>
      </c>
      <c r="P717" s="5">
        <v>0</v>
      </c>
      <c r="Q717" s="5">
        <v>0</v>
      </c>
      <c r="R717" s="3">
        <f t="shared" si="349"/>
        <v>0</v>
      </c>
      <c r="S717" s="5">
        <v>0</v>
      </c>
      <c r="T717" s="5">
        <v>0</v>
      </c>
      <c r="U717" s="5">
        <v>0</v>
      </c>
      <c r="V717" s="6">
        <f t="shared" si="350"/>
        <v>5500</v>
      </c>
    </row>
    <row r="718" spans="1:22" ht="21.95" customHeight="1" x14ac:dyDescent="0.25">
      <c r="A718" s="53" t="s">
        <v>972</v>
      </c>
      <c r="B718" s="8" t="s">
        <v>568</v>
      </c>
      <c r="C718" s="2">
        <f t="shared" si="338"/>
        <v>1531199.9999999998</v>
      </c>
      <c r="D718" s="3">
        <f t="shared" si="348"/>
        <v>0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11">
        <v>0</v>
      </c>
      <c r="L718" s="5">
        <v>0</v>
      </c>
      <c r="M718" s="5">
        <v>278.39999999999998</v>
      </c>
      <c r="N718" s="3">
        <f t="shared" si="347"/>
        <v>1531199.9999999998</v>
      </c>
      <c r="O718" s="5">
        <v>0</v>
      </c>
      <c r="P718" s="5">
        <v>0</v>
      </c>
      <c r="Q718" s="5">
        <v>0</v>
      </c>
      <c r="R718" s="3">
        <f t="shared" si="349"/>
        <v>0</v>
      </c>
      <c r="S718" s="5">
        <v>0</v>
      </c>
      <c r="T718" s="5">
        <v>0</v>
      </c>
      <c r="U718" s="5">
        <v>0</v>
      </c>
      <c r="V718" s="6">
        <f t="shared" si="350"/>
        <v>5500</v>
      </c>
    </row>
    <row r="719" spans="1:22" ht="21.95" customHeight="1" x14ac:dyDescent="0.25">
      <c r="A719" s="53" t="s">
        <v>973</v>
      </c>
      <c r="B719" s="8" t="s">
        <v>569</v>
      </c>
      <c r="C719" s="2">
        <f t="shared" si="338"/>
        <v>1492150</v>
      </c>
      <c r="D719" s="3">
        <f t="shared" si="348"/>
        <v>0</v>
      </c>
      <c r="E719" s="3">
        <v>0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11">
        <v>0</v>
      </c>
      <c r="L719" s="5">
        <v>0</v>
      </c>
      <c r="M719" s="5">
        <v>271.3</v>
      </c>
      <c r="N719" s="3">
        <f t="shared" si="347"/>
        <v>1492150</v>
      </c>
      <c r="O719" s="5">
        <v>0</v>
      </c>
      <c r="P719" s="5">
        <v>0</v>
      </c>
      <c r="Q719" s="5">
        <v>0</v>
      </c>
      <c r="R719" s="3">
        <f t="shared" si="349"/>
        <v>0</v>
      </c>
      <c r="S719" s="5">
        <v>0</v>
      </c>
      <c r="T719" s="5">
        <v>0</v>
      </c>
      <c r="U719" s="5">
        <v>0</v>
      </c>
      <c r="V719" s="6">
        <f t="shared" si="350"/>
        <v>5500</v>
      </c>
    </row>
    <row r="720" spans="1:22" ht="21.95" customHeight="1" x14ac:dyDescent="0.25">
      <c r="A720" s="53" t="s">
        <v>974</v>
      </c>
      <c r="B720" s="8" t="s">
        <v>572</v>
      </c>
      <c r="C720" s="2">
        <f t="shared" si="338"/>
        <v>1533400</v>
      </c>
      <c r="D720" s="3">
        <f t="shared" si="348"/>
        <v>0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11">
        <v>0</v>
      </c>
      <c r="L720" s="5">
        <v>0</v>
      </c>
      <c r="M720" s="5">
        <v>278.8</v>
      </c>
      <c r="N720" s="3">
        <f t="shared" si="347"/>
        <v>1533400</v>
      </c>
      <c r="O720" s="5">
        <v>0</v>
      </c>
      <c r="P720" s="5">
        <v>0</v>
      </c>
      <c r="Q720" s="5">
        <v>0</v>
      </c>
      <c r="R720" s="3">
        <f t="shared" si="349"/>
        <v>0</v>
      </c>
      <c r="S720" s="5">
        <v>0</v>
      </c>
      <c r="T720" s="5">
        <v>0</v>
      </c>
      <c r="U720" s="5">
        <v>0</v>
      </c>
      <c r="V720" s="6">
        <f t="shared" si="350"/>
        <v>5500</v>
      </c>
    </row>
    <row r="721" spans="1:22" ht="21.95" customHeight="1" x14ac:dyDescent="0.25">
      <c r="A721" s="53" t="s">
        <v>975</v>
      </c>
      <c r="B721" s="8" t="s">
        <v>573</v>
      </c>
      <c r="C721" s="2">
        <f t="shared" si="338"/>
        <v>1533400</v>
      </c>
      <c r="D721" s="3">
        <f t="shared" si="348"/>
        <v>0</v>
      </c>
      <c r="E721" s="3">
        <v>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11">
        <v>0</v>
      </c>
      <c r="L721" s="5">
        <v>0</v>
      </c>
      <c r="M721" s="5">
        <v>278.8</v>
      </c>
      <c r="N721" s="3">
        <f t="shared" si="347"/>
        <v>1533400</v>
      </c>
      <c r="O721" s="5">
        <v>0</v>
      </c>
      <c r="P721" s="5">
        <v>0</v>
      </c>
      <c r="Q721" s="5">
        <v>0</v>
      </c>
      <c r="R721" s="3">
        <f t="shared" si="349"/>
        <v>0</v>
      </c>
      <c r="S721" s="5">
        <v>0</v>
      </c>
      <c r="T721" s="5">
        <v>0</v>
      </c>
      <c r="U721" s="5">
        <v>0</v>
      </c>
      <c r="V721" s="6">
        <f t="shared" si="350"/>
        <v>5500</v>
      </c>
    </row>
    <row r="722" spans="1:22" ht="21.95" customHeight="1" x14ac:dyDescent="0.25">
      <c r="A722" s="53" t="s">
        <v>976</v>
      </c>
      <c r="B722" s="8" t="s">
        <v>574</v>
      </c>
      <c r="C722" s="2">
        <f t="shared" si="338"/>
        <v>300000</v>
      </c>
      <c r="D722" s="3">
        <f t="shared" si="348"/>
        <v>0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11">
        <v>0</v>
      </c>
      <c r="L722" s="5">
        <v>0</v>
      </c>
      <c r="M722" s="5">
        <v>0</v>
      </c>
      <c r="N722" s="3">
        <f t="shared" si="347"/>
        <v>0</v>
      </c>
      <c r="O722" s="5">
        <v>0</v>
      </c>
      <c r="P722" s="5">
        <v>0</v>
      </c>
      <c r="Q722" s="5">
        <v>0</v>
      </c>
      <c r="R722" s="3">
        <f t="shared" si="349"/>
        <v>0</v>
      </c>
      <c r="S722" s="5">
        <v>0</v>
      </c>
      <c r="T722" s="5">
        <v>0</v>
      </c>
      <c r="U722" s="5">
        <v>300000</v>
      </c>
      <c r="V722" s="6" t="e">
        <f t="shared" si="350"/>
        <v>#DIV/0!</v>
      </c>
    </row>
    <row r="723" spans="1:22" ht="21.95" customHeight="1" x14ac:dyDescent="0.25">
      <c r="A723" s="53" t="s">
        <v>977</v>
      </c>
      <c r="B723" s="8" t="s">
        <v>424</v>
      </c>
      <c r="C723" s="2">
        <f t="shared" si="338"/>
        <v>4476695</v>
      </c>
      <c r="D723" s="3">
        <f t="shared" si="348"/>
        <v>780195</v>
      </c>
      <c r="E723" s="5">
        <f>350*400.1</f>
        <v>140035</v>
      </c>
      <c r="F723" s="5">
        <f>1050*400.1</f>
        <v>420105</v>
      </c>
      <c r="G723" s="5">
        <f>300*400.1</f>
        <v>120030</v>
      </c>
      <c r="H723" s="5">
        <f>400*0</f>
        <v>0</v>
      </c>
      <c r="I723" s="5">
        <f>250*400.1</f>
        <v>100025</v>
      </c>
      <c r="J723" s="5">
        <f>350*0</f>
        <v>0</v>
      </c>
      <c r="K723" s="4">
        <v>0</v>
      </c>
      <c r="L723" s="3">
        <v>0</v>
      </c>
      <c r="M723" s="3">
        <v>403</v>
      </c>
      <c r="N723" s="3">
        <f t="shared" si="347"/>
        <v>2216500</v>
      </c>
      <c r="O723" s="3">
        <v>0</v>
      </c>
      <c r="P723" s="3">
        <v>0</v>
      </c>
      <c r="Q723" s="3">
        <v>460</v>
      </c>
      <c r="R723" s="3">
        <f t="shared" si="349"/>
        <v>1380000</v>
      </c>
      <c r="S723" s="3">
        <v>0</v>
      </c>
      <c r="T723" s="5">
        <v>0</v>
      </c>
      <c r="U723" s="3">
        <v>100000</v>
      </c>
      <c r="V723" s="6">
        <f t="shared" si="350"/>
        <v>5500</v>
      </c>
    </row>
    <row r="724" spans="1:22" ht="21.95" customHeight="1" x14ac:dyDescent="0.25">
      <c r="A724" s="53" t="s">
        <v>978</v>
      </c>
      <c r="B724" s="8" t="s">
        <v>439</v>
      </c>
      <c r="C724" s="2">
        <f t="shared" si="338"/>
        <v>2321000</v>
      </c>
      <c r="D724" s="3">
        <f t="shared" si="348"/>
        <v>0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4">
        <v>0</v>
      </c>
      <c r="L724" s="3">
        <v>0</v>
      </c>
      <c r="M724" s="3">
        <v>422</v>
      </c>
      <c r="N724" s="3">
        <f t="shared" si="347"/>
        <v>2321000</v>
      </c>
      <c r="O724" s="3">
        <v>0</v>
      </c>
      <c r="P724" s="3">
        <v>0</v>
      </c>
      <c r="Q724" s="3">
        <v>0</v>
      </c>
      <c r="R724" s="3">
        <f t="shared" si="349"/>
        <v>0</v>
      </c>
      <c r="S724" s="3">
        <v>0</v>
      </c>
      <c r="T724" s="5">
        <v>0</v>
      </c>
      <c r="U724" s="3">
        <v>0</v>
      </c>
      <c r="V724" s="6">
        <f t="shared" si="350"/>
        <v>5500</v>
      </c>
    </row>
    <row r="725" spans="1:22" ht="21.95" customHeight="1" x14ac:dyDescent="0.25">
      <c r="A725" s="53" t="s">
        <v>979</v>
      </c>
      <c r="B725" s="8" t="s">
        <v>575</v>
      </c>
      <c r="C725" s="2">
        <f t="shared" si="338"/>
        <v>2497000</v>
      </c>
      <c r="D725" s="3">
        <f t="shared" si="348"/>
        <v>0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11">
        <v>0</v>
      </c>
      <c r="L725" s="5">
        <v>0</v>
      </c>
      <c r="M725" s="5">
        <v>454</v>
      </c>
      <c r="N725" s="3">
        <f t="shared" si="347"/>
        <v>2497000</v>
      </c>
      <c r="O725" s="5">
        <v>0</v>
      </c>
      <c r="P725" s="5">
        <v>0</v>
      </c>
      <c r="Q725" s="5">
        <v>0</v>
      </c>
      <c r="R725" s="3">
        <f t="shared" si="349"/>
        <v>0</v>
      </c>
      <c r="S725" s="5">
        <v>0</v>
      </c>
      <c r="T725" s="5">
        <v>0</v>
      </c>
      <c r="U725" s="5">
        <v>0</v>
      </c>
      <c r="V725" s="6">
        <f t="shared" si="350"/>
        <v>5500</v>
      </c>
    </row>
    <row r="726" spans="1:22" ht="21.95" customHeight="1" x14ac:dyDescent="0.25">
      <c r="A726" s="53" t="s">
        <v>980</v>
      </c>
      <c r="B726" s="8" t="s">
        <v>576</v>
      </c>
      <c r="C726" s="2">
        <f t="shared" si="338"/>
        <v>2497000</v>
      </c>
      <c r="D726" s="3">
        <f t="shared" si="348"/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11">
        <v>0</v>
      </c>
      <c r="L726" s="5">
        <v>0</v>
      </c>
      <c r="M726" s="5">
        <v>454</v>
      </c>
      <c r="N726" s="3">
        <f t="shared" si="347"/>
        <v>2497000</v>
      </c>
      <c r="O726" s="5">
        <v>0</v>
      </c>
      <c r="P726" s="5">
        <v>0</v>
      </c>
      <c r="Q726" s="5">
        <v>0</v>
      </c>
      <c r="R726" s="3">
        <f t="shared" si="349"/>
        <v>0</v>
      </c>
      <c r="S726" s="5">
        <v>0</v>
      </c>
      <c r="T726" s="5">
        <v>0</v>
      </c>
      <c r="U726" s="5">
        <v>0</v>
      </c>
      <c r="V726" s="6">
        <f t="shared" si="350"/>
        <v>5500</v>
      </c>
    </row>
    <row r="727" spans="1:22" ht="45" customHeight="1" x14ac:dyDescent="0.25">
      <c r="A727" s="56" t="s">
        <v>281</v>
      </c>
      <c r="B727" s="56"/>
      <c r="C727" s="2">
        <f>SUM(C728:C730)</f>
        <v>13922998.440000001</v>
      </c>
      <c r="D727" s="2">
        <f t="shared" ref="D727:U727" si="351">SUM(D728:D730)</f>
        <v>2453530</v>
      </c>
      <c r="E727" s="2">
        <f t="shared" si="351"/>
        <v>432530</v>
      </c>
      <c r="F727" s="2">
        <f t="shared" si="351"/>
        <v>1061025</v>
      </c>
      <c r="G727" s="2">
        <f t="shared" si="351"/>
        <v>303150</v>
      </c>
      <c r="H727" s="2">
        <f t="shared" si="351"/>
        <v>404200</v>
      </c>
      <c r="I727" s="2">
        <f t="shared" si="351"/>
        <v>252625</v>
      </c>
      <c r="J727" s="2">
        <f t="shared" si="351"/>
        <v>0</v>
      </c>
      <c r="K727" s="14">
        <f t="shared" si="351"/>
        <v>0</v>
      </c>
      <c r="L727" s="2">
        <f t="shared" si="351"/>
        <v>0</v>
      </c>
      <c r="M727" s="2">
        <f t="shared" si="351"/>
        <v>1123.7</v>
      </c>
      <c r="N727" s="2">
        <f t="shared" si="351"/>
        <v>6180350</v>
      </c>
      <c r="O727" s="2">
        <f t="shared" si="351"/>
        <v>220</v>
      </c>
      <c r="P727" s="2">
        <f t="shared" si="351"/>
        <v>264000</v>
      </c>
      <c r="Q727" s="2">
        <f t="shared" si="351"/>
        <v>1570.6</v>
      </c>
      <c r="R727" s="2">
        <f t="shared" si="351"/>
        <v>4711800</v>
      </c>
      <c r="S727" s="2">
        <f t="shared" si="351"/>
        <v>0</v>
      </c>
      <c r="T727" s="2">
        <f t="shared" si="351"/>
        <v>0</v>
      </c>
      <c r="U727" s="2">
        <f t="shared" si="351"/>
        <v>313318.44</v>
      </c>
    </row>
    <row r="728" spans="1:22" ht="21.95" customHeight="1" x14ac:dyDescent="0.25">
      <c r="A728" s="37" t="s">
        <v>981</v>
      </c>
      <c r="B728" s="8" t="s">
        <v>282</v>
      </c>
      <c r="C728" s="2">
        <f t="shared" si="338"/>
        <v>5534379.8600000003</v>
      </c>
      <c r="D728" s="3">
        <f t="shared" ref="D728:D730" si="352">SUM(E728:J728)</f>
        <v>1217535</v>
      </c>
      <c r="E728" s="3">
        <f>350*518.1</f>
        <v>181335</v>
      </c>
      <c r="F728" s="3">
        <f>1050*518.1</f>
        <v>544005</v>
      </c>
      <c r="G728" s="3">
        <f>300*518.1</f>
        <v>155430</v>
      </c>
      <c r="H728" s="3">
        <f>400*518.1</f>
        <v>207240</v>
      </c>
      <c r="I728" s="3">
        <f>250*518.1</f>
        <v>129525</v>
      </c>
      <c r="J728" s="3">
        <v>0</v>
      </c>
      <c r="K728" s="4">
        <v>0</v>
      </c>
      <c r="L728" s="3">
        <v>0</v>
      </c>
      <c r="M728" s="3">
        <v>437.7</v>
      </c>
      <c r="N728" s="3">
        <f t="shared" ref="N728:N730" si="353">M728*5500</f>
        <v>2407350</v>
      </c>
      <c r="O728" s="5">
        <v>110</v>
      </c>
      <c r="P728" s="5">
        <v>132000</v>
      </c>
      <c r="Q728" s="3">
        <v>556.79999999999995</v>
      </c>
      <c r="R728" s="3">
        <f t="shared" ref="R728:R730" si="354">Q728*3000</f>
        <v>1670399.9999999998</v>
      </c>
      <c r="S728" s="3">
        <v>0</v>
      </c>
      <c r="T728" s="3">
        <v>0</v>
      </c>
      <c r="U728" s="3">
        <v>107094.86</v>
      </c>
      <c r="V728" s="6">
        <f t="shared" ref="V728:V730" si="355">N728/M728</f>
        <v>5500</v>
      </c>
    </row>
    <row r="729" spans="1:22" ht="21.95" customHeight="1" x14ac:dyDescent="0.25">
      <c r="A729" s="37" t="s">
        <v>1682</v>
      </c>
      <c r="B729" s="8" t="s">
        <v>283</v>
      </c>
      <c r="C729" s="2">
        <f t="shared" si="338"/>
        <v>5404463.5800000001</v>
      </c>
      <c r="D729" s="3">
        <f t="shared" si="352"/>
        <v>1157140</v>
      </c>
      <c r="E729" s="3">
        <f>350*492.4</f>
        <v>172340</v>
      </c>
      <c r="F729" s="3">
        <f>1050*492.4</f>
        <v>517020</v>
      </c>
      <c r="G729" s="3">
        <f>300*492.4</f>
        <v>147720</v>
      </c>
      <c r="H729" s="3">
        <f>400*492.4</f>
        <v>196960</v>
      </c>
      <c r="I729" s="3">
        <f>250*492.4</f>
        <v>123100</v>
      </c>
      <c r="J729" s="3">
        <v>0</v>
      </c>
      <c r="K729" s="4">
        <v>0</v>
      </c>
      <c r="L729" s="3">
        <v>0</v>
      </c>
      <c r="M729" s="3">
        <v>429.8</v>
      </c>
      <c r="N729" s="3">
        <f t="shared" si="353"/>
        <v>2363900</v>
      </c>
      <c r="O729" s="5">
        <v>110</v>
      </c>
      <c r="P729" s="5">
        <v>132000</v>
      </c>
      <c r="Q729" s="3">
        <v>548.4</v>
      </c>
      <c r="R729" s="3">
        <f t="shared" si="354"/>
        <v>1645200</v>
      </c>
      <c r="S729" s="3">
        <v>0</v>
      </c>
      <c r="T729" s="3">
        <v>0</v>
      </c>
      <c r="U729" s="3">
        <v>106223.58</v>
      </c>
      <c r="V729" s="6">
        <f t="shared" si="355"/>
        <v>5500</v>
      </c>
    </row>
    <row r="730" spans="1:22" ht="21.95" customHeight="1" x14ac:dyDescent="0.25">
      <c r="A730" s="37" t="s">
        <v>982</v>
      </c>
      <c r="B730" s="8" t="s">
        <v>307</v>
      </c>
      <c r="C730" s="2">
        <f t="shared" si="338"/>
        <v>2984155</v>
      </c>
      <c r="D730" s="3">
        <f t="shared" si="352"/>
        <v>78855</v>
      </c>
      <c r="E730" s="3">
        <f>350*225.3</f>
        <v>78855</v>
      </c>
      <c r="F730" s="3">
        <f>1050*0</f>
        <v>0</v>
      </c>
      <c r="G730" s="3">
        <f>300*0</f>
        <v>0</v>
      </c>
      <c r="H730" s="3">
        <f>400*0</f>
        <v>0</v>
      </c>
      <c r="I730" s="3">
        <f>250*0</f>
        <v>0</v>
      </c>
      <c r="J730" s="3">
        <v>0</v>
      </c>
      <c r="K730" s="4">
        <v>0</v>
      </c>
      <c r="L730" s="3">
        <v>0</v>
      </c>
      <c r="M730" s="3">
        <v>256.2</v>
      </c>
      <c r="N730" s="3">
        <f t="shared" si="353"/>
        <v>1409100</v>
      </c>
      <c r="O730" s="3">
        <v>0</v>
      </c>
      <c r="P730" s="3">
        <v>0</v>
      </c>
      <c r="Q730" s="3">
        <v>465.4</v>
      </c>
      <c r="R730" s="3">
        <f t="shared" si="354"/>
        <v>1396200</v>
      </c>
      <c r="S730" s="3">
        <v>0</v>
      </c>
      <c r="T730" s="3">
        <v>0</v>
      </c>
      <c r="U730" s="3">
        <v>100000</v>
      </c>
      <c r="V730" s="6">
        <f t="shared" si="355"/>
        <v>5500</v>
      </c>
    </row>
    <row r="731" spans="1:22" ht="45" customHeight="1" x14ac:dyDescent="0.25">
      <c r="A731" s="56" t="s">
        <v>1544</v>
      </c>
      <c r="B731" s="56"/>
      <c r="C731" s="2">
        <f>SUM(C732)</f>
        <v>7540064</v>
      </c>
      <c r="D731" s="2">
        <f t="shared" ref="D731:U731" si="356">SUM(D732)</f>
        <v>951015</v>
      </c>
      <c r="E731" s="2">
        <f t="shared" si="356"/>
        <v>170695</v>
      </c>
      <c r="F731" s="2">
        <f t="shared" si="356"/>
        <v>512085</v>
      </c>
      <c r="G731" s="2">
        <f t="shared" si="356"/>
        <v>146310</v>
      </c>
      <c r="H731" s="2">
        <f t="shared" si="356"/>
        <v>0</v>
      </c>
      <c r="I731" s="2">
        <f t="shared" si="356"/>
        <v>121925</v>
      </c>
      <c r="J731" s="2">
        <f t="shared" si="356"/>
        <v>0</v>
      </c>
      <c r="K731" s="14">
        <f t="shared" si="356"/>
        <v>0</v>
      </c>
      <c r="L731" s="2">
        <f t="shared" si="356"/>
        <v>0</v>
      </c>
      <c r="M731" s="2">
        <f t="shared" si="356"/>
        <v>321.5</v>
      </c>
      <c r="N731" s="2">
        <f t="shared" si="356"/>
        <v>1185049</v>
      </c>
      <c r="O731" s="2">
        <f t="shared" si="356"/>
        <v>0</v>
      </c>
      <c r="P731" s="2">
        <f t="shared" si="356"/>
        <v>0</v>
      </c>
      <c r="Q731" s="2">
        <f t="shared" si="356"/>
        <v>1768</v>
      </c>
      <c r="R731" s="2">
        <f t="shared" si="356"/>
        <v>5304000</v>
      </c>
      <c r="S731" s="2">
        <f t="shared" si="356"/>
        <v>0</v>
      </c>
      <c r="T731" s="2">
        <f t="shared" si="356"/>
        <v>0</v>
      </c>
      <c r="U731" s="2">
        <f t="shared" si="356"/>
        <v>100000</v>
      </c>
    </row>
    <row r="732" spans="1:22" ht="21.95" customHeight="1" x14ac:dyDescent="0.25">
      <c r="A732" s="37" t="s">
        <v>983</v>
      </c>
      <c r="B732" s="8" t="s">
        <v>1545</v>
      </c>
      <c r="C732" s="2">
        <f t="shared" si="338"/>
        <v>7540064</v>
      </c>
      <c r="D732" s="3">
        <f t="shared" ref="D732" si="357">SUM(E732:J732)</f>
        <v>951015</v>
      </c>
      <c r="E732" s="3">
        <f>350*487.7</f>
        <v>170695</v>
      </c>
      <c r="F732" s="3">
        <f>1050*487.7</f>
        <v>512085</v>
      </c>
      <c r="G732" s="3">
        <f>300*487.7</f>
        <v>146310</v>
      </c>
      <c r="H732" s="3">
        <v>0</v>
      </c>
      <c r="I732" s="3">
        <f>250*487.7</f>
        <v>121925</v>
      </c>
      <c r="J732" s="3">
        <v>0</v>
      </c>
      <c r="K732" s="4">
        <v>0</v>
      </c>
      <c r="L732" s="3">
        <v>0</v>
      </c>
      <c r="M732" s="3">
        <v>321.5</v>
      </c>
      <c r="N732" s="3">
        <f>M732*3686</f>
        <v>1185049</v>
      </c>
      <c r="O732" s="5">
        <v>0</v>
      </c>
      <c r="P732" s="5">
        <v>0</v>
      </c>
      <c r="Q732" s="3">
        <v>1768</v>
      </c>
      <c r="R732" s="3">
        <f>Q732*3000</f>
        <v>5304000</v>
      </c>
      <c r="S732" s="3">
        <v>0</v>
      </c>
      <c r="T732" s="3">
        <v>0</v>
      </c>
      <c r="U732" s="3">
        <v>100000</v>
      </c>
      <c r="V732" s="6">
        <f t="shared" ref="V732" si="358">N732/M732</f>
        <v>3686</v>
      </c>
    </row>
    <row r="733" spans="1:22" ht="45" customHeight="1" x14ac:dyDescent="0.25">
      <c r="A733" s="56" t="s">
        <v>286</v>
      </c>
      <c r="B733" s="56"/>
      <c r="C733" s="2">
        <f>SUM(C734:C735)</f>
        <v>9394530</v>
      </c>
      <c r="D733" s="2">
        <f t="shared" ref="D733:U733" si="359">SUM(D734:D735)</f>
        <v>1994680</v>
      </c>
      <c r="E733" s="2">
        <f t="shared" si="359"/>
        <v>297080</v>
      </c>
      <c r="F733" s="2">
        <f t="shared" si="359"/>
        <v>891240</v>
      </c>
      <c r="G733" s="2">
        <f t="shared" si="359"/>
        <v>254640</v>
      </c>
      <c r="H733" s="2">
        <f t="shared" si="359"/>
        <v>339520</v>
      </c>
      <c r="I733" s="2">
        <f t="shared" si="359"/>
        <v>212200</v>
      </c>
      <c r="J733" s="2">
        <f t="shared" si="359"/>
        <v>0</v>
      </c>
      <c r="K733" s="14">
        <f t="shared" si="359"/>
        <v>0</v>
      </c>
      <c r="L733" s="2">
        <f t="shared" si="359"/>
        <v>0</v>
      </c>
      <c r="M733" s="2">
        <f t="shared" si="359"/>
        <v>755.7</v>
      </c>
      <c r="N733" s="2">
        <f t="shared" si="359"/>
        <v>4156350</v>
      </c>
      <c r="O733" s="2">
        <f t="shared" si="359"/>
        <v>0</v>
      </c>
      <c r="P733" s="2">
        <f t="shared" si="359"/>
        <v>0</v>
      </c>
      <c r="Q733" s="2">
        <f t="shared" si="359"/>
        <v>1014.5</v>
      </c>
      <c r="R733" s="2">
        <f t="shared" si="359"/>
        <v>3043500</v>
      </c>
      <c r="S733" s="2">
        <f t="shared" si="359"/>
        <v>0</v>
      </c>
      <c r="T733" s="2">
        <f t="shared" si="359"/>
        <v>0</v>
      </c>
      <c r="U733" s="2">
        <f t="shared" si="359"/>
        <v>200000</v>
      </c>
    </row>
    <row r="734" spans="1:22" ht="21.95" customHeight="1" x14ac:dyDescent="0.25">
      <c r="A734" s="37" t="s">
        <v>984</v>
      </c>
      <c r="B734" s="8" t="s">
        <v>289</v>
      </c>
      <c r="C734" s="2">
        <f t="shared" si="338"/>
        <v>3958220</v>
      </c>
      <c r="D734" s="3">
        <f t="shared" ref="D734:D735" si="360">SUM(E734:J734)</f>
        <v>785370</v>
      </c>
      <c r="E734" s="3">
        <f>350*334.2</f>
        <v>116970</v>
      </c>
      <c r="F734" s="3">
        <f>1050*334.2</f>
        <v>350910</v>
      </c>
      <c r="G734" s="3">
        <f>300*334.2</f>
        <v>100260</v>
      </c>
      <c r="H734" s="3">
        <f>400*334.2</f>
        <v>133680</v>
      </c>
      <c r="I734" s="3">
        <f>250*334.2</f>
        <v>83550</v>
      </c>
      <c r="J734" s="3">
        <v>0</v>
      </c>
      <c r="K734" s="4">
        <v>0</v>
      </c>
      <c r="L734" s="3">
        <v>0</v>
      </c>
      <c r="M734" s="3">
        <v>318.7</v>
      </c>
      <c r="N734" s="3">
        <f t="shared" ref="N734:N735" si="361">M734*5500</f>
        <v>1752850</v>
      </c>
      <c r="O734" s="3">
        <v>0</v>
      </c>
      <c r="P734" s="3">
        <v>0</v>
      </c>
      <c r="Q734" s="3">
        <v>440</v>
      </c>
      <c r="R734" s="3">
        <f t="shared" ref="R734:R735" si="362">Q734*3000</f>
        <v>1320000</v>
      </c>
      <c r="S734" s="3">
        <v>0</v>
      </c>
      <c r="T734" s="3">
        <v>0</v>
      </c>
      <c r="U734" s="3">
        <v>100000</v>
      </c>
      <c r="V734" s="6">
        <f t="shared" ref="V734:V735" si="363">N734/M734</f>
        <v>5500</v>
      </c>
    </row>
    <row r="735" spans="1:22" ht="21.95" customHeight="1" x14ac:dyDescent="0.25">
      <c r="A735" s="37" t="s">
        <v>985</v>
      </c>
      <c r="B735" s="8" t="s">
        <v>290</v>
      </c>
      <c r="C735" s="2">
        <f t="shared" si="338"/>
        <v>5436310</v>
      </c>
      <c r="D735" s="3">
        <f t="shared" si="360"/>
        <v>1209310</v>
      </c>
      <c r="E735" s="3">
        <f>350*514.6</f>
        <v>180110</v>
      </c>
      <c r="F735" s="3">
        <f>1050*514.6</f>
        <v>540330</v>
      </c>
      <c r="G735" s="3">
        <f>300*514.6</f>
        <v>154380</v>
      </c>
      <c r="H735" s="3">
        <f>400*514.6</f>
        <v>205840</v>
      </c>
      <c r="I735" s="3">
        <f>250*514.6</f>
        <v>128650</v>
      </c>
      <c r="J735" s="3">
        <v>0</v>
      </c>
      <c r="K735" s="4">
        <v>0</v>
      </c>
      <c r="L735" s="3">
        <v>0</v>
      </c>
      <c r="M735" s="3">
        <v>437</v>
      </c>
      <c r="N735" s="3">
        <f t="shared" si="361"/>
        <v>2403500</v>
      </c>
      <c r="O735" s="3">
        <v>0</v>
      </c>
      <c r="P735" s="3">
        <v>0</v>
      </c>
      <c r="Q735" s="3">
        <v>574.5</v>
      </c>
      <c r="R735" s="3">
        <f t="shared" si="362"/>
        <v>1723500</v>
      </c>
      <c r="S735" s="3">
        <v>0</v>
      </c>
      <c r="T735" s="3">
        <v>0</v>
      </c>
      <c r="U735" s="3">
        <v>100000</v>
      </c>
      <c r="V735" s="6">
        <f t="shared" si="363"/>
        <v>5500</v>
      </c>
    </row>
    <row r="736" spans="1:22" ht="45" customHeight="1" x14ac:dyDescent="0.25">
      <c r="A736" s="56" t="s">
        <v>291</v>
      </c>
      <c r="B736" s="56"/>
      <c r="C736" s="2">
        <f>SUM(C737:C746)</f>
        <v>35563010</v>
      </c>
      <c r="D736" s="2">
        <f t="shared" ref="D736:U736" si="364">SUM(D737:D746)</f>
        <v>3930810</v>
      </c>
      <c r="E736" s="2">
        <f t="shared" si="364"/>
        <v>705530</v>
      </c>
      <c r="F736" s="2">
        <f t="shared" si="364"/>
        <v>2116590</v>
      </c>
      <c r="G736" s="2">
        <f t="shared" si="364"/>
        <v>604740</v>
      </c>
      <c r="H736" s="2">
        <f t="shared" si="364"/>
        <v>0</v>
      </c>
      <c r="I736" s="2">
        <f t="shared" si="364"/>
        <v>503950</v>
      </c>
      <c r="J736" s="2">
        <f t="shared" si="364"/>
        <v>0</v>
      </c>
      <c r="K736" s="14">
        <f t="shared" si="364"/>
        <v>0</v>
      </c>
      <c r="L736" s="2">
        <f t="shared" si="364"/>
        <v>0</v>
      </c>
      <c r="M736" s="2">
        <f t="shared" si="364"/>
        <v>3200</v>
      </c>
      <c r="N736" s="2">
        <f t="shared" si="364"/>
        <v>17600000</v>
      </c>
      <c r="O736" s="2">
        <f t="shared" si="364"/>
        <v>0</v>
      </c>
      <c r="P736" s="2">
        <f t="shared" si="364"/>
        <v>0</v>
      </c>
      <c r="Q736" s="2">
        <f t="shared" si="364"/>
        <v>4577.3999999999996</v>
      </c>
      <c r="R736" s="2">
        <f t="shared" si="364"/>
        <v>13732200</v>
      </c>
      <c r="S736" s="2">
        <f t="shared" si="364"/>
        <v>0</v>
      </c>
      <c r="T736" s="2">
        <f t="shared" si="364"/>
        <v>0</v>
      </c>
      <c r="U736" s="2">
        <f t="shared" si="364"/>
        <v>300000</v>
      </c>
    </row>
    <row r="737" spans="1:22" ht="21.95" customHeight="1" x14ac:dyDescent="0.25">
      <c r="A737" s="37" t="s">
        <v>986</v>
      </c>
      <c r="B737" s="8" t="s">
        <v>292</v>
      </c>
      <c r="C737" s="2">
        <f t="shared" si="338"/>
        <v>2145000</v>
      </c>
      <c r="D737" s="3">
        <f t="shared" ref="D737:D745" si="365">SUM(E737:J737)</f>
        <v>0</v>
      </c>
      <c r="E737" s="3">
        <v>0</v>
      </c>
      <c r="F737" s="3">
        <v>0</v>
      </c>
      <c r="G737" s="3">
        <v>0</v>
      </c>
      <c r="H737" s="3">
        <v>0</v>
      </c>
      <c r="I737" s="3">
        <v>0</v>
      </c>
      <c r="J737" s="3">
        <v>0</v>
      </c>
      <c r="K737" s="4">
        <v>0</v>
      </c>
      <c r="L737" s="3">
        <v>0</v>
      </c>
      <c r="M737" s="3">
        <v>390</v>
      </c>
      <c r="N737" s="3">
        <f t="shared" ref="N737:N742" si="366">M737*5500</f>
        <v>2145000</v>
      </c>
      <c r="O737" s="3">
        <v>0</v>
      </c>
      <c r="P737" s="3">
        <v>0</v>
      </c>
      <c r="Q737" s="3">
        <v>0</v>
      </c>
      <c r="R737" s="3">
        <f t="shared" ref="R737:R745" si="367">Q737*3000</f>
        <v>0</v>
      </c>
      <c r="S737" s="3">
        <v>0</v>
      </c>
      <c r="T737" s="3">
        <v>0</v>
      </c>
      <c r="U737" s="3">
        <v>0</v>
      </c>
      <c r="V737" s="6">
        <f t="shared" ref="V737:V745" si="368">N737/M737</f>
        <v>5500</v>
      </c>
    </row>
    <row r="738" spans="1:22" ht="21.95" customHeight="1" x14ac:dyDescent="0.25">
      <c r="A738" s="37" t="s">
        <v>987</v>
      </c>
      <c r="B738" s="8" t="s">
        <v>293</v>
      </c>
      <c r="C738" s="2">
        <f t="shared" si="338"/>
        <v>2145000</v>
      </c>
      <c r="D738" s="3">
        <f t="shared" si="365"/>
        <v>0</v>
      </c>
      <c r="E738" s="3">
        <v>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4">
        <v>0</v>
      </c>
      <c r="L738" s="3">
        <v>0</v>
      </c>
      <c r="M738" s="3">
        <v>390</v>
      </c>
      <c r="N738" s="3">
        <f t="shared" si="366"/>
        <v>2145000</v>
      </c>
      <c r="O738" s="3">
        <v>0</v>
      </c>
      <c r="P738" s="3">
        <v>0</v>
      </c>
      <c r="Q738" s="3">
        <v>0</v>
      </c>
      <c r="R738" s="3">
        <f t="shared" si="367"/>
        <v>0</v>
      </c>
      <c r="S738" s="3">
        <v>0</v>
      </c>
      <c r="T738" s="3">
        <v>0</v>
      </c>
      <c r="U738" s="3">
        <v>0</v>
      </c>
      <c r="V738" s="6">
        <f t="shared" si="368"/>
        <v>5500</v>
      </c>
    </row>
    <row r="739" spans="1:22" ht="21.95" customHeight="1" x14ac:dyDescent="0.25">
      <c r="A739" s="37" t="s">
        <v>988</v>
      </c>
      <c r="B739" s="8" t="s">
        <v>296</v>
      </c>
      <c r="C739" s="2">
        <f t="shared" si="338"/>
        <v>4824500</v>
      </c>
      <c r="D739" s="3">
        <f t="shared" si="365"/>
        <v>0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4">
        <v>0</v>
      </c>
      <c r="L739" s="3">
        <v>0</v>
      </c>
      <c r="M739" s="3">
        <v>419</v>
      </c>
      <c r="N739" s="3">
        <f t="shared" si="366"/>
        <v>2304500</v>
      </c>
      <c r="O739" s="3">
        <v>0</v>
      </c>
      <c r="P739" s="3">
        <v>0</v>
      </c>
      <c r="Q739" s="3">
        <v>840</v>
      </c>
      <c r="R739" s="3">
        <f t="shared" si="367"/>
        <v>2520000</v>
      </c>
      <c r="S739" s="3">
        <v>0</v>
      </c>
      <c r="T739" s="3">
        <v>0</v>
      </c>
      <c r="U739" s="3">
        <v>0</v>
      </c>
      <c r="V739" s="6">
        <f t="shared" si="368"/>
        <v>5500</v>
      </c>
    </row>
    <row r="740" spans="1:22" ht="21.95" customHeight="1" x14ac:dyDescent="0.25">
      <c r="A740" s="37" t="s">
        <v>989</v>
      </c>
      <c r="B740" s="8" t="s">
        <v>297</v>
      </c>
      <c r="C740" s="2">
        <f t="shared" si="338"/>
        <v>4868500</v>
      </c>
      <c r="D740" s="3">
        <f t="shared" si="365"/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4">
        <v>0</v>
      </c>
      <c r="L740" s="3">
        <v>0</v>
      </c>
      <c r="M740" s="3">
        <v>427</v>
      </c>
      <c r="N740" s="3">
        <f t="shared" si="366"/>
        <v>2348500</v>
      </c>
      <c r="O740" s="3">
        <v>0</v>
      </c>
      <c r="P740" s="3">
        <v>0</v>
      </c>
      <c r="Q740" s="3">
        <v>840</v>
      </c>
      <c r="R740" s="3">
        <f t="shared" si="367"/>
        <v>2520000</v>
      </c>
      <c r="S740" s="3">
        <v>0</v>
      </c>
      <c r="T740" s="3">
        <v>0</v>
      </c>
      <c r="U740" s="3">
        <v>0</v>
      </c>
      <c r="V740" s="6">
        <f t="shared" si="368"/>
        <v>5500</v>
      </c>
    </row>
    <row r="741" spans="1:22" ht="21.95" customHeight="1" x14ac:dyDescent="0.25">
      <c r="A741" s="37" t="s">
        <v>990</v>
      </c>
      <c r="B741" s="8" t="s">
        <v>298</v>
      </c>
      <c r="C741" s="2">
        <f t="shared" si="338"/>
        <v>6040760</v>
      </c>
      <c r="D741" s="3">
        <f t="shared" si="365"/>
        <v>1105260</v>
      </c>
      <c r="E741" s="3">
        <f>350*566.8</f>
        <v>198379.99999999997</v>
      </c>
      <c r="F741" s="3">
        <f>1050*566.8</f>
        <v>595140</v>
      </c>
      <c r="G741" s="3">
        <f>300*566.8</f>
        <v>170040</v>
      </c>
      <c r="H741" s="3">
        <f>400*0</f>
        <v>0</v>
      </c>
      <c r="I741" s="3">
        <f>250*566.8</f>
        <v>141700</v>
      </c>
      <c r="J741" s="3">
        <v>0</v>
      </c>
      <c r="K741" s="4">
        <v>0</v>
      </c>
      <c r="L741" s="3">
        <v>0</v>
      </c>
      <c r="M741" s="3">
        <v>421</v>
      </c>
      <c r="N741" s="3">
        <f t="shared" si="366"/>
        <v>2315500</v>
      </c>
      <c r="O741" s="3">
        <v>0</v>
      </c>
      <c r="P741" s="3">
        <v>0</v>
      </c>
      <c r="Q741" s="3">
        <v>840</v>
      </c>
      <c r="R741" s="3">
        <f t="shared" si="367"/>
        <v>2520000</v>
      </c>
      <c r="S741" s="3">
        <v>0</v>
      </c>
      <c r="T741" s="3">
        <v>0</v>
      </c>
      <c r="U741" s="3">
        <v>100000</v>
      </c>
      <c r="V741" s="6">
        <f t="shared" si="368"/>
        <v>5500</v>
      </c>
    </row>
    <row r="742" spans="1:22" ht="21.95" customHeight="1" x14ac:dyDescent="0.25">
      <c r="A742" s="37" t="s">
        <v>991</v>
      </c>
      <c r="B742" s="8" t="s">
        <v>299</v>
      </c>
      <c r="C742" s="2">
        <f t="shared" si="338"/>
        <v>2255000</v>
      </c>
      <c r="D742" s="3">
        <f t="shared" si="365"/>
        <v>0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4">
        <v>0</v>
      </c>
      <c r="L742" s="3">
        <v>0</v>
      </c>
      <c r="M742" s="3">
        <v>410</v>
      </c>
      <c r="N742" s="3">
        <f t="shared" si="366"/>
        <v>2255000</v>
      </c>
      <c r="O742" s="3">
        <v>0</v>
      </c>
      <c r="P742" s="3">
        <v>0</v>
      </c>
      <c r="Q742" s="3">
        <v>0</v>
      </c>
      <c r="R742" s="3">
        <f t="shared" si="367"/>
        <v>0</v>
      </c>
      <c r="S742" s="3">
        <v>0</v>
      </c>
      <c r="T742" s="3">
        <v>0</v>
      </c>
      <c r="U742" s="3">
        <v>0</v>
      </c>
      <c r="V742" s="6">
        <f t="shared" si="368"/>
        <v>5500</v>
      </c>
    </row>
    <row r="743" spans="1:22" ht="23.1" customHeight="1" x14ac:dyDescent="0.25">
      <c r="A743" s="37" t="s">
        <v>992</v>
      </c>
      <c r="B743" s="8" t="s">
        <v>300</v>
      </c>
      <c r="C743" s="2">
        <f>D743+L743+N743+P743+R743+S743+T743+U743</f>
        <v>5941465</v>
      </c>
      <c r="D743" s="3">
        <f>SUM(E743:J743)</f>
        <v>746265</v>
      </c>
      <c r="E743" s="3">
        <f>350*382.7</f>
        <v>133945</v>
      </c>
      <c r="F743" s="3">
        <f>1050*382.7</f>
        <v>401835</v>
      </c>
      <c r="G743" s="3">
        <f>300*382.7</f>
        <v>114810</v>
      </c>
      <c r="H743" s="3">
        <f>400*0</f>
        <v>0</v>
      </c>
      <c r="I743" s="3">
        <f>250*382.7</f>
        <v>95675</v>
      </c>
      <c r="J743" s="3">
        <v>0</v>
      </c>
      <c r="K743" s="4">
        <v>0</v>
      </c>
      <c r="L743" s="3">
        <v>0</v>
      </c>
      <c r="M743" s="3">
        <v>448</v>
      </c>
      <c r="N743" s="3">
        <f>M743*5500</f>
        <v>2464000</v>
      </c>
      <c r="O743" s="3">
        <v>0</v>
      </c>
      <c r="P743" s="3">
        <v>0</v>
      </c>
      <c r="Q743" s="3">
        <v>910.4</v>
      </c>
      <c r="R743" s="3">
        <f>Q743*3000</f>
        <v>2731200</v>
      </c>
      <c r="S743" s="3">
        <v>0</v>
      </c>
      <c r="T743" s="3">
        <v>0</v>
      </c>
      <c r="U743" s="3">
        <v>0</v>
      </c>
      <c r="V743" s="6">
        <f>N743/M743</f>
        <v>5500</v>
      </c>
    </row>
    <row r="744" spans="1:22" ht="21.95" customHeight="1" x14ac:dyDescent="0.25">
      <c r="A744" s="37" t="s">
        <v>1628</v>
      </c>
      <c r="B744" s="8" t="s">
        <v>301</v>
      </c>
      <c r="C744" s="2">
        <f t="shared" si="338"/>
        <v>2893690</v>
      </c>
      <c r="D744" s="3">
        <f t="shared" si="365"/>
        <v>1041690</v>
      </c>
      <c r="E744" s="3">
        <f>350*534.2</f>
        <v>186970.00000000003</v>
      </c>
      <c r="F744" s="3">
        <f>1050*534.2</f>
        <v>560910</v>
      </c>
      <c r="G744" s="3">
        <f>300*534.2</f>
        <v>160260</v>
      </c>
      <c r="H744" s="3">
        <f>400*0</f>
        <v>0</v>
      </c>
      <c r="I744" s="3">
        <f>250*534.2</f>
        <v>133550</v>
      </c>
      <c r="J744" s="3">
        <v>0</v>
      </c>
      <c r="K744" s="4">
        <v>0</v>
      </c>
      <c r="L744" s="3">
        <v>0</v>
      </c>
      <c r="M744" s="3">
        <v>0</v>
      </c>
      <c r="N744" s="3">
        <v>0</v>
      </c>
      <c r="O744" s="3">
        <v>0</v>
      </c>
      <c r="P744" s="3">
        <v>0</v>
      </c>
      <c r="Q744" s="3">
        <v>584</v>
      </c>
      <c r="R744" s="3">
        <f t="shared" si="367"/>
        <v>1752000</v>
      </c>
      <c r="S744" s="3">
        <v>0</v>
      </c>
      <c r="T744" s="3">
        <v>0</v>
      </c>
      <c r="U744" s="3">
        <v>100000</v>
      </c>
      <c r="V744" s="6" t="e">
        <f t="shared" si="368"/>
        <v>#DIV/0!</v>
      </c>
    </row>
    <row r="745" spans="1:22" ht="21.95" customHeight="1" x14ac:dyDescent="0.25">
      <c r="A745" s="37" t="s">
        <v>993</v>
      </c>
      <c r="B745" s="8" t="s">
        <v>303</v>
      </c>
      <c r="C745" s="2">
        <f t="shared" si="338"/>
        <v>2826595</v>
      </c>
      <c r="D745" s="3">
        <f t="shared" si="365"/>
        <v>1037595</v>
      </c>
      <c r="E745" s="3">
        <f>350*532.1</f>
        <v>186235</v>
      </c>
      <c r="F745" s="3">
        <f>1050*532.1</f>
        <v>558705</v>
      </c>
      <c r="G745" s="3">
        <f>300*532.1</f>
        <v>159630</v>
      </c>
      <c r="H745" s="3">
        <f>400*0</f>
        <v>0</v>
      </c>
      <c r="I745" s="3">
        <f>250*532.1</f>
        <v>133025</v>
      </c>
      <c r="J745" s="3">
        <v>0</v>
      </c>
      <c r="K745" s="4">
        <v>0</v>
      </c>
      <c r="L745" s="3">
        <v>0</v>
      </c>
      <c r="M745" s="3">
        <v>0</v>
      </c>
      <c r="N745" s="3">
        <v>0</v>
      </c>
      <c r="O745" s="3">
        <v>0</v>
      </c>
      <c r="P745" s="3">
        <v>0</v>
      </c>
      <c r="Q745" s="3">
        <v>563</v>
      </c>
      <c r="R745" s="3">
        <f t="shared" si="367"/>
        <v>1689000</v>
      </c>
      <c r="S745" s="3">
        <v>0</v>
      </c>
      <c r="T745" s="3">
        <v>0</v>
      </c>
      <c r="U745" s="3">
        <v>100000</v>
      </c>
      <c r="V745" s="6" t="e">
        <f t="shared" si="368"/>
        <v>#DIV/0!</v>
      </c>
    </row>
    <row r="746" spans="1:22" ht="21.95" customHeight="1" x14ac:dyDescent="0.25">
      <c r="A746" s="37" t="s">
        <v>1571</v>
      </c>
      <c r="B746" s="8" t="s">
        <v>302</v>
      </c>
      <c r="C746" s="2">
        <f>D746+L746+N746+P746+R746+S746+T746+U746</f>
        <v>1622500</v>
      </c>
      <c r="D746" s="3">
        <f>SUM(E746:J746)</f>
        <v>0</v>
      </c>
      <c r="E746" s="3">
        <v>0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">
        <v>0</v>
      </c>
      <c r="L746" s="3">
        <v>0</v>
      </c>
      <c r="M746" s="3">
        <v>295</v>
      </c>
      <c r="N746" s="3">
        <f t="shared" ref="N746" si="369">M746*5500</f>
        <v>1622500</v>
      </c>
      <c r="O746" s="3">
        <v>0</v>
      </c>
      <c r="P746" s="3">
        <v>0</v>
      </c>
      <c r="Q746" s="3">
        <v>0</v>
      </c>
      <c r="R746" s="3">
        <f>Q746*3000</f>
        <v>0</v>
      </c>
      <c r="S746" s="3">
        <v>0</v>
      </c>
      <c r="T746" s="3">
        <v>0</v>
      </c>
      <c r="U746" s="3">
        <v>0</v>
      </c>
      <c r="V746" s="6">
        <f>N746/M746</f>
        <v>5500</v>
      </c>
    </row>
    <row r="747" spans="1:22" ht="45" customHeight="1" x14ac:dyDescent="0.25">
      <c r="A747" s="56" t="s">
        <v>309</v>
      </c>
      <c r="B747" s="56"/>
      <c r="C747" s="2">
        <f>SUM(C748)</f>
        <v>3772924</v>
      </c>
      <c r="D747" s="2">
        <f t="shared" ref="D747:U747" si="370">SUM(D748)</f>
        <v>184184</v>
      </c>
      <c r="E747" s="2">
        <f t="shared" si="370"/>
        <v>184184</v>
      </c>
      <c r="F747" s="2">
        <f t="shared" si="370"/>
        <v>0</v>
      </c>
      <c r="G747" s="2">
        <f t="shared" si="370"/>
        <v>0</v>
      </c>
      <c r="H747" s="2">
        <f t="shared" si="370"/>
        <v>0</v>
      </c>
      <c r="I747" s="2">
        <f t="shared" si="370"/>
        <v>0</v>
      </c>
      <c r="J747" s="2">
        <f t="shared" si="370"/>
        <v>0</v>
      </c>
      <c r="K747" s="14">
        <f t="shared" si="370"/>
        <v>0</v>
      </c>
      <c r="L747" s="2">
        <f t="shared" si="370"/>
        <v>0</v>
      </c>
      <c r="M747" s="2">
        <f t="shared" si="370"/>
        <v>355.2</v>
      </c>
      <c r="N747" s="2">
        <f t="shared" si="370"/>
        <v>1953600</v>
      </c>
      <c r="O747" s="2">
        <f t="shared" si="370"/>
        <v>0</v>
      </c>
      <c r="P747" s="2">
        <f t="shared" si="370"/>
        <v>0</v>
      </c>
      <c r="Q747" s="2">
        <f t="shared" si="370"/>
        <v>428.4</v>
      </c>
      <c r="R747" s="2">
        <f t="shared" si="370"/>
        <v>1285200</v>
      </c>
      <c r="S747" s="2">
        <f t="shared" si="370"/>
        <v>149940</v>
      </c>
      <c r="T747" s="2">
        <f t="shared" si="370"/>
        <v>0</v>
      </c>
      <c r="U747" s="2">
        <f t="shared" si="370"/>
        <v>200000</v>
      </c>
    </row>
    <row r="748" spans="1:22" ht="21.95" customHeight="1" x14ac:dyDescent="0.25">
      <c r="A748" s="36" t="s">
        <v>994</v>
      </c>
      <c r="B748" s="8" t="s">
        <v>313</v>
      </c>
      <c r="C748" s="2">
        <f t="shared" ref="C748:C787" si="371">D748+L748+N748+P748+R748+S748+T748+U748</f>
        <v>3772924</v>
      </c>
      <c r="D748" s="3">
        <f t="shared" ref="D748" si="372">SUM(E748:J748)</f>
        <v>184184</v>
      </c>
      <c r="E748" s="5">
        <f>526.24*350</f>
        <v>184184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11">
        <v>0</v>
      </c>
      <c r="L748" s="5">
        <v>0</v>
      </c>
      <c r="M748" s="5">
        <v>355.2</v>
      </c>
      <c r="N748" s="3">
        <f t="shared" ref="N748" si="373">M748*5500</f>
        <v>1953600</v>
      </c>
      <c r="O748" s="5">
        <v>0</v>
      </c>
      <c r="P748" s="5">
        <v>0</v>
      </c>
      <c r="Q748" s="5">
        <v>428.4</v>
      </c>
      <c r="R748" s="3">
        <f>Q748*3000</f>
        <v>1285200</v>
      </c>
      <c r="S748" s="5">
        <v>149940</v>
      </c>
      <c r="T748" s="5">
        <v>0</v>
      </c>
      <c r="U748" s="5">
        <v>200000</v>
      </c>
      <c r="V748" s="6">
        <f t="shared" ref="V748" si="374">N748/M748</f>
        <v>5500</v>
      </c>
    </row>
    <row r="749" spans="1:22" ht="45" customHeight="1" x14ac:dyDescent="0.25">
      <c r="A749" s="56" t="s">
        <v>314</v>
      </c>
      <c r="B749" s="56"/>
      <c r="C749" s="2">
        <f>SUM(C750:C752)</f>
        <v>10027195</v>
      </c>
      <c r="D749" s="2">
        <f t="shared" ref="D749:U749" si="375">SUM(D750:D752)</f>
        <v>507325</v>
      </c>
      <c r="E749" s="2">
        <f t="shared" si="375"/>
        <v>507325</v>
      </c>
      <c r="F749" s="2">
        <f t="shared" si="375"/>
        <v>0</v>
      </c>
      <c r="G749" s="2">
        <f t="shared" si="375"/>
        <v>0</v>
      </c>
      <c r="H749" s="2">
        <f t="shared" si="375"/>
        <v>0</v>
      </c>
      <c r="I749" s="2">
        <f t="shared" si="375"/>
        <v>0</v>
      </c>
      <c r="J749" s="2">
        <f t="shared" si="375"/>
        <v>0</v>
      </c>
      <c r="K749" s="14">
        <f t="shared" si="375"/>
        <v>0</v>
      </c>
      <c r="L749" s="2">
        <f t="shared" si="375"/>
        <v>0</v>
      </c>
      <c r="M749" s="2">
        <f t="shared" si="375"/>
        <v>900</v>
      </c>
      <c r="N749" s="2">
        <f t="shared" si="375"/>
        <v>4950000</v>
      </c>
      <c r="O749" s="2">
        <f t="shared" si="375"/>
        <v>0</v>
      </c>
      <c r="P749" s="2">
        <f t="shared" si="375"/>
        <v>0</v>
      </c>
      <c r="Q749" s="2">
        <f t="shared" si="375"/>
        <v>1287</v>
      </c>
      <c r="R749" s="2">
        <f t="shared" si="375"/>
        <v>3861000</v>
      </c>
      <c r="S749" s="2">
        <f t="shared" si="375"/>
        <v>408870</v>
      </c>
      <c r="T749" s="2">
        <f t="shared" si="375"/>
        <v>0</v>
      </c>
      <c r="U749" s="2">
        <f t="shared" si="375"/>
        <v>300000</v>
      </c>
    </row>
    <row r="750" spans="1:22" ht="21.95" customHeight="1" x14ac:dyDescent="0.25">
      <c r="A750" s="36" t="s">
        <v>995</v>
      </c>
      <c r="B750" s="8" t="s">
        <v>315</v>
      </c>
      <c r="C750" s="2">
        <f t="shared" si="371"/>
        <v>3229120</v>
      </c>
      <c r="D750" s="3">
        <f t="shared" ref="D750:D752" si="376">SUM(E750:J750)</f>
        <v>205800</v>
      </c>
      <c r="E750" s="5">
        <f>588*350</f>
        <v>205800</v>
      </c>
      <c r="F750" s="5">
        <v>0</v>
      </c>
      <c r="G750" s="5">
        <v>0</v>
      </c>
      <c r="H750" s="5">
        <v>0</v>
      </c>
      <c r="I750" s="5">
        <v>0</v>
      </c>
      <c r="J750" s="5">
        <v>0</v>
      </c>
      <c r="K750" s="11">
        <v>0</v>
      </c>
      <c r="L750" s="5">
        <v>0</v>
      </c>
      <c r="M750" s="5">
        <v>270</v>
      </c>
      <c r="N750" s="3">
        <f t="shared" ref="N750:N752" si="377">M750*5500</f>
        <v>1485000</v>
      </c>
      <c r="O750" s="5">
        <v>0</v>
      </c>
      <c r="P750" s="5">
        <v>0</v>
      </c>
      <c r="Q750" s="5">
        <v>431</v>
      </c>
      <c r="R750" s="3">
        <f t="shared" ref="R750:R752" si="378">Q750*3000</f>
        <v>1293000</v>
      </c>
      <c r="S750" s="5">
        <v>145320</v>
      </c>
      <c r="T750" s="5">
        <v>0</v>
      </c>
      <c r="U750" s="3">
        <v>100000</v>
      </c>
      <c r="V750" s="6">
        <f t="shared" ref="V750:V752" si="379">N750/M750</f>
        <v>5500</v>
      </c>
    </row>
    <row r="751" spans="1:22" ht="21.95" customHeight="1" x14ac:dyDescent="0.25">
      <c r="A751" s="36" t="s">
        <v>996</v>
      </c>
      <c r="B751" s="8" t="s">
        <v>316</v>
      </c>
      <c r="C751" s="2">
        <f t="shared" si="371"/>
        <v>2222900</v>
      </c>
      <c r="D751" s="3">
        <f t="shared" si="376"/>
        <v>107800</v>
      </c>
      <c r="E751" s="5">
        <f>308*350</f>
        <v>107800</v>
      </c>
      <c r="F751" s="5">
        <v>0</v>
      </c>
      <c r="G751" s="5">
        <v>0</v>
      </c>
      <c r="H751" s="5">
        <v>0</v>
      </c>
      <c r="I751" s="5">
        <v>0</v>
      </c>
      <c r="J751" s="5">
        <v>0</v>
      </c>
      <c r="K751" s="11">
        <v>0</v>
      </c>
      <c r="L751" s="5">
        <v>0</v>
      </c>
      <c r="M751" s="5">
        <v>180</v>
      </c>
      <c r="N751" s="3">
        <f t="shared" si="377"/>
        <v>990000</v>
      </c>
      <c r="O751" s="5">
        <v>0</v>
      </c>
      <c r="P751" s="5">
        <v>0</v>
      </c>
      <c r="Q751" s="5">
        <v>306</v>
      </c>
      <c r="R751" s="3">
        <f t="shared" si="378"/>
        <v>918000</v>
      </c>
      <c r="S751" s="5">
        <v>107100</v>
      </c>
      <c r="T751" s="5">
        <v>0</v>
      </c>
      <c r="U751" s="3">
        <v>100000</v>
      </c>
      <c r="V751" s="6">
        <f t="shared" si="379"/>
        <v>5500</v>
      </c>
    </row>
    <row r="752" spans="1:22" ht="21.95" customHeight="1" x14ac:dyDescent="0.25">
      <c r="A752" s="36" t="s">
        <v>997</v>
      </c>
      <c r="B752" s="8" t="s">
        <v>318</v>
      </c>
      <c r="C752" s="2">
        <f t="shared" si="371"/>
        <v>4575175</v>
      </c>
      <c r="D752" s="3">
        <f t="shared" si="376"/>
        <v>193725</v>
      </c>
      <c r="E752" s="3">
        <f>553.5*350</f>
        <v>193725</v>
      </c>
      <c r="F752" s="5">
        <v>0</v>
      </c>
      <c r="G752" s="5">
        <v>0</v>
      </c>
      <c r="H752" s="5">
        <v>0</v>
      </c>
      <c r="I752" s="5">
        <v>0</v>
      </c>
      <c r="J752" s="5">
        <v>0</v>
      </c>
      <c r="K752" s="4">
        <v>0</v>
      </c>
      <c r="L752" s="3">
        <v>0</v>
      </c>
      <c r="M752" s="5">
        <v>450</v>
      </c>
      <c r="N752" s="3">
        <f t="shared" si="377"/>
        <v>2475000</v>
      </c>
      <c r="O752" s="3">
        <v>0</v>
      </c>
      <c r="P752" s="3">
        <v>0</v>
      </c>
      <c r="Q752" s="3">
        <v>550</v>
      </c>
      <c r="R752" s="3">
        <f t="shared" si="378"/>
        <v>1650000</v>
      </c>
      <c r="S752" s="3">
        <v>156450</v>
      </c>
      <c r="T752" s="3">
        <v>0</v>
      </c>
      <c r="U752" s="3">
        <v>100000</v>
      </c>
      <c r="V752" s="6">
        <f t="shared" si="379"/>
        <v>5500</v>
      </c>
    </row>
    <row r="753" spans="1:22" ht="45" customHeight="1" x14ac:dyDescent="0.25">
      <c r="A753" s="56" t="s">
        <v>1163</v>
      </c>
      <c r="B753" s="56"/>
      <c r="C753" s="2">
        <f>SUM(C754)</f>
        <v>2644400</v>
      </c>
      <c r="D753" s="2">
        <f t="shared" ref="D753:U753" si="380">SUM(D754)</f>
        <v>490000</v>
      </c>
      <c r="E753" s="2">
        <f t="shared" si="380"/>
        <v>122500</v>
      </c>
      <c r="F753" s="2">
        <f t="shared" si="380"/>
        <v>367500</v>
      </c>
      <c r="G753" s="2">
        <f t="shared" si="380"/>
        <v>0</v>
      </c>
      <c r="H753" s="2">
        <f t="shared" si="380"/>
        <v>0</v>
      </c>
      <c r="I753" s="2">
        <f t="shared" si="380"/>
        <v>0</v>
      </c>
      <c r="J753" s="2">
        <f t="shared" si="380"/>
        <v>0</v>
      </c>
      <c r="K753" s="14">
        <f t="shared" si="380"/>
        <v>0</v>
      </c>
      <c r="L753" s="2">
        <f t="shared" si="380"/>
        <v>0</v>
      </c>
      <c r="M753" s="2">
        <f t="shared" si="380"/>
        <v>240</v>
      </c>
      <c r="N753" s="2">
        <f t="shared" si="380"/>
        <v>1320000</v>
      </c>
      <c r="O753" s="2">
        <f t="shared" si="380"/>
        <v>0</v>
      </c>
      <c r="P753" s="2">
        <f t="shared" si="380"/>
        <v>0</v>
      </c>
      <c r="Q753" s="2">
        <f t="shared" si="380"/>
        <v>244.8</v>
      </c>
      <c r="R753" s="2">
        <f t="shared" si="380"/>
        <v>734400</v>
      </c>
      <c r="S753" s="2">
        <f t="shared" si="380"/>
        <v>0</v>
      </c>
      <c r="T753" s="2">
        <f t="shared" si="380"/>
        <v>0</v>
      </c>
      <c r="U753" s="2">
        <f t="shared" si="380"/>
        <v>100000</v>
      </c>
    </row>
    <row r="754" spans="1:22" ht="21.95" customHeight="1" x14ac:dyDescent="0.25">
      <c r="A754" s="37" t="s">
        <v>998</v>
      </c>
      <c r="B754" s="8" t="s">
        <v>323</v>
      </c>
      <c r="C754" s="2">
        <f t="shared" si="371"/>
        <v>2644400</v>
      </c>
      <c r="D754" s="3">
        <f t="shared" ref="D754" si="381">SUM(E754:J754)</f>
        <v>490000</v>
      </c>
      <c r="E754" s="3">
        <f>350*350</f>
        <v>122500</v>
      </c>
      <c r="F754" s="3">
        <f>1050*350</f>
        <v>367500</v>
      </c>
      <c r="G754" s="3">
        <f>350*0</f>
        <v>0</v>
      </c>
      <c r="H754" s="3">
        <f>400*0</f>
        <v>0</v>
      </c>
      <c r="I754" s="3">
        <f>250*0</f>
        <v>0</v>
      </c>
      <c r="J754" s="3">
        <v>0</v>
      </c>
      <c r="K754" s="4">
        <v>0</v>
      </c>
      <c r="L754" s="3">
        <v>0</v>
      </c>
      <c r="M754" s="3">
        <v>240</v>
      </c>
      <c r="N754" s="3">
        <f t="shared" ref="N754" si="382">M754*5500</f>
        <v>1320000</v>
      </c>
      <c r="O754" s="3">
        <v>0</v>
      </c>
      <c r="P754" s="3">
        <v>0</v>
      </c>
      <c r="Q754" s="3">
        <v>244.8</v>
      </c>
      <c r="R754" s="3">
        <f>Q754*3000</f>
        <v>734400</v>
      </c>
      <c r="S754" s="3">
        <v>0</v>
      </c>
      <c r="T754" s="3">
        <v>0</v>
      </c>
      <c r="U754" s="3">
        <v>100000</v>
      </c>
      <c r="V754" s="6">
        <f t="shared" ref="V754" si="383">N754/M754</f>
        <v>5500</v>
      </c>
    </row>
    <row r="755" spans="1:22" ht="45" customHeight="1" x14ac:dyDescent="0.25">
      <c r="A755" s="56" t="s">
        <v>326</v>
      </c>
      <c r="B755" s="56"/>
      <c r="C755" s="2">
        <f>SUM(C756:C758)</f>
        <v>12508100</v>
      </c>
      <c r="D755" s="2">
        <f t="shared" ref="D755:U755" si="384">SUM(D756:D758)</f>
        <v>329000</v>
      </c>
      <c r="E755" s="2">
        <f t="shared" si="384"/>
        <v>329000</v>
      </c>
      <c r="F755" s="2">
        <f t="shared" si="384"/>
        <v>0</v>
      </c>
      <c r="G755" s="2">
        <f t="shared" si="384"/>
        <v>0</v>
      </c>
      <c r="H755" s="2">
        <f t="shared" si="384"/>
        <v>0</v>
      </c>
      <c r="I755" s="2">
        <f t="shared" si="384"/>
        <v>0</v>
      </c>
      <c r="J755" s="2">
        <f t="shared" si="384"/>
        <v>0</v>
      </c>
      <c r="K755" s="14">
        <f t="shared" si="384"/>
        <v>0</v>
      </c>
      <c r="L755" s="2">
        <f t="shared" si="384"/>
        <v>0</v>
      </c>
      <c r="M755" s="2">
        <f t="shared" si="384"/>
        <v>1704.2</v>
      </c>
      <c r="N755" s="2">
        <f t="shared" si="384"/>
        <v>9373100</v>
      </c>
      <c r="O755" s="2">
        <f t="shared" si="384"/>
        <v>0</v>
      </c>
      <c r="P755" s="2">
        <f t="shared" si="384"/>
        <v>0</v>
      </c>
      <c r="Q755" s="2">
        <f t="shared" si="384"/>
        <v>809.6</v>
      </c>
      <c r="R755" s="2">
        <f t="shared" si="384"/>
        <v>2428800</v>
      </c>
      <c r="S755" s="2">
        <f t="shared" si="384"/>
        <v>277200</v>
      </c>
      <c r="T755" s="2">
        <f t="shared" si="384"/>
        <v>0</v>
      </c>
      <c r="U755" s="2">
        <f t="shared" si="384"/>
        <v>100000</v>
      </c>
    </row>
    <row r="756" spans="1:22" ht="21.95" customHeight="1" x14ac:dyDescent="0.25">
      <c r="A756" s="37" t="s">
        <v>999</v>
      </c>
      <c r="B756" s="8" t="s">
        <v>327</v>
      </c>
      <c r="C756" s="2">
        <f t="shared" si="371"/>
        <v>6744100</v>
      </c>
      <c r="D756" s="3">
        <f t="shared" ref="D756:D758" si="385">SUM(E756:J756)</f>
        <v>329000</v>
      </c>
      <c r="E756" s="3">
        <f>350*940</f>
        <v>329000</v>
      </c>
      <c r="F756" s="3">
        <v>0</v>
      </c>
      <c r="G756" s="3">
        <f>350*0</f>
        <v>0</v>
      </c>
      <c r="H756" s="3">
        <f>400*0</f>
        <v>0</v>
      </c>
      <c r="I756" s="3">
        <f>250*0</f>
        <v>0</v>
      </c>
      <c r="J756" s="3">
        <v>0</v>
      </c>
      <c r="K756" s="4">
        <v>0</v>
      </c>
      <c r="L756" s="3">
        <v>0</v>
      </c>
      <c r="M756" s="3">
        <v>656.2</v>
      </c>
      <c r="N756" s="3">
        <f t="shared" ref="N756:N757" si="386">M756*5500</f>
        <v>3609100.0000000005</v>
      </c>
      <c r="O756" s="3">
        <v>0</v>
      </c>
      <c r="P756" s="3">
        <v>0</v>
      </c>
      <c r="Q756" s="3">
        <v>809.6</v>
      </c>
      <c r="R756" s="3">
        <f t="shared" ref="R756:R758" si="387">Q756*3000</f>
        <v>2428800</v>
      </c>
      <c r="S756" s="3">
        <v>277200</v>
      </c>
      <c r="T756" s="3">
        <v>0</v>
      </c>
      <c r="U756" s="3">
        <v>100000</v>
      </c>
      <c r="V756" s="6">
        <f t="shared" ref="V756:V758" si="388">N756/M756</f>
        <v>5500</v>
      </c>
    </row>
    <row r="757" spans="1:22" ht="21.95" customHeight="1" x14ac:dyDescent="0.25">
      <c r="A757" s="37" t="s">
        <v>1000</v>
      </c>
      <c r="B757" s="8" t="s">
        <v>1167</v>
      </c>
      <c r="C757" s="2">
        <f t="shared" si="371"/>
        <v>3514500</v>
      </c>
      <c r="D757" s="3">
        <f t="shared" si="385"/>
        <v>0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4">
        <v>0</v>
      </c>
      <c r="L757" s="3">
        <v>0</v>
      </c>
      <c r="M757" s="3">
        <v>639</v>
      </c>
      <c r="N757" s="3">
        <f t="shared" si="386"/>
        <v>3514500</v>
      </c>
      <c r="O757" s="3">
        <v>0</v>
      </c>
      <c r="P757" s="3">
        <v>0</v>
      </c>
      <c r="Q757" s="3">
        <v>0</v>
      </c>
      <c r="R757" s="3">
        <f t="shared" si="387"/>
        <v>0</v>
      </c>
      <c r="S757" s="3">
        <v>0</v>
      </c>
      <c r="T757" s="3">
        <v>0</v>
      </c>
      <c r="U757" s="3">
        <v>0</v>
      </c>
      <c r="V757" s="6">
        <f t="shared" si="388"/>
        <v>5500</v>
      </c>
    </row>
    <row r="758" spans="1:22" ht="21.95" customHeight="1" x14ac:dyDescent="0.25">
      <c r="A758" s="37" t="s">
        <v>1001</v>
      </c>
      <c r="B758" s="8" t="s">
        <v>328</v>
      </c>
      <c r="C758" s="2">
        <f t="shared" si="371"/>
        <v>2249500</v>
      </c>
      <c r="D758" s="3">
        <f t="shared" si="385"/>
        <v>0</v>
      </c>
      <c r="E758" s="3">
        <v>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4">
        <v>0</v>
      </c>
      <c r="L758" s="3">
        <v>0</v>
      </c>
      <c r="M758" s="3">
        <v>409</v>
      </c>
      <c r="N758" s="3">
        <f t="shared" ref="N758" si="389">M758*5500</f>
        <v>2249500</v>
      </c>
      <c r="O758" s="3">
        <v>0</v>
      </c>
      <c r="P758" s="3">
        <v>0</v>
      </c>
      <c r="Q758" s="3">
        <v>0</v>
      </c>
      <c r="R758" s="3">
        <f t="shared" si="387"/>
        <v>0</v>
      </c>
      <c r="S758" s="3">
        <v>0</v>
      </c>
      <c r="T758" s="3">
        <v>0</v>
      </c>
      <c r="U758" s="3">
        <v>0</v>
      </c>
      <c r="V758" s="6">
        <f t="shared" si="388"/>
        <v>5500</v>
      </c>
    </row>
    <row r="759" spans="1:22" ht="45" customHeight="1" x14ac:dyDescent="0.25">
      <c r="A759" s="56" t="s">
        <v>330</v>
      </c>
      <c r="B759" s="56"/>
      <c r="C759" s="2">
        <f>SUM(C760)</f>
        <v>4310000</v>
      </c>
      <c r="D759" s="2">
        <f t="shared" ref="D759:U759" si="390">SUM(D760)</f>
        <v>0</v>
      </c>
      <c r="E759" s="2">
        <f t="shared" si="390"/>
        <v>0</v>
      </c>
      <c r="F759" s="2">
        <f t="shared" si="390"/>
        <v>0</v>
      </c>
      <c r="G759" s="2">
        <f t="shared" si="390"/>
        <v>0</v>
      </c>
      <c r="H759" s="2">
        <f t="shared" si="390"/>
        <v>0</v>
      </c>
      <c r="I759" s="2">
        <f t="shared" si="390"/>
        <v>0</v>
      </c>
      <c r="J759" s="2">
        <f t="shared" si="390"/>
        <v>0</v>
      </c>
      <c r="K759" s="14">
        <f t="shared" si="390"/>
        <v>0</v>
      </c>
      <c r="L759" s="2">
        <f t="shared" si="390"/>
        <v>0</v>
      </c>
      <c r="M759" s="2">
        <f t="shared" si="390"/>
        <v>500</v>
      </c>
      <c r="N759" s="2">
        <f t="shared" si="390"/>
        <v>2750000</v>
      </c>
      <c r="O759" s="2">
        <f t="shared" si="390"/>
        <v>0</v>
      </c>
      <c r="P759" s="2">
        <f t="shared" si="390"/>
        <v>0</v>
      </c>
      <c r="Q759" s="2">
        <f t="shared" si="390"/>
        <v>520</v>
      </c>
      <c r="R759" s="2">
        <f t="shared" si="390"/>
        <v>1560000</v>
      </c>
      <c r="S759" s="2">
        <f t="shared" si="390"/>
        <v>0</v>
      </c>
      <c r="T759" s="2">
        <f t="shared" si="390"/>
        <v>0</v>
      </c>
      <c r="U759" s="2">
        <f t="shared" si="390"/>
        <v>0</v>
      </c>
    </row>
    <row r="760" spans="1:22" ht="21.95" customHeight="1" x14ac:dyDescent="0.25">
      <c r="A760" s="37" t="s">
        <v>1002</v>
      </c>
      <c r="B760" s="1" t="s">
        <v>331</v>
      </c>
      <c r="C760" s="2">
        <f t="shared" si="371"/>
        <v>4310000</v>
      </c>
      <c r="D760" s="3">
        <f t="shared" ref="D760" si="391">SUM(E760:J760)</f>
        <v>0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4">
        <v>0</v>
      </c>
      <c r="L760" s="3">
        <v>0</v>
      </c>
      <c r="M760" s="3">
        <v>500</v>
      </c>
      <c r="N760" s="3">
        <f t="shared" ref="N760" si="392">M760*5500</f>
        <v>2750000</v>
      </c>
      <c r="O760" s="3">
        <v>0</v>
      </c>
      <c r="P760" s="3">
        <v>0</v>
      </c>
      <c r="Q760" s="3">
        <v>520</v>
      </c>
      <c r="R760" s="3">
        <f>Q760*3000</f>
        <v>1560000</v>
      </c>
      <c r="S760" s="3">
        <v>0</v>
      </c>
      <c r="T760" s="3">
        <v>0</v>
      </c>
      <c r="U760" s="3">
        <v>0</v>
      </c>
      <c r="V760" s="6">
        <f t="shared" ref="V760" si="393">N760/M760</f>
        <v>5500</v>
      </c>
    </row>
    <row r="761" spans="1:22" ht="35.1" customHeight="1" x14ac:dyDescent="0.25">
      <c r="A761" s="56" t="s">
        <v>333</v>
      </c>
      <c r="B761" s="56"/>
      <c r="C761" s="2">
        <f>SUM(C762)</f>
        <v>6150839</v>
      </c>
      <c r="D761" s="2">
        <f t="shared" ref="D761:U761" si="394">SUM(D762)</f>
        <v>1367436</v>
      </c>
      <c r="E761" s="2">
        <f t="shared" si="394"/>
        <v>341859</v>
      </c>
      <c r="F761" s="2">
        <f t="shared" si="394"/>
        <v>1025577</v>
      </c>
      <c r="G761" s="2">
        <f t="shared" si="394"/>
        <v>0</v>
      </c>
      <c r="H761" s="2">
        <f t="shared" si="394"/>
        <v>0</v>
      </c>
      <c r="I761" s="2">
        <f t="shared" si="394"/>
        <v>0</v>
      </c>
      <c r="J761" s="2">
        <f t="shared" si="394"/>
        <v>0</v>
      </c>
      <c r="K761" s="14">
        <f t="shared" si="394"/>
        <v>0</v>
      </c>
      <c r="L761" s="2">
        <f t="shared" si="394"/>
        <v>0</v>
      </c>
      <c r="M761" s="2">
        <f t="shared" si="394"/>
        <v>546</v>
      </c>
      <c r="N761" s="2">
        <f t="shared" si="394"/>
        <v>2893800</v>
      </c>
      <c r="O761" s="2">
        <f t="shared" si="394"/>
        <v>0</v>
      </c>
      <c r="P761" s="2">
        <f t="shared" si="394"/>
        <v>0</v>
      </c>
      <c r="Q761" s="2">
        <f t="shared" si="394"/>
        <v>648.6</v>
      </c>
      <c r="R761" s="2">
        <f t="shared" si="394"/>
        <v>1689603</v>
      </c>
      <c r="S761" s="2">
        <f t="shared" si="394"/>
        <v>0</v>
      </c>
      <c r="T761" s="2">
        <f t="shared" si="394"/>
        <v>0</v>
      </c>
      <c r="U761" s="2">
        <f t="shared" si="394"/>
        <v>200000</v>
      </c>
      <c r="V761" s="18">
        <f>C761</f>
        <v>6150839</v>
      </c>
    </row>
    <row r="762" spans="1:22" ht="23.1" customHeight="1" x14ac:dyDescent="0.25">
      <c r="A762" s="36" t="s">
        <v>1003</v>
      </c>
      <c r="B762" s="8" t="s">
        <v>334</v>
      </c>
      <c r="C762" s="2">
        <f t="shared" ref="C762" si="395">D762+L762+N762+P762+R762+S762+T762+U762</f>
        <v>6150839</v>
      </c>
      <c r="D762" s="3">
        <f t="shared" ref="D762" si="396">SUM(E762:J762)</f>
        <v>1367436</v>
      </c>
      <c r="E762" s="3">
        <f>350*976.74</f>
        <v>341859</v>
      </c>
      <c r="F762" s="3">
        <f>1050*976.74</f>
        <v>1025577</v>
      </c>
      <c r="G762" s="3">
        <v>0</v>
      </c>
      <c r="H762" s="3">
        <v>0</v>
      </c>
      <c r="I762" s="3">
        <v>0</v>
      </c>
      <c r="J762" s="3">
        <v>0</v>
      </c>
      <c r="K762" s="11">
        <v>0</v>
      </c>
      <c r="L762" s="5">
        <v>0</v>
      </c>
      <c r="M762" s="5">
        <v>546</v>
      </c>
      <c r="N762" s="3">
        <v>2893800</v>
      </c>
      <c r="O762" s="5">
        <v>0</v>
      </c>
      <c r="P762" s="5">
        <v>0</v>
      </c>
      <c r="Q762" s="5">
        <v>648.6</v>
      </c>
      <c r="R762" s="5">
        <v>1689603</v>
      </c>
      <c r="S762" s="5">
        <v>0</v>
      </c>
      <c r="T762" s="5">
        <v>0</v>
      </c>
      <c r="U762" s="5">
        <v>200000</v>
      </c>
      <c r="V762" s="6">
        <f t="shared" ref="V762" si="397">N762/M762</f>
        <v>5300</v>
      </c>
    </row>
    <row r="763" spans="1:22" ht="45" customHeight="1" x14ac:dyDescent="0.25">
      <c r="A763" s="56" t="s">
        <v>335</v>
      </c>
      <c r="B763" s="56"/>
      <c r="C763" s="2">
        <f>SUM(C764:C765)</f>
        <v>27268650</v>
      </c>
      <c r="D763" s="2">
        <f t="shared" ref="D763:U763" si="398">SUM(D764:D765)</f>
        <v>2820000</v>
      </c>
      <c r="E763" s="2">
        <f t="shared" si="398"/>
        <v>420000</v>
      </c>
      <c r="F763" s="2">
        <f t="shared" si="398"/>
        <v>960000</v>
      </c>
      <c r="G763" s="2">
        <f t="shared" si="398"/>
        <v>360000</v>
      </c>
      <c r="H763" s="2">
        <f t="shared" si="398"/>
        <v>600000</v>
      </c>
      <c r="I763" s="2">
        <f t="shared" si="398"/>
        <v>480000</v>
      </c>
      <c r="J763" s="2">
        <f t="shared" si="398"/>
        <v>0</v>
      </c>
      <c r="K763" s="14">
        <f t="shared" si="398"/>
        <v>0</v>
      </c>
      <c r="L763" s="2">
        <f t="shared" si="398"/>
        <v>0</v>
      </c>
      <c r="M763" s="2">
        <f t="shared" si="398"/>
        <v>2130.6999999999998</v>
      </c>
      <c r="N763" s="2">
        <f t="shared" si="398"/>
        <v>11718849.999999998</v>
      </c>
      <c r="O763" s="2">
        <f t="shared" si="398"/>
        <v>0</v>
      </c>
      <c r="P763" s="2">
        <f t="shared" si="398"/>
        <v>0</v>
      </c>
      <c r="Q763" s="2">
        <f t="shared" si="398"/>
        <v>4176.6000000000004</v>
      </c>
      <c r="R763" s="2">
        <f t="shared" si="398"/>
        <v>12529800.000000002</v>
      </c>
      <c r="S763" s="2">
        <f t="shared" si="398"/>
        <v>0</v>
      </c>
      <c r="T763" s="2">
        <f t="shared" si="398"/>
        <v>0</v>
      </c>
      <c r="U763" s="2">
        <f t="shared" si="398"/>
        <v>200000</v>
      </c>
    </row>
    <row r="764" spans="1:22" ht="21.95" customHeight="1" x14ac:dyDescent="0.25">
      <c r="A764" s="37" t="s">
        <v>1004</v>
      </c>
      <c r="B764" s="8" t="s">
        <v>833</v>
      </c>
      <c r="C764" s="2">
        <f>D764+L764+N764+P764+R764+S764+T764+U764</f>
        <v>3020000</v>
      </c>
      <c r="D764" s="3">
        <f t="shared" ref="D764" si="399">SUM(E764:J764)</f>
        <v>2820000</v>
      </c>
      <c r="E764" s="3">
        <f>350*1200</f>
        <v>420000</v>
      </c>
      <c r="F764" s="3">
        <f>800*1200</f>
        <v>960000</v>
      </c>
      <c r="G764" s="3">
        <f>300*1200</f>
        <v>360000</v>
      </c>
      <c r="H764" s="3">
        <f>500*1200</f>
        <v>600000</v>
      </c>
      <c r="I764" s="3">
        <f>400*1200</f>
        <v>480000</v>
      </c>
      <c r="J764" s="3">
        <f>350*0</f>
        <v>0</v>
      </c>
      <c r="K764" s="4">
        <v>0</v>
      </c>
      <c r="L764" s="3">
        <v>0</v>
      </c>
      <c r="M764" s="3">
        <v>0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200000</v>
      </c>
      <c r="V764" s="6" t="e">
        <f>N764/M764</f>
        <v>#DIV/0!</v>
      </c>
    </row>
    <row r="765" spans="1:22" ht="21.95" customHeight="1" x14ac:dyDescent="0.25">
      <c r="A765" s="37" t="s">
        <v>1005</v>
      </c>
      <c r="B765" s="8" t="s">
        <v>336</v>
      </c>
      <c r="C765" s="2">
        <f t="shared" si="371"/>
        <v>24248650</v>
      </c>
      <c r="D765" s="3">
        <f t="shared" ref="D765" si="400">SUM(E765:J765)</f>
        <v>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4">
        <v>0</v>
      </c>
      <c r="L765" s="3">
        <v>0</v>
      </c>
      <c r="M765" s="3">
        <v>2130.6999999999998</v>
      </c>
      <c r="N765" s="3">
        <f t="shared" ref="N765" si="401">M765*5500</f>
        <v>11718849.999999998</v>
      </c>
      <c r="O765" s="3">
        <v>0</v>
      </c>
      <c r="P765" s="3">
        <v>0</v>
      </c>
      <c r="Q765" s="3">
        <v>4176.6000000000004</v>
      </c>
      <c r="R765" s="3">
        <f>Q765*3000</f>
        <v>12529800.000000002</v>
      </c>
      <c r="S765" s="3">
        <v>0</v>
      </c>
      <c r="T765" s="3">
        <v>0</v>
      </c>
      <c r="U765" s="3">
        <v>0</v>
      </c>
      <c r="V765" s="6">
        <f t="shared" ref="V765" si="402">N765/M765</f>
        <v>5500</v>
      </c>
    </row>
    <row r="766" spans="1:22" ht="45" customHeight="1" x14ac:dyDescent="0.25">
      <c r="A766" s="56" t="s">
        <v>1635</v>
      </c>
      <c r="B766" s="56"/>
      <c r="C766" s="2">
        <f>SUM(C767:C782)</f>
        <v>155294002.12</v>
      </c>
      <c r="D766" s="2">
        <f t="shared" ref="D766:U766" si="403">SUM(D767:D782)</f>
        <v>28882050</v>
      </c>
      <c r="E766" s="2">
        <f t="shared" si="403"/>
        <v>4752650</v>
      </c>
      <c r="F766" s="2">
        <f t="shared" si="403"/>
        <v>14257950</v>
      </c>
      <c r="G766" s="2">
        <f t="shared" si="403"/>
        <v>4073700</v>
      </c>
      <c r="H766" s="2">
        <f t="shared" si="403"/>
        <v>2403000</v>
      </c>
      <c r="I766" s="2">
        <f t="shared" si="403"/>
        <v>3394750</v>
      </c>
      <c r="J766" s="2">
        <f t="shared" si="403"/>
        <v>0</v>
      </c>
      <c r="K766" s="14">
        <f t="shared" si="403"/>
        <v>6</v>
      </c>
      <c r="L766" s="2">
        <f t="shared" si="403"/>
        <v>12900000</v>
      </c>
      <c r="M766" s="2">
        <f t="shared" si="403"/>
        <v>10885</v>
      </c>
      <c r="N766" s="2">
        <f t="shared" si="403"/>
        <v>59867500</v>
      </c>
      <c r="O766" s="2">
        <f t="shared" si="403"/>
        <v>0</v>
      </c>
      <c r="P766" s="2">
        <f t="shared" si="403"/>
        <v>0</v>
      </c>
      <c r="Q766" s="2">
        <f t="shared" si="403"/>
        <v>16974.800000000003</v>
      </c>
      <c r="R766" s="2">
        <f t="shared" si="403"/>
        <v>50924400</v>
      </c>
      <c r="S766" s="2">
        <f t="shared" si="403"/>
        <v>0</v>
      </c>
      <c r="T766" s="2">
        <f t="shared" si="403"/>
        <v>0</v>
      </c>
      <c r="U766" s="2">
        <f t="shared" si="403"/>
        <v>2720052.12</v>
      </c>
    </row>
    <row r="767" spans="1:22" ht="21.95" customHeight="1" x14ac:dyDescent="0.25">
      <c r="A767" s="37" t="s">
        <v>1006</v>
      </c>
      <c r="B767" s="8" t="s">
        <v>344</v>
      </c>
      <c r="C767" s="2">
        <f t="shared" si="371"/>
        <v>3858650</v>
      </c>
      <c r="D767" s="3">
        <f t="shared" ref="D767:D780" si="404">SUM(E767:J767)</f>
        <v>547950</v>
      </c>
      <c r="E767" s="3">
        <f>350*281</f>
        <v>98350</v>
      </c>
      <c r="F767" s="3">
        <f>1050*281</f>
        <v>295050</v>
      </c>
      <c r="G767" s="3">
        <f>300*281</f>
        <v>84300</v>
      </c>
      <c r="H767" s="3">
        <f t="shared" ref="H767:H773" si="405">400*0</f>
        <v>0</v>
      </c>
      <c r="I767" s="3">
        <f>250*281</f>
        <v>70250</v>
      </c>
      <c r="J767" s="3">
        <v>0</v>
      </c>
      <c r="K767" s="4">
        <v>0</v>
      </c>
      <c r="L767" s="3">
        <v>0</v>
      </c>
      <c r="M767" s="3">
        <v>400</v>
      </c>
      <c r="N767" s="3">
        <f t="shared" ref="N767:N774" si="406">M767*5500</f>
        <v>2200000</v>
      </c>
      <c r="O767" s="3">
        <v>0</v>
      </c>
      <c r="P767" s="3">
        <v>0</v>
      </c>
      <c r="Q767" s="3">
        <v>336.9</v>
      </c>
      <c r="R767" s="3">
        <f t="shared" ref="R767:R780" si="407">Q767*3000</f>
        <v>1010699.9999999999</v>
      </c>
      <c r="S767" s="3">
        <v>0</v>
      </c>
      <c r="T767" s="3">
        <v>0</v>
      </c>
      <c r="U767" s="3">
        <v>100000</v>
      </c>
      <c r="V767" s="6">
        <f t="shared" ref="V767:V782" si="408">N767/M767</f>
        <v>5500</v>
      </c>
    </row>
    <row r="768" spans="1:22" ht="21.95" customHeight="1" x14ac:dyDescent="0.25">
      <c r="A768" s="37" t="s">
        <v>1007</v>
      </c>
      <c r="B768" s="8" t="s">
        <v>1397</v>
      </c>
      <c r="C768" s="2">
        <f t="shared" si="371"/>
        <v>4308150</v>
      </c>
      <c r="D768" s="3">
        <f t="shared" ref="D768" si="409">SUM(E768:J768)</f>
        <v>0</v>
      </c>
      <c r="E768" s="3">
        <v>0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4">
        <v>0</v>
      </c>
      <c r="L768" s="3">
        <v>0</v>
      </c>
      <c r="M768" s="5">
        <v>783.3</v>
      </c>
      <c r="N768" s="5">
        <f>M768*5500</f>
        <v>4308150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6">
        <f t="shared" si="408"/>
        <v>5500</v>
      </c>
    </row>
    <row r="769" spans="1:22" ht="21.95" customHeight="1" x14ac:dyDescent="0.25">
      <c r="A769" s="37" t="s">
        <v>1008</v>
      </c>
      <c r="B769" s="8" t="s">
        <v>348</v>
      </c>
      <c r="C769" s="2">
        <f t="shared" si="371"/>
        <v>7265186.9199999999</v>
      </c>
      <c r="D769" s="3">
        <f t="shared" si="404"/>
        <v>1533480</v>
      </c>
      <c r="E769" s="3">
        <f>350*786.4</f>
        <v>275240</v>
      </c>
      <c r="F769" s="3">
        <f>1050*786.4</f>
        <v>825720</v>
      </c>
      <c r="G769" s="3">
        <f>300*786.4</f>
        <v>235920</v>
      </c>
      <c r="H769" s="3">
        <f t="shared" si="405"/>
        <v>0</v>
      </c>
      <c r="I769" s="3">
        <f>250*786.4</f>
        <v>196600</v>
      </c>
      <c r="J769" s="3">
        <v>0</v>
      </c>
      <c r="K769" s="4">
        <v>0</v>
      </c>
      <c r="L769" s="3">
        <v>0</v>
      </c>
      <c r="M769" s="3">
        <v>613.20000000000005</v>
      </c>
      <c r="N769" s="3">
        <f t="shared" si="406"/>
        <v>3372600.0000000005</v>
      </c>
      <c r="O769" s="3">
        <v>0</v>
      </c>
      <c r="P769" s="3">
        <v>0</v>
      </c>
      <c r="Q769" s="3">
        <v>740</v>
      </c>
      <c r="R769" s="3">
        <f t="shared" si="407"/>
        <v>2220000</v>
      </c>
      <c r="S769" s="3">
        <v>0</v>
      </c>
      <c r="T769" s="3">
        <v>0</v>
      </c>
      <c r="U769" s="3">
        <v>139106.92000000001</v>
      </c>
      <c r="V769" s="6">
        <f t="shared" si="408"/>
        <v>5500</v>
      </c>
    </row>
    <row r="770" spans="1:22" ht="21.95" customHeight="1" x14ac:dyDescent="0.25">
      <c r="A770" s="37" t="s">
        <v>1009</v>
      </c>
      <c r="B770" s="8" t="s">
        <v>349</v>
      </c>
      <c r="C770" s="2">
        <f t="shared" si="371"/>
        <v>7347597.1799999997</v>
      </c>
      <c r="D770" s="3">
        <f t="shared" si="404"/>
        <v>1533480</v>
      </c>
      <c r="E770" s="3">
        <f>350*786.4</f>
        <v>275240</v>
      </c>
      <c r="F770" s="3">
        <f>1050*786.4</f>
        <v>825720</v>
      </c>
      <c r="G770" s="3">
        <f>300*786.4</f>
        <v>235920</v>
      </c>
      <c r="H770" s="3">
        <f t="shared" si="405"/>
        <v>0</v>
      </c>
      <c r="I770" s="3">
        <f>250*786.4</f>
        <v>196600</v>
      </c>
      <c r="J770" s="3">
        <v>0</v>
      </c>
      <c r="K770" s="4">
        <v>0</v>
      </c>
      <c r="L770" s="3">
        <v>0</v>
      </c>
      <c r="M770" s="3">
        <v>613.20000000000005</v>
      </c>
      <c r="N770" s="3">
        <f t="shared" si="406"/>
        <v>3372600.0000000005</v>
      </c>
      <c r="O770" s="3">
        <v>0</v>
      </c>
      <c r="P770" s="3">
        <v>0</v>
      </c>
      <c r="Q770" s="3">
        <v>767</v>
      </c>
      <c r="R770" s="3">
        <f t="shared" si="407"/>
        <v>2301000</v>
      </c>
      <c r="S770" s="3">
        <v>0</v>
      </c>
      <c r="T770" s="3">
        <v>0</v>
      </c>
      <c r="U770" s="3">
        <v>140517.18</v>
      </c>
      <c r="V770" s="6">
        <f t="shared" si="408"/>
        <v>5500</v>
      </c>
    </row>
    <row r="771" spans="1:22" ht="21.95" customHeight="1" x14ac:dyDescent="0.25">
      <c r="A771" s="37" t="s">
        <v>1010</v>
      </c>
      <c r="B771" s="8" t="s">
        <v>350</v>
      </c>
      <c r="C771" s="2">
        <f t="shared" si="371"/>
        <v>7257639.8200000003</v>
      </c>
      <c r="D771" s="3">
        <f t="shared" si="404"/>
        <v>1524900</v>
      </c>
      <c r="E771" s="3">
        <f>350*782</f>
        <v>273700</v>
      </c>
      <c r="F771" s="3">
        <f>1050*782</f>
        <v>821100</v>
      </c>
      <c r="G771" s="3">
        <f>300*782</f>
        <v>234600</v>
      </c>
      <c r="H771" s="3">
        <f t="shared" si="405"/>
        <v>0</v>
      </c>
      <c r="I771" s="3">
        <f>250*782</f>
        <v>195500</v>
      </c>
      <c r="J771" s="3">
        <v>0</v>
      </c>
      <c r="K771" s="4">
        <v>0</v>
      </c>
      <c r="L771" s="3">
        <v>0</v>
      </c>
      <c r="M771" s="3">
        <v>613.20000000000005</v>
      </c>
      <c r="N771" s="3">
        <f t="shared" si="406"/>
        <v>3372600.0000000005</v>
      </c>
      <c r="O771" s="3">
        <v>0</v>
      </c>
      <c r="P771" s="3">
        <v>0</v>
      </c>
      <c r="Q771" s="3">
        <v>740</v>
      </c>
      <c r="R771" s="3">
        <f t="shared" si="407"/>
        <v>2220000</v>
      </c>
      <c r="S771" s="3">
        <v>0</v>
      </c>
      <c r="T771" s="3">
        <v>0</v>
      </c>
      <c r="U771" s="3">
        <v>140139.82</v>
      </c>
      <c r="V771" s="6">
        <f t="shared" si="408"/>
        <v>5500</v>
      </c>
    </row>
    <row r="772" spans="1:22" ht="21.95" customHeight="1" x14ac:dyDescent="0.25">
      <c r="A772" s="37" t="s">
        <v>1418</v>
      </c>
      <c r="B772" s="8" t="s">
        <v>351</v>
      </c>
      <c r="C772" s="2">
        <f t="shared" si="371"/>
        <v>7325561.0300000003</v>
      </c>
      <c r="D772" s="3">
        <f t="shared" si="404"/>
        <v>1536600</v>
      </c>
      <c r="E772" s="3">
        <f>350*788</f>
        <v>275800</v>
      </c>
      <c r="F772" s="3">
        <f>1050*788</f>
        <v>827400</v>
      </c>
      <c r="G772" s="3">
        <f>300*788</f>
        <v>236400</v>
      </c>
      <c r="H772" s="3">
        <f t="shared" si="405"/>
        <v>0</v>
      </c>
      <c r="I772" s="3">
        <f>250*788</f>
        <v>197000</v>
      </c>
      <c r="J772" s="3">
        <v>0</v>
      </c>
      <c r="K772" s="4">
        <v>0</v>
      </c>
      <c r="L772" s="3">
        <v>0</v>
      </c>
      <c r="M772" s="3">
        <v>618</v>
      </c>
      <c r="N772" s="3">
        <f t="shared" si="406"/>
        <v>3399000</v>
      </c>
      <c r="O772" s="3">
        <v>0</v>
      </c>
      <c r="P772" s="3">
        <v>0</v>
      </c>
      <c r="Q772" s="3">
        <v>750</v>
      </c>
      <c r="R772" s="3">
        <f t="shared" si="407"/>
        <v>2250000</v>
      </c>
      <c r="S772" s="3">
        <v>0</v>
      </c>
      <c r="T772" s="3">
        <v>0</v>
      </c>
      <c r="U772" s="3">
        <v>139961.03</v>
      </c>
      <c r="V772" s="6">
        <f t="shared" si="408"/>
        <v>5500</v>
      </c>
    </row>
    <row r="773" spans="1:22" ht="21.95" customHeight="1" x14ac:dyDescent="0.25">
      <c r="A773" s="37" t="s">
        <v>1011</v>
      </c>
      <c r="B773" s="8" t="s">
        <v>352</v>
      </c>
      <c r="C773" s="2">
        <f t="shared" si="371"/>
        <v>7341928.1299999999</v>
      </c>
      <c r="D773" s="3">
        <f t="shared" si="404"/>
        <v>1540500</v>
      </c>
      <c r="E773" s="3">
        <f>350*790</f>
        <v>276500</v>
      </c>
      <c r="F773" s="3">
        <f>1050*790</f>
        <v>829500</v>
      </c>
      <c r="G773" s="3">
        <f>300*790</f>
        <v>237000</v>
      </c>
      <c r="H773" s="3">
        <f t="shared" si="405"/>
        <v>0</v>
      </c>
      <c r="I773" s="3">
        <f>250*790</f>
        <v>197500</v>
      </c>
      <c r="J773" s="3">
        <v>0</v>
      </c>
      <c r="K773" s="4">
        <v>0</v>
      </c>
      <c r="L773" s="3">
        <v>0</v>
      </c>
      <c r="M773" s="3">
        <v>615</v>
      </c>
      <c r="N773" s="3">
        <f t="shared" si="406"/>
        <v>3382500</v>
      </c>
      <c r="O773" s="3">
        <v>0</v>
      </c>
      <c r="P773" s="3">
        <v>0</v>
      </c>
      <c r="Q773" s="3">
        <v>760</v>
      </c>
      <c r="R773" s="3">
        <f t="shared" si="407"/>
        <v>2280000</v>
      </c>
      <c r="S773" s="3">
        <v>0</v>
      </c>
      <c r="T773" s="3">
        <v>0</v>
      </c>
      <c r="U773" s="3">
        <v>138928.13</v>
      </c>
      <c r="V773" s="6">
        <f t="shared" si="408"/>
        <v>5500</v>
      </c>
    </row>
    <row r="774" spans="1:22" ht="21.95" customHeight="1" x14ac:dyDescent="0.25">
      <c r="A774" s="37" t="s">
        <v>1629</v>
      </c>
      <c r="B774" s="8" t="s">
        <v>353</v>
      </c>
      <c r="C774" s="2">
        <f t="shared" si="371"/>
        <v>19934700</v>
      </c>
      <c r="D774" s="3">
        <f t="shared" si="404"/>
        <v>0</v>
      </c>
      <c r="E774" s="3">
        <v>0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4">
        <v>0</v>
      </c>
      <c r="L774" s="3">
        <v>0</v>
      </c>
      <c r="M774" s="3">
        <v>1706.2</v>
      </c>
      <c r="N774" s="3">
        <f t="shared" si="406"/>
        <v>9384100</v>
      </c>
      <c r="O774" s="3">
        <v>0</v>
      </c>
      <c r="P774" s="3">
        <v>0</v>
      </c>
      <c r="Q774" s="3">
        <v>3450.2</v>
      </c>
      <c r="R774" s="3">
        <f t="shared" si="407"/>
        <v>10350600</v>
      </c>
      <c r="S774" s="3">
        <v>0</v>
      </c>
      <c r="T774" s="3">
        <v>0</v>
      </c>
      <c r="U774" s="3">
        <v>200000</v>
      </c>
      <c r="V774" s="6">
        <f t="shared" si="408"/>
        <v>5500</v>
      </c>
    </row>
    <row r="775" spans="1:22" ht="21.95" customHeight="1" x14ac:dyDescent="0.25">
      <c r="A775" s="37" t="s">
        <v>1012</v>
      </c>
      <c r="B775" s="8" t="s">
        <v>354</v>
      </c>
      <c r="C775" s="2">
        <f t="shared" si="371"/>
        <v>26676525</v>
      </c>
      <c r="D775" s="3">
        <f t="shared" si="404"/>
        <v>8656225</v>
      </c>
      <c r="E775" s="3">
        <f>350*3683.5</f>
        <v>1289225</v>
      </c>
      <c r="F775" s="3">
        <f>1050*3683.5</f>
        <v>3867675</v>
      </c>
      <c r="G775" s="3">
        <f>300*3683.5</f>
        <v>1105050</v>
      </c>
      <c r="H775" s="3">
        <f>400*3683.5</f>
        <v>1473400</v>
      </c>
      <c r="I775" s="3">
        <f>250*3683.5</f>
        <v>920875</v>
      </c>
      <c r="J775" s="3">
        <v>0</v>
      </c>
      <c r="K775" s="4">
        <v>0</v>
      </c>
      <c r="L775" s="3">
        <v>0</v>
      </c>
      <c r="M775" s="5">
        <v>1794.6</v>
      </c>
      <c r="N775" s="5">
        <f>M775*5500</f>
        <v>9870300</v>
      </c>
      <c r="O775" s="3">
        <v>0</v>
      </c>
      <c r="P775" s="3">
        <v>0</v>
      </c>
      <c r="Q775" s="3">
        <v>2650</v>
      </c>
      <c r="R775" s="3">
        <f>Q775*3000</f>
        <v>7950000</v>
      </c>
      <c r="S775" s="3">
        <v>0</v>
      </c>
      <c r="T775" s="3">
        <v>0</v>
      </c>
      <c r="U775" s="3">
        <v>200000</v>
      </c>
      <c r="V775" s="6">
        <f>N775/M775</f>
        <v>5500</v>
      </c>
    </row>
    <row r="776" spans="1:22" ht="21.95" customHeight="1" x14ac:dyDescent="0.25">
      <c r="A776" s="37" t="s">
        <v>1013</v>
      </c>
      <c r="B776" s="8" t="s">
        <v>355</v>
      </c>
      <c r="C776" s="2">
        <f t="shared" si="371"/>
        <v>4674570</v>
      </c>
      <c r="D776" s="3">
        <f t="shared" si="404"/>
        <v>894270</v>
      </c>
      <c r="E776" s="3">
        <f>350*458.6</f>
        <v>160510</v>
      </c>
      <c r="F776" s="3">
        <f>1050*458.6</f>
        <v>481530</v>
      </c>
      <c r="G776" s="3">
        <f>300*458.6</f>
        <v>137580</v>
      </c>
      <c r="H776" s="3">
        <f>400*0</f>
        <v>0</v>
      </c>
      <c r="I776" s="3">
        <f>250*458.6</f>
        <v>114650</v>
      </c>
      <c r="J776" s="3">
        <v>0</v>
      </c>
      <c r="K776" s="4">
        <v>0</v>
      </c>
      <c r="L776" s="3">
        <v>0</v>
      </c>
      <c r="M776" s="3">
        <v>389</v>
      </c>
      <c r="N776" s="3">
        <f t="shared" ref="N776:N780" si="410">M776*5500</f>
        <v>2139500</v>
      </c>
      <c r="O776" s="3">
        <v>0</v>
      </c>
      <c r="P776" s="3">
        <v>0</v>
      </c>
      <c r="Q776" s="3">
        <v>513.6</v>
      </c>
      <c r="R776" s="3">
        <f t="shared" si="407"/>
        <v>1540800</v>
      </c>
      <c r="S776" s="3">
        <v>0</v>
      </c>
      <c r="T776" s="3">
        <v>0</v>
      </c>
      <c r="U776" s="3">
        <v>100000</v>
      </c>
      <c r="V776" s="6">
        <f t="shared" si="408"/>
        <v>5500</v>
      </c>
    </row>
    <row r="777" spans="1:22" ht="21.95" customHeight="1" x14ac:dyDescent="0.25">
      <c r="A777" s="37" t="s">
        <v>1014</v>
      </c>
      <c r="B777" s="8" t="s">
        <v>356</v>
      </c>
      <c r="C777" s="2">
        <f t="shared" si="371"/>
        <v>8656579.0399999991</v>
      </c>
      <c r="D777" s="3">
        <f t="shared" si="404"/>
        <v>2013180</v>
      </c>
      <c r="E777" s="3">
        <f>350*1032.4</f>
        <v>361340.00000000006</v>
      </c>
      <c r="F777" s="3">
        <f>1050*1032.4</f>
        <v>1084020</v>
      </c>
      <c r="G777" s="3">
        <f>300*1032.4</f>
        <v>309720</v>
      </c>
      <c r="H777" s="3">
        <f>400*0</f>
        <v>0</v>
      </c>
      <c r="I777" s="3">
        <f>250*1032.4</f>
        <v>258100.00000000003</v>
      </c>
      <c r="J777" s="3">
        <v>0</v>
      </c>
      <c r="K777" s="4">
        <v>0</v>
      </c>
      <c r="L777" s="3">
        <v>0</v>
      </c>
      <c r="M777" s="3">
        <v>684</v>
      </c>
      <c r="N777" s="3">
        <f t="shared" si="410"/>
        <v>3762000</v>
      </c>
      <c r="O777" s="3">
        <v>0</v>
      </c>
      <c r="P777" s="3">
        <v>0</v>
      </c>
      <c r="Q777" s="3">
        <v>920</v>
      </c>
      <c r="R777" s="3">
        <f t="shared" si="407"/>
        <v>2760000</v>
      </c>
      <c r="S777" s="3">
        <v>0</v>
      </c>
      <c r="T777" s="3">
        <v>0</v>
      </c>
      <c r="U777" s="3">
        <v>121399.03999999999</v>
      </c>
      <c r="V777" s="6">
        <f t="shared" si="408"/>
        <v>5500</v>
      </c>
    </row>
    <row r="778" spans="1:22" ht="21.95" customHeight="1" x14ac:dyDescent="0.25">
      <c r="A778" s="37" t="s">
        <v>1015</v>
      </c>
      <c r="B778" s="8" t="s">
        <v>357</v>
      </c>
      <c r="C778" s="2">
        <f t="shared" si="371"/>
        <v>14797190</v>
      </c>
      <c r="D778" s="3">
        <f t="shared" si="404"/>
        <v>4454190</v>
      </c>
      <c r="E778" s="3">
        <f>350*1895.4</f>
        <v>663390</v>
      </c>
      <c r="F778" s="3">
        <f>1050*1895.4</f>
        <v>1990170</v>
      </c>
      <c r="G778" s="3">
        <f>300*1895.4</f>
        <v>568620</v>
      </c>
      <c r="H778" s="3">
        <f>400*1895.4</f>
        <v>758160</v>
      </c>
      <c r="I778" s="3">
        <f>250*1895.4</f>
        <v>473850</v>
      </c>
      <c r="J778" s="3">
        <v>0</v>
      </c>
      <c r="K778" s="4">
        <v>0</v>
      </c>
      <c r="L778" s="3">
        <v>0</v>
      </c>
      <c r="M778" s="3">
        <v>886</v>
      </c>
      <c r="N778" s="3">
        <f t="shared" si="410"/>
        <v>4873000</v>
      </c>
      <c r="O778" s="3">
        <v>0</v>
      </c>
      <c r="P778" s="3">
        <v>0</v>
      </c>
      <c r="Q778" s="3">
        <v>1790</v>
      </c>
      <c r="R778" s="3">
        <f t="shared" si="407"/>
        <v>5370000</v>
      </c>
      <c r="S778" s="3">
        <v>0</v>
      </c>
      <c r="T778" s="3">
        <v>0</v>
      </c>
      <c r="U778" s="3">
        <v>100000</v>
      </c>
      <c r="V778" s="6">
        <f t="shared" si="408"/>
        <v>5500</v>
      </c>
    </row>
    <row r="779" spans="1:22" ht="21.95" customHeight="1" x14ac:dyDescent="0.25">
      <c r="A779" s="37" t="s">
        <v>1016</v>
      </c>
      <c r="B779" s="8" t="s">
        <v>358</v>
      </c>
      <c r="C779" s="2">
        <f t="shared" si="371"/>
        <v>4754210</v>
      </c>
      <c r="D779" s="3">
        <f t="shared" si="404"/>
        <v>1007210</v>
      </c>
      <c r="E779" s="3">
        <f>350*428.6</f>
        <v>150010</v>
      </c>
      <c r="F779" s="3">
        <f>1050*428.6</f>
        <v>450030</v>
      </c>
      <c r="G779" s="3">
        <f>300*428.6</f>
        <v>128580</v>
      </c>
      <c r="H779" s="3">
        <f>400*428.6</f>
        <v>171440</v>
      </c>
      <c r="I779" s="3">
        <f>250*428.6</f>
        <v>107150</v>
      </c>
      <c r="J779" s="3">
        <v>0</v>
      </c>
      <c r="K779" s="4">
        <v>0</v>
      </c>
      <c r="L779" s="3">
        <v>0</v>
      </c>
      <c r="M779" s="3">
        <v>377.6</v>
      </c>
      <c r="N779" s="3">
        <f t="shared" si="410"/>
        <v>2076800.0000000002</v>
      </c>
      <c r="O779" s="3">
        <v>0</v>
      </c>
      <c r="P779" s="3">
        <v>0</v>
      </c>
      <c r="Q779" s="3">
        <v>523.4</v>
      </c>
      <c r="R779" s="3">
        <f t="shared" si="407"/>
        <v>1570200</v>
      </c>
      <c r="S779" s="3">
        <v>0</v>
      </c>
      <c r="T779" s="3">
        <v>0</v>
      </c>
      <c r="U779" s="3">
        <v>100000</v>
      </c>
      <c r="V779" s="6">
        <f t="shared" si="408"/>
        <v>5500</v>
      </c>
    </row>
    <row r="780" spans="1:22" ht="21.95" customHeight="1" x14ac:dyDescent="0.25">
      <c r="A780" s="37" t="s">
        <v>1017</v>
      </c>
      <c r="B780" s="8" t="s">
        <v>359</v>
      </c>
      <c r="C780" s="2">
        <f t="shared" si="371"/>
        <v>12305515</v>
      </c>
      <c r="D780" s="3">
        <f t="shared" si="404"/>
        <v>3640065</v>
      </c>
      <c r="E780" s="3">
        <f>350*1866.7</f>
        <v>653345</v>
      </c>
      <c r="F780" s="3">
        <f>1050*1866.7</f>
        <v>1960035</v>
      </c>
      <c r="G780" s="3">
        <f>300*1866.7</f>
        <v>560010</v>
      </c>
      <c r="H780" s="3">
        <f>400*0</f>
        <v>0</v>
      </c>
      <c r="I780" s="3">
        <f>250*1866.7</f>
        <v>466675</v>
      </c>
      <c r="J780" s="3">
        <v>0</v>
      </c>
      <c r="K780" s="4">
        <v>0</v>
      </c>
      <c r="L780" s="3">
        <v>0</v>
      </c>
      <c r="M780" s="3">
        <v>791.7</v>
      </c>
      <c r="N780" s="3">
        <f t="shared" si="410"/>
        <v>4354350</v>
      </c>
      <c r="O780" s="3">
        <v>0</v>
      </c>
      <c r="P780" s="3">
        <v>0</v>
      </c>
      <c r="Q780" s="3">
        <v>1403.7</v>
      </c>
      <c r="R780" s="3">
        <f t="shared" si="407"/>
        <v>4211100</v>
      </c>
      <c r="S780" s="3">
        <v>0</v>
      </c>
      <c r="T780" s="3">
        <v>0</v>
      </c>
      <c r="U780" s="3">
        <v>100000</v>
      </c>
      <c r="V780" s="6">
        <f t="shared" si="408"/>
        <v>5500</v>
      </c>
    </row>
    <row r="781" spans="1:22" ht="21.95" customHeight="1" x14ac:dyDescent="0.25">
      <c r="A781" s="37" t="s">
        <v>1018</v>
      </c>
      <c r="B781" s="41" t="s">
        <v>1658</v>
      </c>
      <c r="C781" s="2">
        <f>D781+L781+N781+P781+R781+S781+T781+U781</f>
        <v>5390000</v>
      </c>
      <c r="D781" s="3">
        <f>SUM(E781:J781)</f>
        <v>0</v>
      </c>
      <c r="E781" s="3">
        <v>0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4">
        <v>0</v>
      </c>
      <c r="L781" s="3">
        <v>0</v>
      </c>
      <c r="M781" s="3">
        <v>0</v>
      </c>
      <c r="N781" s="3">
        <v>0</v>
      </c>
      <c r="O781" s="3">
        <v>0</v>
      </c>
      <c r="P781" s="3">
        <v>0</v>
      </c>
      <c r="Q781" s="42">
        <v>1630</v>
      </c>
      <c r="R781" s="5">
        <f>Q781*3000</f>
        <v>4890000</v>
      </c>
      <c r="S781" s="3">
        <v>0</v>
      </c>
      <c r="T781" s="3">
        <v>0</v>
      </c>
      <c r="U781" s="3">
        <v>500000</v>
      </c>
      <c r="V781" s="6" t="e">
        <f>N781/M781</f>
        <v>#DIV/0!</v>
      </c>
    </row>
    <row r="782" spans="1:22" ht="21.95" customHeight="1" x14ac:dyDescent="0.25">
      <c r="A782" s="37" t="s">
        <v>1978</v>
      </c>
      <c r="B782" s="8" t="s">
        <v>372</v>
      </c>
      <c r="C782" s="2">
        <f>D782+L782+N782+P782+R782+S782+T782+U782</f>
        <v>13400000</v>
      </c>
      <c r="D782" s="3">
        <f t="shared" ref="D782" si="411">SUM(E782:J782)</f>
        <v>0</v>
      </c>
      <c r="E782" s="3">
        <v>0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4">
        <v>6</v>
      </c>
      <c r="L782" s="3">
        <v>12900000</v>
      </c>
      <c r="M782" s="3">
        <v>0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500000</v>
      </c>
      <c r="V782" s="6" t="e">
        <f t="shared" si="408"/>
        <v>#DIV/0!</v>
      </c>
    </row>
    <row r="783" spans="1:22" ht="45" customHeight="1" x14ac:dyDescent="0.25">
      <c r="A783" s="56" t="s">
        <v>377</v>
      </c>
      <c r="B783" s="56"/>
      <c r="C783" s="2">
        <f>SUM(C784:C785)</f>
        <v>3834311.8</v>
      </c>
      <c r="D783" s="2">
        <f t="shared" ref="D783:U783" si="412">SUM(D784:D785)</f>
        <v>90125</v>
      </c>
      <c r="E783" s="2">
        <f t="shared" si="412"/>
        <v>90125</v>
      </c>
      <c r="F783" s="2">
        <f t="shared" si="412"/>
        <v>0</v>
      </c>
      <c r="G783" s="2">
        <f t="shared" si="412"/>
        <v>0</v>
      </c>
      <c r="H783" s="2">
        <f t="shared" si="412"/>
        <v>0</v>
      </c>
      <c r="I783" s="2">
        <f t="shared" si="412"/>
        <v>0</v>
      </c>
      <c r="J783" s="2">
        <f t="shared" si="412"/>
        <v>0</v>
      </c>
      <c r="K783" s="14">
        <f t="shared" si="412"/>
        <v>0</v>
      </c>
      <c r="L783" s="2">
        <f t="shared" si="412"/>
        <v>0</v>
      </c>
      <c r="M783" s="2">
        <f t="shared" si="412"/>
        <v>588.79999999999995</v>
      </c>
      <c r="N783" s="2">
        <f t="shared" si="412"/>
        <v>2632886.7999999998</v>
      </c>
      <c r="O783" s="2">
        <f t="shared" si="412"/>
        <v>0</v>
      </c>
      <c r="P783" s="2">
        <f t="shared" si="412"/>
        <v>0</v>
      </c>
      <c r="Q783" s="2">
        <f t="shared" si="412"/>
        <v>296.5</v>
      </c>
      <c r="R783" s="2">
        <f t="shared" si="412"/>
        <v>889500</v>
      </c>
      <c r="S783" s="2">
        <f t="shared" si="412"/>
        <v>121800</v>
      </c>
      <c r="T783" s="2">
        <f t="shared" si="412"/>
        <v>0</v>
      </c>
      <c r="U783" s="2">
        <f t="shared" si="412"/>
        <v>100000</v>
      </c>
      <c r="V783" s="18">
        <f>C783</f>
        <v>3834311.8</v>
      </c>
    </row>
    <row r="784" spans="1:22" ht="21.95" customHeight="1" x14ac:dyDescent="0.25">
      <c r="A784" s="37" t="s">
        <v>1979</v>
      </c>
      <c r="B784" s="8" t="s">
        <v>374</v>
      </c>
      <c r="C784" s="2">
        <f t="shared" si="371"/>
        <v>2603925</v>
      </c>
      <c r="D784" s="3">
        <f t="shared" ref="D784:D785" si="413">SUM(E784:J784)</f>
        <v>90125</v>
      </c>
      <c r="E784" s="3">
        <f>350*257.5</f>
        <v>90125</v>
      </c>
      <c r="F784" s="3">
        <f>1050*0</f>
        <v>0</v>
      </c>
      <c r="G784" s="3">
        <f>350*0</f>
        <v>0</v>
      </c>
      <c r="H784" s="3">
        <f>400*0</f>
        <v>0</v>
      </c>
      <c r="I784" s="3">
        <f>250*0</f>
        <v>0</v>
      </c>
      <c r="J784" s="3">
        <v>0</v>
      </c>
      <c r="K784" s="4">
        <v>0</v>
      </c>
      <c r="L784" s="3">
        <v>0</v>
      </c>
      <c r="M784" s="3">
        <v>255</v>
      </c>
      <c r="N784" s="3">
        <f t="shared" ref="N784" si="414">M784*5500</f>
        <v>1402500</v>
      </c>
      <c r="O784" s="3">
        <v>0</v>
      </c>
      <c r="P784" s="3">
        <v>0</v>
      </c>
      <c r="Q784" s="3">
        <v>296.5</v>
      </c>
      <c r="R784" s="3">
        <f>Q784*3000</f>
        <v>889500</v>
      </c>
      <c r="S784" s="3">
        <v>121800</v>
      </c>
      <c r="T784" s="3">
        <v>0</v>
      </c>
      <c r="U784" s="3">
        <v>100000</v>
      </c>
      <c r="V784" s="6">
        <f t="shared" ref="V784:V785" si="415">N784/M784</f>
        <v>5500</v>
      </c>
    </row>
    <row r="785" spans="1:22" ht="21.95" customHeight="1" x14ac:dyDescent="0.25">
      <c r="A785" s="37" t="s">
        <v>1019</v>
      </c>
      <c r="B785" s="8" t="s">
        <v>1574</v>
      </c>
      <c r="C785" s="2">
        <f t="shared" si="371"/>
        <v>1230386.8</v>
      </c>
      <c r="D785" s="3">
        <f t="shared" si="413"/>
        <v>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4">
        <v>0</v>
      </c>
      <c r="L785" s="3">
        <v>0</v>
      </c>
      <c r="M785" s="3">
        <v>333.8</v>
      </c>
      <c r="N785" s="3">
        <f>M785*3686</f>
        <v>1230386.8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6">
        <f t="shared" si="415"/>
        <v>3686</v>
      </c>
    </row>
    <row r="786" spans="1:22" ht="45" customHeight="1" x14ac:dyDescent="0.25">
      <c r="A786" s="56" t="s">
        <v>376</v>
      </c>
      <c r="B786" s="56"/>
      <c r="C786" s="2">
        <f>SUM(C787)</f>
        <v>3354260</v>
      </c>
      <c r="D786" s="2">
        <f t="shared" ref="D786:U786" si="416">SUM(D787)</f>
        <v>0</v>
      </c>
      <c r="E786" s="2">
        <f t="shared" si="416"/>
        <v>0</v>
      </c>
      <c r="F786" s="2">
        <f t="shared" si="416"/>
        <v>0</v>
      </c>
      <c r="G786" s="2">
        <f t="shared" si="416"/>
        <v>0</v>
      </c>
      <c r="H786" s="2">
        <f t="shared" si="416"/>
        <v>0</v>
      </c>
      <c r="I786" s="2">
        <f t="shared" si="416"/>
        <v>0</v>
      </c>
      <c r="J786" s="2">
        <f t="shared" si="416"/>
        <v>0</v>
      </c>
      <c r="K786" s="14">
        <f t="shared" si="416"/>
        <v>0</v>
      </c>
      <c r="L786" s="2">
        <f t="shared" si="416"/>
        <v>0</v>
      </c>
      <c r="M786" s="2">
        <f t="shared" si="416"/>
        <v>910</v>
      </c>
      <c r="N786" s="2">
        <f t="shared" si="416"/>
        <v>3354260</v>
      </c>
      <c r="O786" s="2">
        <f t="shared" si="416"/>
        <v>0</v>
      </c>
      <c r="P786" s="2">
        <f t="shared" si="416"/>
        <v>0</v>
      </c>
      <c r="Q786" s="2">
        <f t="shared" si="416"/>
        <v>0</v>
      </c>
      <c r="R786" s="2">
        <f t="shared" si="416"/>
        <v>0</v>
      </c>
      <c r="S786" s="2">
        <f t="shared" si="416"/>
        <v>0</v>
      </c>
      <c r="T786" s="2">
        <f t="shared" si="416"/>
        <v>0</v>
      </c>
      <c r="U786" s="2">
        <f t="shared" si="416"/>
        <v>0</v>
      </c>
      <c r="V786" s="18">
        <f>C786</f>
        <v>3354260</v>
      </c>
    </row>
    <row r="787" spans="1:22" ht="21.95" customHeight="1" x14ac:dyDescent="0.25">
      <c r="A787" s="37" t="s">
        <v>1020</v>
      </c>
      <c r="B787" s="43" t="s">
        <v>1575</v>
      </c>
      <c r="C787" s="2">
        <f t="shared" si="371"/>
        <v>3354260</v>
      </c>
      <c r="D787" s="3">
        <f t="shared" ref="D787" si="417">SUM(E787:J787)</f>
        <v>0</v>
      </c>
      <c r="E787" s="3">
        <v>0</v>
      </c>
      <c r="F787" s="3">
        <f>1050*0</f>
        <v>0</v>
      </c>
      <c r="G787" s="3">
        <f>350*0</f>
        <v>0</v>
      </c>
      <c r="H787" s="3">
        <f>400*0</f>
        <v>0</v>
      </c>
      <c r="I787" s="3">
        <f>250*0</f>
        <v>0</v>
      </c>
      <c r="J787" s="3">
        <v>0</v>
      </c>
      <c r="K787" s="4">
        <v>0</v>
      </c>
      <c r="L787" s="3">
        <v>0</v>
      </c>
      <c r="M787" s="3">
        <v>910</v>
      </c>
      <c r="N787" s="3">
        <f>M787*3686</f>
        <v>3354260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6">
        <f t="shared" ref="V787" si="418">N787/M787</f>
        <v>3686</v>
      </c>
    </row>
    <row r="788" spans="1:22" s="16" customFormat="1" ht="24.95" customHeight="1" x14ac:dyDescent="0.25">
      <c r="A788" s="58" t="s">
        <v>211</v>
      </c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15"/>
    </row>
    <row r="789" spans="1:22" ht="24.95" customHeight="1" x14ac:dyDescent="0.25">
      <c r="A789" s="57" t="s">
        <v>212</v>
      </c>
      <c r="B789" s="57"/>
      <c r="C789" s="2">
        <f>C790+C793+C815+C817+C820+C824+C827+C830+C834+C836+C839+C844+C846+C852+C854+C858+C860+C862+C864+C866+C868+C873+C875+C891+C898+C903+C905+C917+C920+C923+C1118+C1120+C1122+C1124+C1126+C1130+C1133+C1136+C1138+C1140+C1142+C1146+C1148+C1161+C1165</f>
        <v>1429820230.6599998</v>
      </c>
      <c r="D789" s="2">
        <f t="shared" ref="D789:U789" si="419">D790+D793+D815+D817+D820+D824+D827+D830+D834+D836+D839+D844+D846+D852+D854+D858+D860+D862+D864+D866+D868+D873+D875+D891+D898+D903+D905+D917+D920+D923+D1118+D1120+D1122+D1124+D1126+D1130+D1133+D1136+D1138+D1140+D1142+D1146+D1148+D1161+D1165</f>
        <v>297625081.5</v>
      </c>
      <c r="E789" s="2">
        <f t="shared" si="419"/>
        <v>50193353</v>
      </c>
      <c r="F789" s="2">
        <f t="shared" si="419"/>
        <v>139695703</v>
      </c>
      <c r="G789" s="2">
        <f t="shared" si="419"/>
        <v>40502727</v>
      </c>
      <c r="H789" s="2">
        <f t="shared" si="419"/>
        <v>32597220</v>
      </c>
      <c r="I789" s="2">
        <f t="shared" si="419"/>
        <v>34636078.5</v>
      </c>
      <c r="J789" s="2">
        <f t="shared" si="419"/>
        <v>0</v>
      </c>
      <c r="K789" s="48">
        <f t="shared" si="419"/>
        <v>6</v>
      </c>
      <c r="L789" s="2">
        <f t="shared" si="419"/>
        <v>13200000</v>
      </c>
      <c r="M789" s="2">
        <f t="shared" si="419"/>
        <v>159276.59999999998</v>
      </c>
      <c r="N789" s="2">
        <f t="shared" si="419"/>
        <v>833022295.16000009</v>
      </c>
      <c r="O789" s="2">
        <f t="shared" si="419"/>
        <v>1768.9</v>
      </c>
      <c r="P789" s="2">
        <f t="shared" si="419"/>
        <v>2525760</v>
      </c>
      <c r="Q789" s="2">
        <f t="shared" si="419"/>
        <v>88536.74</v>
      </c>
      <c r="R789" s="2">
        <f t="shared" si="419"/>
        <v>265610220</v>
      </c>
      <c r="S789" s="2">
        <f t="shared" si="419"/>
        <v>2736874</v>
      </c>
      <c r="T789" s="2">
        <f t="shared" si="419"/>
        <v>0</v>
      </c>
      <c r="U789" s="2">
        <f t="shared" si="419"/>
        <v>15100000</v>
      </c>
    </row>
    <row r="790" spans="1:22" ht="45" customHeight="1" x14ac:dyDescent="0.25">
      <c r="A790" s="56" t="s">
        <v>1634</v>
      </c>
      <c r="B790" s="56"/>
      <c r="C790" s="2">
        <f>SUM(C791:C792)</f>
        <v>9839500</v>
      </c>
      <c r="D790" s="2">
        <f t="shared" ref="D790:U790" si="420">SUM(D791:D792)</f>
        <v>0</v>
      </c>
      <c r="E790" s="2">
        <f t="shared" si="420"/>
        <v>0</v>
      </c>
      <c r="F790" s="2">
        <f t="shared" si="420"/>
        <v>0</v>
      </c>
      <c r="G790" s="2">
        <f t="shared" si="420"/>
        <v>0</v>
      </c>
      <c r="H790" s="2">
        <f t="shared" si="420"/>
        <v>0</v>
      </c>
      <c r="I790" s="2">
        <f t="shared" si="420"/>
        <v>0</v>
      </c>
      <c r="J790" s="2">
        <f t="shared" si="420"/>
        <v>0</v>
      </c>
      <c r="K790" s="14">
        <f t="shared" si="420"/>
        <v>0</v>
      </c>
      <c r="L790" s="2">
        <f t="shared" si="420"/>
        <v>0</v>
      </c>
      <c r="M790" s="2">
        <f t="shared" si="420"/>
        <v>1789</v>
      </c>
      <c r="N790" s="2">
        <f t="shared" si="420"/>
        <v>9839500</v>
      </c>
      <c r="O790" s="2">
        <f t="shared" si="420"/>
        <v>0</v>
      </c>
      <c r="P790" s="2">
        <f t="shared" si="420"/>
        <v>0</v>
      </c>
      <c r="Q790" s="2">
        <f t="shared" si="420"/>
        <v>0</v>
      </c>
      <c r="R790" s="2">
        <f t="shared" si="420"/>
        <v>0</v>
      </c>
      <c r="S790" s="2">
        <f t="shared" si="420"/>
        <v>0</v>
      </c>
      <c r="T790" s="2">
        <f t="shared" si="420"/>
        <v>0</v>
      </c>
      <c r="U790" s="2">
        <f t="shared" si="420"/>
        <v>0</v>
      </c>
    </row>
    <row r="791" spans="1:22" ht="21.95" customHeight="1" x14ac:dyDescent="0.25">
      <c r="A791" s="37" t="s">
        <v>1021</v>
      </c>
      <c r="B791" s="38" t="s">
        <v>19</v>
      </c>
      <c r="C791" s="2">
        <f t="shared" ref="C791:C856" si="421">D791+L791+N791+P791+R791+S791+T791+U791</f>
        <v>5197500</v>
      </c>
      <c r="D791" s="3">
        <f t="shared" ref="D791:D792" si="422">SUM(E791:J791)</f>
        <v>0</v>
      </c>
      <c r="E791" s="3">
        <v>0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4">
        <v>0</v>
      </c>
      <c r="L791" s="3">
        <v>0</v>
      </c>
      <c r="M791" s="3">
        <v>945</v>
      </c>
      <c r="N791" s="3">
        <f t="shared" ref="N791:N792" si="423">M791*5500</f>
        <v>5197500</v>
      </c>
      <c r="O791" s="3">
        <v>0</v>
      </c>
      <c r="P791" s="3">
        <v>0</v>
      </c>
      <c r="Q791" s="3">
        <v>0</v>
      </c>
      <c r="R791" s="3">
        <f t="shared" ref="R791:R792" si="424">Q791*3000</f>
        <v>0</v>
      </c>
      <c r="S791" s="3">
        <v>0</v>
      </c>
      <c r="T791" s="3">
        <v>0</v>
      </c>
      <c r="U791" s="3">
        <v>0</v>
      </c>
      <c r="V791" s="6">
        <f t="shared" ref="V791:V792" si="425">N791/M791</f>
        <v>5500</v>
      </c>
    </row>
    <row r="792" spans="1:22" ht="21.95" customHeight="1" x14ac:dyDescent="0.25">
      <c r="A792" s="37" t="s">
        <v>1022</v>
      </c>
      <c r="B792" s="38" t="s">
        <v>24</v>
      </c>
      <c r="C792" s="2">
        <f t="shared" si="421"/>
        <v>4642000</v>
      </c>
      <c r="D792" s="3">
        <f t="shared" si="422"/>
        <v>0</v>
      </c>
      <c r="E792" s="3">
        <v>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4">
        <v>0</v>
      </c>
      <c r="L792" s="3">
        <v>0</v>
      </c>
      <c r="M792" s="3">
        <v>844</v>
      </c>
      <c r="N792" s="3">
        <f t="shared" si="423"/>
        <v>4642000</v>
      </c>
      <c r="O792" s="3">
        <v>0</v>
      </c>
      <c r="P792" s="3">
        <v>0</v>
      </c>
      <c r="Q792" s="3">
        <v>0</v>
      </c>
      <c r="R792" s="3">
        <f t="shared" si="424"/>
        <v>0</v>
      </c>
      <c r="S792" s="3">
        <v>0</v>
      </c>
      <c r="T792" s="3">
        <v>0</v>
      </c>
      <c r="U792" s="3">
        <v>0</v>
      </c>
      <c r="V792" s="6">
        <f t="shared" si="425"/>
        <v>5500</v>
      </c>
    </row>
    <row r="793" spans="1:22" ht="45" customHeight="1" x14ac:dyDescent="0.25">
      <c r="A793" s="56" t="s">
        <v>0</v>
      </c>
      <c r="B793" s="56"/>
      <c r="C793" s="2">
        <f>SUM(C794:C814)</f>
        <v>136808567.80000001</v>
      </c>
      <c r="D793" s="2">
        <f t="shared" ref="D793:U793" si="426">SUM(D794:D814)</f>
        <v>19333351.5</v>
      </c>
      <c r="E793" s="2">
        <f t="shared" si="426"/>
        <v>3574095</v>
      </c>
      <c r="F793" s="2">
        <f t="shared" si="426"/>
        <v>10142821.5</v>
      </c>
      <c r="G793" s="2">
        <f t="shared" si="426"/>
        <v>3063510</v>
      </c>
      <c r="H793" s="2">
        <f t="shared" si="426"/>
        <v>0</v>
      </c>
      <c r="I793" s="2">
        <f t="shared" si="426"/>
        <v>2552925</v>
      </c>
      <c r="J793" s="2">
        <f t="shared" si="426"/>
        <v>0</v>
      </c>
      <c r="K793" s="14">
        <f t="shared" si="426"/>
        <v>0</v>
      </c>
      <c r="L793" s="2">
        <f t="shared" si="426"/>
        <v>0</v>
      </c>
      <c r="M793" s="2">
        <f t="shared" si="426"/>
        <v>18497.679999999997</v>
      </c>
      <c r="N793" s="2">
        <f t="shared" si="426"/>
        <v>88695396.300000012</v>
      </c>
      <c r="O793" s="2">
        <f t="shared" si="426"/>
        <v>0</v>
      </c>
      <c r="P793" s="2">
        <f t="shared" si="426"/>
        <v>0</v>
      </c>
      <c r="Q793" s="2">
        <f t="shared" si="426"/>
        <v>9459.9399999999987</v>
      </c>
      <c r="R793" s="2">
        <f t="shared" si="426"/>
        <v>28379820</v>
      </c>
      <c r="S793" s="2">
        <f t="shared" si="426"/>
        <v>0</v>
      </c>
      <c r="T793" s="2">
        <f t="shared" si="426"/>
        <v>0</v>
      </c>
      <c r="U793" s="2">
        <f t="shared" si="426"/>
        <v>400000</v>
      </c>
    </row>
    <row r="794" spans="1:22" ht="20.100000000000001" customHeight="1" x14ac:dyDescent="0.25">
      <c r="A794" s="37" t="s">
        <v>1023</v>
      </c>
      <c r="B794" s="8" t="s">
        <v>1347</v>
      </c>
      <c r="C794" s="2">
        <f t="shared" si="421"/>
        <v>12359158</v>
      </c>
      <c r="D794" s="3">
        <f t="shared" ref="D794:D814" si="427">SUM(E794:J794)</f>
        <v>0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11">
        <v>0</v>
      </c>
      <c r="L794" s="5">
        <v>0</v>
      </c>
      <c r="M794" s="5">
        <v>3353</v>
      </c>
      <c r="N794" s="3">
        <f>M794*3686</f>
        <v>12359158</v>
      </c>
      <c r="O794" s="5">
        <v>0</v>
      </c>
      <c r="P794" s="5">
        <v>0</v>
      </c>
      <c r="Q794" s="5">
        <v>0</v>
      </c>
      <c r="R794" s="3">
        <f t="shared" ref="R794:R814" si="428">Q794*3000</f>
        <v>0</v>
      </c>
      <c r="S794" s="5">
        <v>0</v>
      </c>
      <c r="T794" s="5">
        <v>0</v>
      </c>
      <c r="U794" s="5">
        <v>0</v>
      </c>
      <c r="V794" s="6">
        <f t="shared" ref="V794:V814" si="429">N794/M794</f>
        <v>3686</v>
      </c>
    </row>
    <row r="795" spans="1:22" ht="20.100000000000001" customHeight="1" x14ac:dyDescent="0.25">
      <c r="A795" s="37" t="s">
        <v>1024</v>
      </c>
      <c r="B795" s="8" t="s">
        <v>46</v>
      </c>
      <c r="C795" s="2">
        <f t="shared" si="421"/>
        <v>2827500</v>
      </c>
      <c r="D795" s="3">
        <f t="shared" si="427"/>
        <v>0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4">
        <v>0</v>
      </c>
      <c r="L795" s="3">
        <v>0</v>
      </c>
      <c r="M795" s="3">
        <v>0</v>
      </c>
      <c r="N795" s="20">
        <v>0</v>
      </c>
      <c r="O795" s="3">
        <v>0</v>
      </c>
      <c r="P795" s="3">
        <v>0</v>
      </c>
      <c r="Q795" s="3">
        <v>942.5</v>
      </c>
      <c r="R795" s="3">
        <f t="shared" si="428"/>
        <v>2827500</v>
      </c>
      <c r="S795" s="3">
        <v>0</v>
      </c>
      <c r="T795" s="5">
        <v>0</v>
      </c>
      <c r="U795" s="3">
        <v>0</v>
      </c>
      <c r="V795" s="6" t="e">
        <f t="shared" si="429"/>
        <v>#DIV/0!</v>
      </c>
    </row>
    <row r="796" spans="1:22" ht="20.100000000000001" customHeight="1" x14ac:dyDescent="0.25">
      <c r="A796" s="37" t="s">
        <v>1025</v>
      </c>
      <c r="B796" s="8" t="s">
        <v>49</v>
      </c>
      <c r="C796" s="2">
        <f t="shared" si="421"/>
        <v>10386860</v>
      </c>
      <c r="D796" s="3">
        <f t="shared" si="427"/>
        <v>0</v>
      </c>
      <c r="E796" s="3">
        <v>0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4">
        <v>0</v>
      </c>
      <c r="L796" s="3">
        <v>0</v>
      </c>
      <c r="M796" s="3">
        <v>946.28</v>
      </c>
      <c r="N796" s="3">
        <f t="shared" ref="N796" si="430">M796*5500</f>
        <v>5204540</v>
      </c>
      <c r="O796" s="3">
        <v>0</v>
      </c>
      <c r="P796" s="3">
        <v>0</v>
      </c>
      <c r="Q796" s="3">
        <v>1727.44</v>
      </c>
      <c r="R796" s="3">
        <f t="shared" si="428"/>
        <v>5182320</v>
      </c>
      <c r="S796" s="3">
        <v>0</v>
      </c>
      <c r="T796" s="5">
        <v>0</v>
      </c>
      <c r="U796" s="3">
        <v>0</v>
      </c>
      <c r="V796" s="6">
        <f t="shared" si="429"/>
        <v>5500</v>
      </c>
    </row>
    <row r="797" spans="1:22" ht="20.100000000000001" customHeight="1" x14ac:dyDescent="0.25">
      <c r="A797" s="37" t="s">
        <v>1026</v>
      </c>
      <c r="B797" s="8" t="s">
        <v>1348</v>
      </c>
      <c r="C797" s="2">
        <f t="shared" si="421"/>
        <v>7825276</v>
      </c>
      <c r="D797" s="3">
        <f t="shared" si="427"/>
        <v>7725276</v>
      </c>
      <c r="E797" s="3">
        <f>350*3961.68</f>
        <v>1386588</v>
      </c>
      <c r="F797" s="3">
        <f>1050*3961.68</f>
        <v>4159764</v>
      </c>
      <c r="G797" s="3">
        <f>300*3961.68</f>
        <v>1188504</v>
      </c>
      <c r="H797" s="3">
        <f>400*0</f>
        <v>0</v>
      </c>
      <c r="I797" s="3">
        <f>250*3961.68</f>
        <v>990420</v>
      </c>
      <c r="J797" s="3">
        <v>0</v>
      </c>
      <c r="K797" s="4">
        <v>0</v>
      </c>
      <c r="L797" s="3">
        <v>0</v>
      </c>
      <c r="M797" s="3">
        <v>0</v>
      </c>
      <c r="N797" s="20">
        <v>0</v>
      </c>
      <c r="O797" s="3">
        <v>0</v>
      </c>
      <c r="P797" s="3">
        <v>0</v>
      </c>
      <c r="Q797" s="3">
        <v>0</v>
      </c>
      <c r="R797" s="3">
        <f t="shared" si="428"/>
        <v>0</v>
      </c>
      <c r="S797" s="3">
        <v>0</v>
      </c>
      <c r="T797" s="5">
        <v>0</v>
      </c>
      <c r="U797" s="3">
        <v>100000</v>
      </c>
      <c r="V797" s="6" t="e">
        <f t="shared" si="429"/>
        <v>#DIV/0!</v>
      </c>
    </row>
    <row r="798" spans="1:22" ht="20.100000000000001" customHeight="1" x14ac:dyDescent="0.25">
      <c r="A798" s="37" t="s">
        <v>1027</v>
      </c>
      <c r="B798" s="8" t="s">
        <v>1351</v>
      </c>
      <c r="C798" s="2">
        <f t="shared" si="421"/>
        <v>21934000</v>
      </c>
      <c r="D798" s="3">
        <f t="shared" si="427"/>
        <v>0</v>
      </c>
      <c r="E798" s="3">
        <v>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4">
        <v>0</v>
      </c>
      <c r="L798" s="3">
        <v>0</v>
      </c>
      <c r="M798" s="3">
        <v>3137.2</v>
      </c>
      <c r="N798" s="3">
        <f t="shared" ref="N798" si="431">M798*5500</f>
        <v>17254600</v>
      </c>
      <c r="O798" s="3">
        <v>0</v>
      </c>
      <c r="P798" s="3">
        <v>0</v>
      </c>
      <c r="Q798" s="3">
        <v>1559.8</v>
      </c>
      <c r="R798" s="3">
        <f t="shared" si="428"/>
        <v>4679400</v>
      </c>
      <c r="S798" s="3">
        <v>0</v>
      </c>
      <c r="T798" s="5">
        <v>0</v>
      </c>
      <c r="U798" s="3">
        <v>0</v>
      </c>
      <c r="V798" s="6">
        <f t="shared" si="429"/>
        <v>5500</v>
      </c>
    </row>
    <row r="799" spans="1:22" ht="20.100000000000001" customHeight="1" x14ac:dyDescent="0.25">
      <c r="A799" s="37" t="s">
        <v>1028</v>
      </c>
      <c r="B799" s="8" t="s">
        <v>11</v>
      </c>
      <c r="C799" s="2">
        <f t="shared" si="421"/>
        <v>2629500</v>
      </c>
      <c r="D799" s="3">
        <f t="shared" si="427"/>
        <v>0</v>
      </c>
      <c r="E799" s="3">
        <v>0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4">
        <v>0</v>
      </c>
      <c r="L799" s="3">
        <v>0</v>
      </c>
      <c r="M799" s="3">
        <v>0</v>
      </c>
      <c r="N799" s="20">
        <v>0</v>
      </c>
      <c r="O799" s="3">
        <v>0</v>
      </c>
      <c r="P799" s="3">
        <v>0</v>
      </c>
      <c r="Q799" s="3">
        <v>876.5</v>
      </c>
      <c r="R799" s="3">
        <f t="shared" si="428"/>
        <v>2629500</v>
      </c>
      <c r="S799" s="3">
        <v>0</v>
      </c>
      <c r="T799" s="5">
        <v>0</v>
      </c>
      <c r="U799" s="3">
        <v>0</v>
      </c>
      <c r="V799" s="6" t="e">
        <f t="shared" si="429"/>
        <v>#DIV/0!</v>
      </c>
    </row>
    <row r="800" spans="1:22" ht="20.100000000000001" customHeight="1" x14ac:dyDescent="0.25">
      <c r="A800" s="37" t="s">
        <v>1029</v>
      </c>
      <c r="B800" s="19" t="s">
        <v>59</v>
      </c>
      <c r="C800" s="2">
        <f t="shared" si="421"/>
        <v>3300444.4</v>
      </c>
      <c r="D800" s="3">
        <f t="shared" si="427"/>
        <v>0</v>
      </c>
      <c r="E800" s="3">
        <v>0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4">
        <v>0</v>
      </c>
      <c r="L800" s="3">
        <v>0</v>
      </c>
      <c r="M800" s="3">
        <v>895.4</v>
      </c>
      <c r="N800" s="3">
        <f>M800*3686</f>
        <v>3300444.4</v>
      </c>
      <c r="O800" s="3">
        <v>0</v>
      </c>
      <c r="P800" s="3">
        <v>0</v>
      </c>
      <c r="Q800" s="3">
        <v>0</v>
      </c>
      <c r="R800" s="3">
        <f t="shared" si="428"/>
        <v>0</v>
      </c>
      <c r="S800" s="3">
        <v>0</v>
      </c>
      <c r="T800" s="5">
        <v>0</v>
      </c>
      <c r="U800" s="3">
        <v>0</v>
      </c>
      <c r="V800" s="6">
        <f t="shared" si="429"/>
        <v>3686</v>
      </c>
    </row>
    <row r="801" spans="1:22" ht="20.100000000000001" customHeight="1" x14ac:dyDescent="0.25">
      <c r="A801" s="37" t="s">
        <v>1030</v>
      </c>
      <c r="B801" s="44" t="s">
        <v>62</v>
      </c>
      <c r="C801" s="2">
        <f t="shared" si="421"/>
        <v>5281650</v>
      </c>
      <c r="D801" s="3">
        <f t="shared" si="427"/>
        <v>0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4">
        <v>0</v>
      </c>
      <c r="L801" s="3">
        <v>0</v>
      </c>
      <c r="M801" s="3">
        <v>960.3</v>
      </c>
      <c r="N801" s="3">
        <f t="shared" ref="N801" si="432">M801*5500</f>
        <v>5281650</v>
      </c>
      <c r="O801" s="3">
        <v>0</v>
      </c>
      <c r="P801" s="3">
        <v>0</v>
      </c>
      <c r="Q801" s="3">
        <v>0</v>
      </c>
      <c r="R801" s="3">
        <f t="shared" si="428"/>
        <v>0</v>
      </c>
      <c r="S801" s="3">
        <v>0</v>
      </c>
      <c r="T801" s="5">
        <v>0</v>
      </c>
      <c r="U801" s="3">
        <v>0</v>
      </c>
      <c r="V801" s="6">
        <f t="shared" si="429"/>
        <v>5500</v>
      </c>
    </row>
    <row r="802" spans="1:22" ht="20.100000000000001" customHeight="1" x14ac:dyDescent="0.25">
      <c r="A802" s="37" t="s">
        <v>1560</v>
      </c>
      <c r="B802" s="45" t="s">
        <v>63</v>
      </c>
      <c r="C802" s="2">
        <f t="shared" si="421"/>
        <v>3763406</v>
      </c>
      <c r="D802" s="3">
        <f t="shared" si="427"/>
        <v>0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4">
        <v>0</v>
      </c>
      <c r="L802" s="3">
        <v>0</v>
      </c>
      <c r="M802" s="3">
        <v>1021</v>
      </c>
      <c r="N802" s="3">
        <f>M802*3686</f>
        <v>3763406</v>
      </c>
      <c r="O802" s="3">
        <v>0</v>
      </c>
      <c r="P802" s="3">
        <v>0</v>
      </c>
      <c r="Q802" s="3">
        <v>0</v>
      </c>
      <c r="R802" s="3">
        <f t="shared" si="428"/>
        <v>0</v>
      </c>
      <c r="S802" s="3">
        <v>0</v>
      </c>
      <c r="T802" s="5">
        <v>0</v>
      </c>
      <c r="U802" s="3">
        <v>0</v>
      </c>
      <c r="V802" s="6">
        <f t="shared" si="429"/>
        <v>3686</v>
      </c>
    </row>
    <row r="803" spans="1:22" ht="23.1" customHeight="1" x14ac:dyDescent="0.25">
      <c r="A803" s="37" t="s">
        <v>1031</v>
      </c>
      <c r="B803" s="8" t="s">
        <v>60</v>
      </c>
      <c r="C803" s="2">
        <f t="shared" si="421"/>
        <v>1705550.0000000002</v>
      </c>
      <c r="D803" s="3">
        <f t="shared" si="427"/>
        <v>0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4">
        <v>0</v>
      </c>
      <c r="L803" s="3">
        <v>0</v>
      </c>
      <c r="M803" s="3">
        <v>310.10000000000002</v>
      </c>
      <c r="N803" s="3">
        <f t="shared" ref="N803" si="433">M803*5500</f>
        <v>1705550.0000000002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6">
        <f t="shared" si="429"/>
        <v>5500</v>
      </c>
    </row>
    <row r="804" spans="1:22" ht="20.100000000000001" customHeight="1" x14ac:dyDescent="0.25">
      <c r="A804" s="37" t="s">
        <v>1032</v>
      </c>
      <c r="B804" s="8" t="s">
        <v>35</v>
      </c>
      <c r="C804" s="2">
        <f t="shared" si="421"/>
        <v>24807951</v>
      </c>
      <c r="D804" s="3">
        <f t="shared" si="427"/>
        <v>8982051</v>
      </c>
      <c r="E804" s="3">
        <f>350*4606.18</f>
        <v>1612163</v>
      </c>
      <c r="F804" s="3">
        <f>1050*4606.18</f>
        <v>4836489</v>
      </c>
      <c r="G804" s="3">
        <f>300*4606.18</f>
        <v>1381854</v>
      </c>
      <c r="H804" s="3">
        <f>400*0</f>
        <v>0</v>
      </c>
      <c r="I804" s="3">
        <f>250*4606.18</f>
        <v>1151545</v>
      </c>
      <c r="J804" s="3">
        <v>0</v>
      </c>
      <c r="K804" s="4">
        <v>0</v>
      </c>
      <c r="L804" s="3">
        <v>0</v>
      </c>
      <c r="M804" s="3">
        <v>2057.6</v>
      </c>
      <c r="N804" s="3">
        <f t="shared" ref="N804:N807" si="434">M804*5500</f>
        <v>11316800</v>
      </c>
      <c r="O804" s="3">
        <v>0</v>
      </c>
      <c r="P804" s="3">
        <v>0</v>
      </c>
      <c r="Q804" s="3">
        <v>1469.7</v>
      </c>
      <c r="R804" s="3">
        <f t="shared" si="428"/>
        <v>4409100</v>
      </c>
      <c r="S804" s="3">
        <v>0</v>
      </c>
      <c r="T804" s="5">
        <v>0</v>
      </c>
      <c r="U804" s="3">
        <v>100000</v>
      </c>
      <c r="V804" s="6">
        <f t="shared" si="429"/>
        <v>5500</v>
      </c>
    </row>
    <row r="805" spans="1:22" ht="23.1" customHeight="1" x14ac:dyDescent="0.25">
      <c r="A805" s="37" t="s">
        <v>1033</v>
      </c>
      <c r="B805" s="8" t="s">
        <v>64</v>
      </c>
      <c r="C805" s="2">
        <f t="shared" si="421"/>
        <v>13097316</v>
      </c>
      <c r="D805" s="3">
        <f t="shared" si="427"/>
        <v>0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4">
        <v>0</v>
      </c>
      <c r="L805" s="3">
        <v>0</v>
      </c>
      <c r="M805" s="3">
        <v>1206</v>
      </c>
      <c r="N805" s="3">
        <f t="shared" ref="N805" si="435">M805*3686</f>
        <v>4445316</v>
      </c>
      <c r="O805" s="3">
        <v>0</v>
      </c>
      <c r="P805" s="3">
        <v>0</v>
      </c>
      <c r="Q805" s="3">
        <v>2884</v>
      </c>
      <c r="R805" s="3">
        <f t="shared" si="428"/>
        <v>8652000</v>
      </c>
      <c r="S805" s="3">
        <v>0</v>
      </c>
      <c r="T805" s="3">
        <v>0</v>
      </c>
      <c r="U805" s="3">
        <v>0</v>
      </c>
      <c r="V805" s="6">
        <f t="shared" si="429"/>
        <v>3686</v>
      </c>
    </row>
    <row r="806" spans="1:22" ht="20.100000000000001" customHeight="1" x14ac:dyDescent="0.25">
      <c r="A806" s="37" t="s">
        <v>1034</v>
      </c>
      <c r="B806" s="8" t="s">
        <v>65</v>
      </c>
      <c r="C806" s="2">
        <f t="shared" si="421"/>
        <v>3395700</v>
      </c>
      <c r="D806" s="3">
        <f t="shared" si="427"/>
        <v>0</v>
      </c>
      <c r="E806" s="3">
        <v>0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4">
        <v>0</v>
      </c>
      <c r="L806" s="3">
        <v>0</v>
      </c>
      <c r="M806" s="3">
        <v>617.4</v>
      </c>
      <c r="N806" s="3">
        <f t="shared" si="434"/>
        <v>3395700</v>
      </c>
      <c r="O806" s="3">
        <v>0</v>
      </c>
      <c r="P806" s="3">
        <v>0</v>
      </c>
      <c r="Q806" s="3">
        <v>0</v>
      </c>
      <c r="R806" s="3">
        <f t="shared" si="428"/>
        <v>0</v>
      </c>
      <c r="S806" s="3">
        <v>0</v>
      </c>
      <c r="T806" s="5">
        <v>0</v>
      </c>
      <c r="U806" s="3">
        <v>0</v>
      </c>
      <c r="V806" s="6">
        <f t="shared" si="429"/>
        <v>5500</v>
      </c>
    </row>
    <row r="807" spans="1:22" ht="20.100000000000001" customHeight="1" x14ac:dyDescent="0.25">
      <c r="A807" s="37" t="s">
        <v>1035</v>
      </c>
      <c r="B807" s="8" t="s">
        <v>1349</v>
      </c>
      <c r="C807" s="2">
        <f t="shared" si="421"/>
        <v>4224000</v>
      </c>
      <c r="D807" s="3">
        <f t="shared" si="427"/>
        <v>0</v>
      </c>
      <c r="E807" s="3">
        <v>0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4">
        <v>0</v>
      </c>
      <c r="L807" s="3">
        <v>0</v>
      </c>
      <c r="M807" s="3">
        <v>768</v>
      </c>
      <c r="N807" s="3">
        <f t="shared" si="434"/>
        <v>4224000</v>
      </c>
      <c r="O807" s="3">
        <v>0</v>
      </c>
      <c r="P807" s="3">
        <v>0</v>
      </c>
      <c r="Q807" s="3">
        <v>0</v>
      </c>
      <c r="R807" s="3">
        <f t="shared" si="428"/>
        <v>0</v>
      </c>
      <c r="S807" s="3">
        <v>0</v>
      </c>
      <c r="T807" s="5">
        <v>0</v>
      </c>
      <c r="U807" s="3">
        <v>0</v>
      </c>
      <c r="V807" s="6">
        <f t="shared" si="429"/>
        <v>5500</v>
      </c>
    </row>
    <row r="808" spans="1:22" ht="20.100000000000001" customHeight="1" x14ac:dyDescent="0.25">
      <c r="A808" s="37" t="s">
        <v>1036</v>
      </c>
      <c r="B808" s="8" t="s">
        <v>66</v>
      </c>
      <c r="C808" s="2">
        <f t="shared" si="421"/>
        <v>2632356.9</v>
      </c>
      <c r="D808" s="3">
        <f t="shared" si="427"/>
        <v>0</v>
      </c>
      <c r="E808" s="3">
        <v>0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4">
        <v>0</v>
      </c>
      <c r="L808" s="3">
        <v>0</v>
      </c>
      <c r="M808" s="3">
        <v>714.15</v>
      </c>
      <c r="N808" s="3">
        <f>M808*3686</f>
        <v>2632356.9</v>
      </c>
      <c r="O808" s="3">
        <v>0</v>
      </c>
      <c r="P808" s="3">
        <v>0</v>
      </c>
      <c r="Q808" s="3">
        <v>0</v>
      </c>
      <c r="R808" s="3">
        <f t="shared" si="428"/>
        <v>0</v>
      </c>
      <c r="S808" s="3">
        <v>0</v>
      </c>
      <c r="T808" s="5">
        <v>0</v>
      </c>
      <c r="U808" s="3">
        <v>0</v>
      </c>
      <c r="V808" s="6">
        <f t="shared" si="429"/>
        <v>3686</v>
      </c>
    </row>
    <row r="809" spans="1:22" ht="20.100000000000001" customHeight="1" x14ac:dyDescent="0.25">
      <c r="A809" s="37" t="s">
        <v>1037</v>
      </c>
      <c r="B809" s="8" t="s">
        <v>69</v>
      </c>
      <c r="C809" s="2">
        <f>D809+L809+N809+P809+R809+S809+T809+U809</f>
        <v>1453650</v>
      </c>
      <c r="D809" s="3">
        <f>SUM(E809:J809)</f>
        <v>0</v>
      </c>
      <c r="E809" s="3">
        <v>0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4">
        <v>0</v>
      </c>
      <c r="L809" s="3">
        <v>0</v>
      </c>
      <c r="M809" s="3">
        <v>264.3</v>
      </c>
      <c r="N809" s="3">
        <f>M809*5500</f>
        <v>1453650</v>
      </c>
      <c r="O809" s="3">
        <v>0</v>
      </c>
      <c r="P809" s="3">
        <v>0</v>
      </c>
      <c r="Q809" s="3">
        <v>0</v>
      </c>
      <c r="R809" s="3">
        <f>Q809*3000</f>
        <v>0</v>
      </c>
      <c r="S809" s="3">
        <v>0</v>
      </c>
      <c r="T809" s="5">
        <v>0</v>
      </c>
      <c r="U809" s="3">
        <v>0</v>
      </c>
      <c r="V809" s="6">
        <f>N809/M809</f>
        <v>5500</v>
      </c>
    </row>
    <row r="810" spans="1:22" ht="20.100000000000001" customHeight="1" x14ac:dyDescent="0.25">
      <c r="A810" s="37" t="s">
        <v>1038</v>
      </c>
      <c r="B810" s="8" t="s">
        <v>67</v>
      </c>
      <c r="C810" s="2">
        <f t="shared" si="421"/>
        <v>2229341.5</v>
      </c>
      <c r="D810" s="3">
        <f t="shared" si="427"/>
        <v>2129341.5</v>
      </c>
      <c r="E810" s="3">
        <f>350*1091.97</f>
        <v>382189.5</v>
      </c>
      <c r="F810" s="3">
        <f>1050*1091.97</f>
        <v>1146568.5</v>
      </c>
      <c r="G810" s="3">
        <f>300*1091.97</f>
        <v>327591</v>
      </c>
      <c r="H810" s="3">
        <f>400*0</f>
        <v>0</v>
      </c>
      <c r="I810" s="3">
        <f>250*1091.97</f>
        <v>272992.5</v>
      </c>
      <c r="J810" s="3">
        <v>0</v>
      </c>
      <c r="K810" s="4">
        <v>0</v>
      </c>
      <c r="L810" s="3">
        <v>0</v>
      </c>
      <c r="M810" s="3">
        <v>0</v>
      </c>
      <c r="N810" s="20">
        <v>0</v>
      </c>
      <c r="O810" s="3">
        <v>0</v>
      </c>
      <c r="P810" s="3">
        <v>0</v>
      </c>
      <c r="Q810" s="3">
        <v>0</v>
      </c>
      <c r="R810" s="3">
        <f t="shared" si="428"/>
        <v>0</v>
      </c>
      <c r="S810" s="3">
        <v>0</v>
      </c>
      <c r="T810" s="5">
        <v>0</v>
      </c>
      <c r="U810" s="3">
        <v>100000</v>
      </c>
      <c r="V810" s="6" t="e">
        <f t="shared" si="429"/>
        <v>#DIV/0!</v>
      </c>
    </row>
    <row r="811" spans="1:22" ht="20.100000000000001" customHeight="1" x14ac:dyDescent="0.25">
      <c r="A811" s="37" t="s">
        <v>1039</v>
      </c>
      <c r="B811" s="8" t="s">
        <v>68</v>
      </c>
      <c r="C811" s="2">
        <f t="shared" si="421"/>
        <v>3314783</v>
      </c>
      <c r="D811" s="3">
        <f t="shared" si="427"/>
        <v>496683</v>
      </c>
      <c r="E811" s="3">
        <f>350*551.87</f>
        <v>193154.5</v>
      </c>
      <c r="F811" s="3">
        <f>1050*0</f>
        <v>0</v>
      </c>
      <c r="G811" s="3">
        <f>300*551.87</f>
        <v>165561</v>
      </c>
      <c r="H811" s="3">
        <f>500*0</f>
        <v>0</v>
      </c>
      <c r="I811" s="3">
        <f>250*551.87</f>
        <v>137967.5</v>
      </c>
      <c r="J811" s="3">
        <v>0</v>
      </c>
      <c r="K811" s="4">
        <v>0</v>
      </c>
      <c r="L811" s="3">
        <v>0</v>
      </c>
      <c r="M811" s="3">
        <v>494.2</v>
      </c>
      <c r="N811" s="3">
        <f t="shared" ref="N811:N814" si="436">M811*5500</f>
        <v>2718100</v>
      </c>
      <c r="O811" s="3">
        <v>0</v>
      </c>
      <c r="P811" s="3">
        <v>0</v>
      </c>
      <c r="Q811" s="3">
        <v>0</v>
      </c>
      <c r="R811" s="3">
        <f t="shared" si="428"/>
        <v>0</v>
      </c>
      <c r="S811" s="3">
        <v>0</v>
      </c>
      <c r="T811" s="5">
        <v>0</v>
      </c>
      <c r="U811" s="3">
        <v>100000</v>
      </c>
      <c r="V811" s="6">
        <f t="shared" si="429"/>
        <v>5500</v>
      </c>
    </row>
    <row r="812" spans="1:22" ht="20.100000000000001" customHeight="1" x14ac:dyDescent="0.25">
      <c r="A812" s="37" t="s">
        <v>1040</v>
      </c>
      <c r="B812" s="8" t="s">
        <v>70</v>
      </c>
      <c r="C812" s="2">
        <f t="shared" si="421"/>
        <v>1509199.9999999998</v>
      </c>
      <c r="D812" s="3">
        <f t="shared" si="427"/>
        <v>0</v>
      </c>
      <c r="E812" s="3">
        <v>0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4">
        <v>0</v>
      </c>
      <c r="L812" s="3">
        <v>0</v>
      </c>
      <c r="M812" s="3">
        <v>274.39999999999998</v>
      </c>
      <c r="N812" s="3">
        <f t="shared" si="436"/>
        <v>1509199.9999999998</v>
      </c>
      <c r="O812" s="3">
        <v>0</v>
      </c>
      <c r="P812" s="3">
        <v>0</v>
      </c>
      <c r="Q812" s="3">
        <v>0</v>
      </c>
      <c r="R812" s="3">
        <f t="shared" si="428"/>
        <v>0</v>
      </c>
      <c r="S812" s="3">
        <v>0</v>
      </c>
      <c r="T812" s="5">
        <v>0</v>
      </c>
      <c r="U812" s="3">
        <v>0</v>
      </c>
      <c r="V812" s="6">
        <f t="shared" si="429"/>
        <v>5500</v>
      </c>
    </row>
    <row r="813" spans="1:22" ht="20.100000000000001" customHeight="1" x14ac:dyDescent="0.25">
      <c r="A813" s="37" t="s">
        <v>1041</v>
      </c>
      <c r="B813" s="8" t="s">
        <v>71</v>
      </c>
      <c r="C813" s="2">
        <f t="shared" si="421"/>
        <v>1464265</v>
      </c>
      <c r="D813" s="3">
        <f t="shared" si="427"/>
        <v>0</v>
      </c>
      <c r="E813" s="3">
        <v>0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4">
        <v>0</v>
      </c>
      <c r="L813" s="3">
        <v>0</v>
      </c>
      <c r="M813" s="3">
        <v>266.23</v>
      </c>
      <c r="N813" s="3">
        <f t="shared" si="436"/>
        <v>1464265</v>
      </c>
      <c r="O813" s="3">
        <v>0</v>
      </c>
      <c r="P813" s="3">
        <v>0</v>
      </c>
      <c r="Q813" s="3">
        <v>0</v>
      </c>
      <c r="R813" s="3">
        <f t="shared" si="428"/>
        <v>0</v>
      </c>
      <c r="S813" s="3">
        <v>0</v>
      </c>
      <c r="T813" s="5">
        <v>0</v>
      </c>
      <c r="U813" s="3">
        <v>0</v>
      </c>
      <c r="V813" s="6">
        <f t="shared" si="429"/>
        <v>5500</v>
      </c>
    </row>
    <row r="814" spans="1:22" ht="20.100000000000001" customHeight="1" x14ac:dyDescent="0.25">
      <c r="A814" s="37" t="s">
        <v>1042</v>
      </c>
      <c r="B814" s="8" t="s">
        <v>1178</v>
      </c>
      <c r="C814" s="2">
        <f t="shared" si="421"/>
        <v>6666659.9999999991</v>
      </c>
      <c r="D814" s="3">
        <f t="shared" si="427"/>
        <v>0</v>
      </c>
      <c r="E814" s="3">
        <v>0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4">
        <v>0</v>
      </c>
      <c r="L814" s="3">
        <v>0</v>
      </c>
      <c r="M814" s="3">
        <v>1212.1199999999999</v>
      </c>
      <c r="N814" s="3">
        <f t="shared" si="436"/>
        <v>6666659.9999999991</v>
      </c>
      <c r="O814" s="3">
        <v>0</v>
      </c>
      <c r="P814" s="3">
        <v>0</v>
      </c>
      <c r="Q814" s="3">
        <v>0</v>
      </c>
      <c r="R814" s="3">
        <f t="shared" si="428"/>
        <v>0</v>
      </c>
      <c r="S814" s="3">
        <v>0</v>
      </c>
      <c r="T814" s="5">
        <v>0</v>
      </c>
      <c r="U814" s="3">
        <v>0</v>
      </c>
      <c r="V814" s="6">
        <f t="shared" si="429"/>
        <v>5500</v>
      </c>
    </row>
    <row r="815" spans="1:22" ht="42.95" customHeight="1" x14ac:dyDescent="0.25">
      <c r="A815" s="56" t="s">
        <v>30</v>
      </c>
      <c r="B815" s="56"/>
      <c r="C815" s="2">
        <f>SUM(C816)</f>
        <v>1963500</v>
      </c>
      <c r="D815" s="2">
        <f t="shared" ref="D815:U815" si="437">SUM(D816)</f>
        <v>0</v>
      </c>
      <c r="E815" s="2">
        <f t="shared" si="437"/>
        <v>0</v>
      </c>
      <c r="F815" s="2">
        <f t="shared" si="437"/>
        <v>0</v>
      </c>
      <c r="G815" s="2">
        <f t="shared" si="437"/>
        <v>0</v>
      </c>
      <c r="H815" s="2">
        <f t="shared" si="437"/>
        <v>0</v>
      </c>
      <c r="I815" s="2">
        <f t="shared" si="437"/>
        <v>0</v>
      </c>
      <c r="J815" s="2">
        <f t="shared" si="437"/>
        <v>0</v>
      </c>
      <c r="K815" s="14">
        <f t="shared" si="437"/>
        <v>0</v>
      </c>
      <c r="L815" s="2">
        <f t="shared" si="437"/>
        <v>0</v>
      </c>
      <c r="M815" s="2">
        <f t="shared" si="437"/>
        <v>357</v>
      </c>
      <c r="N815" s="2">
        <f t="shared" si="437"/>
        <v>1963500</v>
      </c>
      <c r="O815" s="2">
        <f t="shared" si="437"/>
        <v>0</v>
      </c>
      <c r="P815" s="2">
        <f t="shared" si="437"/>
        <v>0</v>
      </c>
      <c r="Q815" s="2">
        <f t="shared" si="437"/>
        <v>0</v>
      </c>
      <c r="R815" s="2">
        <f t="shared" si="437"/>
        <v>0</v>
      </c>
      <c r="S815" s="2">
        <f t="shared" si="437"/>
        <v>0</v>
      </c>
      <c r="T815" s="2">
        <f t="shared" si="437"/>
        <v>0</v>
      </c>
      <c r="U815" s="2">
        <f t="shared" si="437"/>
        <v>0</v>
      </c>
      <c r="V815" s="18">
        <f>C815</f>
        <v>1963500</v>
      </c>
    </row>
    <row r="816" spans="1:22" ht="21.95" customHeight="1" x14ac:dyDescent="0.25">
      <c r="A816" s="37" t="s">
        <v>1043</v>
      </c>
      <c r="B816" s="8" t="s">
        <v>31</v>
      </c>
      <c r="C816" s="2">
        <f t="shared" ref="C816" si="438">D816+L816+N816+P816+R816+S816+T816+U816</f>
        <v>1963500</v>
      </c>
      <c r="D816" s="3">
        <f t="shared" ref="D816" si="439">SUM(E816:J816)</f>
        <v>0</v>
      </c>
      <c r="E816" s="3">
        <v>0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4">
        <v>0</v>
      </c>
      <c r="L816" s="3">
        <v>0</v>
      </c>
      <c r="M816" s="3">
        <v>357</v>
      </c>
      <c r="N816" s="3">
        <f t="shared" ref="N816" si="440">M816*5500</f>
        <v>1963500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6">
        <f>N816/M816</f>
        <v>5500</v>
      </c>
    </row>
    <row r="817" spans="1:258" ht="45" customHeight="1" x14ac:dyDescent="0.25">
      <c r="A817" s="56" t="s">
        <v>28</v>
      </c>
      <c r="B817" s="56"/>
      <c r="C817" s="2">
        <f>SUM(C818:C819)</f>
        <v>6794924</v>
      </c>
      <c r="D817" s="2">
        <f t="shared" ref="D817:U817" si="441">SUM(D818:D819)</f>
        <v>293104</v>
      </c>
      <c r="E817" s="2">
        <f t="shared" si="441"/>
        <v>293104</v>
      </c>
      <c r="F817" s="2">
        <f t="shared" si="441"/>
        <v>0</v>
      </c>
      <c r="G817" s="2">
        <f t="shared" si="441"/>
        <v>0</v>
      </c>
      <c r="H817" s="2">
        <f t="shared" si="441"/>
        <v>0</v>
      </c>
      <c r="I817" s="2">
        <f t="shared" si="441"/>
        <v>0</v>
      </c>
      <c r="J817" s="2">
        <f t="shared" si="441"/>
        <v>0</v>
      </c>
      <c r="K817" s="14">
        <f t="shared" si="441"/>
        <v>0</v>
      </c>
      <c r="L817" s="2">
        <f t="shared" si="441"/>
        <v>0</v>
      </c>
      <c r="M817" s="2">
        <f t="shared" si="441"/>
        <v>746</v>
      </c>
      <c r="N817" s="2">
        <f t="shared" si="441"/>
        <v>4103000</v>
      </c>
      <c r="O817" s="2">
        <f t="shared" si="441"/>
        <v>0</v>
      </c>
      <c r="P817" s="2">
        <f t="shared" si="441"/>
        <v>0</v>
      </c>
      <c r="Q817" s="2">
        <f t="shared" si="441"/>
        <v>506</v>
      </c>
      <c r="R817" s="2">
        <f t="shared" si="441"/>
        <v>1518000</v>
      </c>
      <c r="S817" s="2">
        <f t="shared" si="441"/>
        <v>680820</v>
      </c>
      <c r="T817" s="2">
        <f t="shared" si="441"/>
        <v>0</v>
      </c>
      <c r="U817" s="2">
        <f t="shared" si="441"/>
        <v>200000</v>
      </c>
      <c r="V817" s="18">
        <f>C817</f>
        <v>6794924</v>
      </c>
    </row>
    <row r="818" spans="1:258" ht="21.95" customHeight="1" x14ac:dyDescent="0.25">
      <c r="A818" s="37" t="s">
        <v>1044</v>
      </c>
      <c r="B818" s="8" t="s">
        <v>29</v>
      </c>
      <c r="C818" s="2">
        <f t="shared" si="421"/>
        <v>1890047.5</v>
      </c>
      <c r="D818" s="3">
        <f t="shared" ref="D818:D819" si="442">SUM(E818:J818)</f>
        <v>107047.50000000001</v>
      </c>
      <c r="E818" s="3">
        <f>350*305.85</f>
        <v>107047.50000000001</v>
      </c>
      <c r="F818" s="3">
        <f>1050*0</f>
        <v>0</v>
      </c>
      <c r="G818" s="3">
        <f>350*0</f>
        <v>0</v>
      </c>
      <c r="H818" s="3">
        <f>400*0</f>
        <v>0</v>
      </c>
      <c r="I818" s="3">
        <f>250*0</f>
        <v>0</v>
      </c>
      <c r="J818" s="3">
        <v>0</v>
      </c>
      <c r="K818" s="4">
        <v>0</v>
      </c>
      <c r="L818" s="3">
        <v>0</v>
      </c>
      <c r="M818" s="3">
        <v>306</v>
      </c>
      <c r="N818" s="3">
        <f t="shared" ref="N818:N819" si="443">M818*5500</f>
        <v>1683000</v>
      </c>
      <c r="O818" s="3">
        <v>0</v>
      </c>
      <c r="P818" s="3">
        <v>0</v>
      </c>
      <c r="Q818" s="3">
        <v>0</v>
      </c>
      <c r="R818" s="3">
        <f t="shared" ref="R818:R819" si="444">Q818*3000</f>
        <v>0</v>
      </c>
      <c r="S818" s="3">
        <v>0</v>
      </c>
      <c r="T818" s="3">
        <v>0</v>
      </c>
      <c r="U818" s="3">
        <v>100000</v>
      </c>
      <c r="V818" s="6">
        <f t="shared" ref="V818:V819" si="445">N818/M818</f>
        <v>5500</v>
      </c>
    </row>
    <row r="819" spans="1:258" ht="21.95" customHeight="1" x14ac:dyDescent="0.25">
      <c r="A819" s="37" t="s">
        <v>1045</v>
      </c>
      <c r="B819" s="8" t="s">
        <v>1352</v>
      </c>
      <c r="C819" s="2">
        <f t="shared" si="421"/>
        <v>4904876.5</v>
      </c>
      <c r="D819" s="3">
        <f t="shared" si="442"/>
        <v>186056.5</v>
      </c>
      <c r="E819" s="3">
        <f>350*531.59</f>
        <v>186056.5</v>
      </c>
      <c r="F819" s="3">
        <f>1050*0</f>
        <v>0</v>
      </c>
      <c r="G819" s="3">
        <f>350*0</f>
        <v>0</v>
      </c>
      <c r="H819" s="3">
        <f>500*0</f>
        <v>0</v>
      </c>
      <c r="I819" s="3">
        <f>250*0</f>
        <v>0</v>
      </c>
      <c r="J819" s="3">
        <v>0</v>
      </c>
      <c r="K819" s="4">
        <v>0</v>
      </c>
      <c r="L819" s="3">
        <v>0</v>
      </c>
      <c r="M819" s="3">
        <v>440</v>
      </c>
      <c r="N819" s="3">
        <f t="shared" si="443"/>
        <v>2420000</v>
      </c>
      <c r="O819" s="3">
        <v>0</v>
      </c>
      <c r="P819" s="3">
        <v>0</v>
      </c>
      <c r="Q819" s="3">
        <v>506</v>
      </c>
      <c r="R819" s="3">
        <f t="shared" si="444"/>
        <v>1518000</v>
      </c>
      <c r="S819" s="3">
        <v>680820</v>
      </c>
      <c r="T819" s="3">
        <v>0</v>
      </c>
      <c r="U819" s="3">
        <v>100000</v>
      </c>
      <c r="V819" s="6">
        <f t="shared" si="445"/>
        <v>5500</v>
      </c>
    </row>
    <row r="820" spans="1:258" ht="45" customHeight="1" x14ac:dyDescent="0.25">
      <c r="A820" s="56" t="s">
        <v>74</v>
      </c>
      <c r="B820" s="56"/>
      <c r="C820" s="2">
        <f>SUM(C821:C823)</f>
        <v>15415895</v>
      </c>
      <c r="D820" s="2">
        <f t="shared" ref="D820:U820" si="446">SUM(D821:D823)</f>
        <v>0</v>
      </c>
      <c r="E820" s="2">
        <f t="shared" si="446"/>
        <v>0</v>
      </c>
      <c r="F820" s="2">
        <f t="shared" si="446"/>
        <v>0</v>
      </c>
      <c r="G820" s="2">
        <f t="shared" si="446"/>
        <v>0</v>
      </c>
      <c r="H820" s="2">
        <f t="shared" si="446"/>
        <v>0</v>
      </c>
      <c r="I820" s="2">
        <f t="shared" si="446"/>
        <v>0</v>
      </c>
      <c r="J820" s="2">
        <f t="shared" si="446"/>
        <v>0</v>
      </c>
      <c r="K820" s="14">
        <f t="shared" si="446"/>
        <v>0</v>
      </c>
      <c r="L820" s="2">
        <f t="shared" si="446"/>
        <v>0</v>
      </c>
      <c r="M820" s="2">
        <f t="shared" si="446"/>
        <v>1091.1500000000001</v>
      </c>
      <c r="N820" s="2">
        <f t="shared" si="446"/>
        <v>6001325</v>
      </c>
      <c r="O820" s="2">
        <f t="shared" si="446"/>
        <v>0</v>
      </c>
      <c r="P820" s="2">
        <f t="shared" si="446"/>
        <v>0</v>
      </c>
      <c r="Q820" s="2">
        <f t="shared" si="446"/>
        <v>3138.19</v>
      </c>
      <c r="R820" s="2">
        <f t="shared" si="446"/>
        <v>9414570</v>
      </c>
      <c r="S820" s="2">
        <f t="shared" si="446"/>
        <v>0</v>
      </c>
      <c r="T820" s="2">
        <f t="shared" si="446"/>
        <v>0</v>
      </c>
      <c r="U820" s="2">
        <f t="shared" si="446"/>
        <v>0</v>
      </c>
    </row>
    <row r="821" spans="1:258" ht="21.95" customHeight="1" x14ac:dyDescent="0.25">
      <c r="A821" s="36" t="s">
        <v>1046</v>
      </c>
      <c r="B821" s="8" t="s">
        <v>1174</v>
      </c>
      <c r="C821" s="2">
        <f t="shared" si="421"/>
        <v>9414570</v>
      </c>
      <c r="D821" s="3">
        <f t="shared" ref="D821:D823" si="447">SUM(E821:J821)</f>
        <v>0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11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3138.19</v>
      </c>
      <c r="R821" s="3">
        <f t="shared" ref="R821:R823" si="448">Q821*3000</f>
        <v>9414570</v>
      </c>
      <c r="S821" s="5">
        <v>0</v>
      </c>
      <c r="T821" s="5">
        <v>0</v>
      </c>
      <c r="U821" s="5">
        <v>0</v>
      </c>
      <c r="V821" s="6" t="e">
        <f t="shared" ref="V821:V823" si="449">N821/M821</f>
        <v>#DIV/0!</v>
      </c>
    </row>
    <row r="822" spans="1:258" s="6" customFormat="1" ht="21.95" customHeight="1" x14ac:dyDescent="0.25">
      <c r="A822" s="36" t="s">
        <v>1047</v>
      </c>
      <c r="B822" s="8" t="s">
        <v>72</v>
      </c>
      <c r="C822" s="2">
        <f t="shared" si="421"/>
        <v>3658325</v>
      </c>
      <c r="D822" s="3">
        <f t="shared" si="447"/>
        <v>0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11">
        <v>0</v>
      </c>
      <c r="L822" s="5">
        <v>0</v>
      </c>
      <c r="M822" s="5">
        <v>665.15</v>
      </c>
      <c r="N822" s="3">
        <f t="shared" ref="N822:N823" si="450">M822*5500</f>
        <v>3658325</v>
      </c>
      <c r="O822" s="5">
        <v>0</v>
      </c>
      <c r="P822" s="5">
        <v>0</v>
      </c>
      <c r="Q822" s="5">
        <v>0</v>
      </c>
      <c r="R822" s="3">
        <f t="shared" si="448"/>
        <v>0</v>
      </c>
      <c r="S822" s="5">
        <v>0</v>
      </c>
      <c r="T822" s="5">
        <v>0</v>
      </c>
      <c r="U822" s="5">
        <v>0</v>
      </c>
      <c r="V822" s="6">
        <f t="shared" si="449"/>
        <v>5500</v>
      </c>
    </row>
    <row r="823" spans="1:258" s="6" customFormat="1" ht="21.95" customHeight="1" x14ac:dyDescent="0.25">
      <c r="A823" s="36" t="s">
        <v>1048</v>
      </c>
      <c r="B823" s="8" t="s">
        <v>1342</v>
      </c>
      <c r="C823" s="2">
        <f t="shared" si="421"/>
        <v>2343000</v>
      </c>
      <c r="D823" s="3">
        <f t="shared" si="447"/>
        <v>0</v>
      </c>
      <c r="E823" s="3">
        <v>0</v>
      </c>
      <c r="F823" s="3">
        <v>0</v>
      </c>
      <c r="G823" s="3">
        <v>0</v>
      </c>
      <c r="H823" s="3">
        <v>0</v>
      </c>
      <c r="I823" s="3">
        <v>0</v>
      </c>
      <c r="J823" s="3">
        <v>0</v>
      </c>
      <c r="K823" s="11">
        <v>0</v>
      </c>
      <c r="L823" s="5">
        <v>0</v>
      </c>
      <c r="M823" s="5">
        <v>426</v>
      </c>
      <c r="N823" s="3">
        <f t="shared" si="450"/>
        <v>2343000</v>
      </c>
      <c r="O823" s="5">
        <v>0</v>
      </c>
      <c r="P823" s="5">
        <v>0</v>
      </c>
      <c r="Q823" s="5">
        <v>0</v>
      </c>
      <c r="R823" s="3">
        <f t="shared" si="448"/>
        <v>0</v>
      </c>
      <c r="S823" s="5">
        <v>0</v>
      </c>
      <c r="T823" s="5">
        <v>0</v>
      </c>
      <c r="U823" s="5">
        <v>0</v>
      </c>
      <c r="V823" s="6">
        <f t="shared" si="449"/>
        <v>5500</v>
      </c>
    </row>
    <row r="824" spans="1:258" ht="45" customHeight="1" x14ac:dyDescent="0.25">
      <c r="A824" s="56" t="s">
        <v>2</v>
      </c>
      <c r="B824" s="56"/>
      <c r="C824" s="2">
        <f>SUM(C825:C826)</f>
        <v>2465025</v>
      </c>
      <c r="D824" s="2">
        <f t="shared" ref="D824:U824" si="451">SUM(D825:D826)</f>
        <v>2265025</v>
      </c>
      <c r="E824" s="2">
        <f t="shared" si="451"/>
        <v>535010</v>
      </c>
      <c r="F824" s="2">
        <f t="shared" si="451"/>
        <v>643965</v>
      </c>
      <c r="G824" s="2">
        <f t="shared" si="451"/>
        <v>458580</v>
      </c>
      <c r="H824" s="2">
        <f t="shared" si="451"/>
        <v>245319.99999999997</v>
      </c>
      <c r="I824" s="2">
        <f t="shared" si="451"/>
        <v>382150</v>
      </c>
      <c r="J824" s="2">
        <f t="shared" si="451"/>
        <v>0</v>
      </c>
      <c r="K824" s="14">
        <f t="shared" si="451"/>
        <v>0</v>
      </c>
      <c r="L824" s="2">
        <f t="shared" si="451"/>
        <v>0</v>
      </c>
      <c r="M824" s="2">
        <f t="shared" si="451"/>
        <v>0</v>
      </c>
      <c r="N824" s="2">
        <f t="shared" si="451"/>
        <v>0</v>
      </c>
      <c r="O824" s="2">
        <f t="shared" si="451"/>
        <v>0</v>
      </c>
      <c r="P824" s="2">
        <f t="shared" si="451"/>
        <v>0</v>
      </c>
      <c r="Q824" s="2">
        <f t="shared" si="451"/>
        <v>0</v>
      </c>
      <c r="R824" s="2">
        <f t="shared" si="451"/>
        <v>0</v>
      </c>
      <c r="S824" s="2">
        <f t="shared" si="451"/>
        <v>0</v>
      </c>
      <c r="T824" s="2">
        <f t="shared" si="451"/>
        <v>0</v>
      </c>
      <c r="U824" s="2">
        <f t="shared" si="451"/>
        <v>200000</v>
      </c>
    </row>
    <row r="825" spans="1:258" s="17" customFormat="1" ht="21.95" customHeight="1" x14ac:dyDescent="0.25">
      <c r="A825" s="36" t="s">
        <v>1049</v>
      </c>
      <c r="B825" s="8" t="s">
        <v>75</v>
      </c>
      <c r="C825" s="2">
        <f t="shared" si="421"/>
        <v>923770</v>
      </c>
      <c r="D825" s="3">
        <f t="shared" ref="D825:D826" si="452">SUM(E825:J825)</f>
        <v>823770</v>
      </c>
      <c r="E825" s="3">
        <f>350*915.3</f>
        <v>320355</v>
      </c>
      <c r="F825" s="3">
        <f>1050*0</f>
        <v>0</v>
      </c>
      <c r="G825" s="3">
        <f>300*915.3</f>
        <v>274590</v>
      </c>
      <c r="H825" s="3">
        <f>400*0</f>
        <v>0</v>
      </c>
      <c r="I825" s="3">
        <f>250*915.3</f>
        <v>228825</v>
      </c>
      <c r="J825" s="3">
        <f>350*0</f>
        <v>0</v>
      </c>
      <c r="K825" s="4">
        <v>0</v>
      </c>
      <c r="L825" s="3">
        <v>0</v>
      </c>
      <c r="M825" s="5">
        <v>0</v>
      </c>
      <c r="N825" s="5">
        <v>0</v>
      </c>
      <c r="O825" s="3">
        <v>0</v>
      </c>
      <c r="P825" s="3">
        <v>0</v>
      </c>
      <c r="Q825" s="3">
        <v>0</v>
      </c>
      <c r="R825" s="3">
        <f t="shared" ref="R825:R826" si="453">Q825*3000</f>
        <v>0</v>
      </c>
      <c r="S825" s="3">
        <v>0</v>
      </c>
      <c r="T825" s="3">
        <v>0</v>
      </c>
      <c r="U825" s="3">
        <v>100000</v>
      </c>
      <c r="V825" s="6" t="e">
        <f t="shared" ref="V825:V826" si="454">N825/M825</f>
        <v>#DIV/0!</v>
      </c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  <c r="CU825" s="7"/>
      <c r="CV825" s="7"/>
      <c r="CW825" s="7"/>
      <c r="CX825" s="7"/>
      <c r="CY825" s="7"/>
      <c r="CZ825" s="7"/>
      <c r="DA825" s="7"/>
      <c r="DB825" s="7"/>
      <c r="DC825" s="7"/>
      <c r="DD825" s="7"/>
      <c r="DE825" s="7"/>
      <c r="DF825" s="7"/>
      <c r="DG825" s="7"/>
      <c r="DH825" s="7"/>
      <c r="DI825" s="7"/>
      <c r="DJ825" s="7"/>
      <c r="DK825" s="7"/>
      <c r="DL825" s="7"/>
      <c r="DM825" s="7"/>
      <c r="DN825" s="7"/>
      <c r="DO825" s="7"/>
      <c r="DP825" s="7"/>
      <c r="DQ825" s="7"/>
      <c r="DR825" s="7"/>
      <c r="DS825" s="7"/>
      <c r="DT825" s="7"/>
      <c r="DU825" s="7"/>
      <c r="DV825" s="7"/>
      <c r="DW825" s="7"/>
      <c r="DX825" s="7"/>
      <c r="DY825" s="7"/>
      <c r="DZ825" s="7"/>
      <c r="EA825" s="7"/>
      <c r="EB825" s="7"/>
      <c r="EC825" s="7"/>
      <c r="ED825" s="7"/>
      <c r="EE825" s="7"/>
      <c r="EF825" s="7"/>
      <c r="EG825" s="7"/>
      <c r="EH825" s="7"/>
      <c r="EI825" s="7"/>
      <c r="EJ825" s="7"/>
      <c r="EK825" s="7"/>
      <c r="EL825" s="7"/>
      <c r="EM825" s="7"/>
      <c r="EN825" s="7"/>
      <c r="EO825" s="7"/>
      <c r="EP825" s="7"/>
      <c r="EQ825" s="7"/>
      <c r="ER825" s="7"/>
      <c r="ES825" s="7"/>
      <c r="ET825" s="7"/>
      <c r="EU825" s="7"/>
      <c r="EV825" s="7"/>
      <c r="EW825" s="7"/>
      <c r="EX825" s="7"/>
      <c r="EY825" s="7"/>
      <c r="EZ825" s="7"/>
      <c r="FA825" s="7"/>
      <c r="FB825" s="7"/>
      <c r="FC825" s="7"/>
      <c r="FD825" s="7"/>
      <c r="FE825" s="7"/>
      <c r="FF825" s="7"/>
      <c r="FG825" s="7"/>
      <c r="FH825" s="7"/>
      <c r="FI825" s="7"/>
      <c r="FJ825" s="7"/>
      <c r="FK825" s="7"/>
      <c r="FL825" s="7"/>
      <c r="FM825" s="7"/>
      <c r="FN825" s="7"/>
      <c r="FO825" s="7"/>
      <c r="FP825" s="7"/>
      <c r="FQ825" s="7"/>
      <c r="FR825" s="7"/>
      <c r="FS825" s="7"/>
      <c r="FT825" s="7"/>
      <c r="FU825" s="7"/>
      <c r="FV825" s="7"/>
      <c r="FW825" s="7"/>
      <c r="FX825" s="7"/>
      <c r="FY825" s="7"/>
      <c r="FZ825" s="7"/>
      <c r="GA825" s="7"/>
      <c r="GB825" s="7"/>
      <c r="GC825" s="7"/>
      <c r="GD825" s="7"/>
      <c r="GE825" s="7"/>
      <c r="GF825" s="7"/>
      <c r="GG825" s="7"/>
      <c r="GH825" s="7"/>
      <c r="GI825" s="7"/>
      <c r="GJ825" s="7"/>
      <c r="GK825" s="7"/>
      <c r="GL825" s="7"/>
      <c r="GM825" s="7"/>
      <c r="GN825" s="7"/>
      <c r="GO825" s="7"/>
      <c r="GP825" s="7"/>
      <c r="GQ825" s="7"/>
      <c r="GR825" s="7"/>
      <c r="GS825" s="7"/>
      <c r="GT825" s="7"/>
      <c r="GU825" s="7"/>
      <c r="GV825" s="7"/>
      <c r="GW825" s="7"/>
      <c r="GX825" s="7"/>
      <c r="GY825" s="7"/>
      <c r="GZ825" s="7"/>
      <c r="HA825" s="7"/>
      <c r="HB825" s="7"/>
      <c r="HC825" s="7"/>
      <c r="HD825" s="7"/>
      <c r="HE825" s="7"/>
      <c r="HF825" s="7"/>
      <c r="HG825" s="7"/>
      <c r="HH825" s="7"/>
      <c r="HI825" s="7"/>
      <c r="HJ825" s="7"/>
      <c r="HK825" s="7"/>
      <c r="HL825" s="7"/>
      <c r="HM825" s="7"/>
      <c r="HN825" s="7"/>
      <c r="HO825" s="7"/>
      <c r="HP825" s="7"/>
      <c r="HQ825" s="7"/>
      <c r="HR825" s="7"/>
      <c r="HS825" s="7"/>
      <c r="HT825" s="7"/>
      <c r="HU825" s="7"/>
      <c r="HV825" s="7"/>
      <c r="HW825" s="7"/>
      <c r="HX825" s="7"/>
      <c r="HY825" s="7"/>
      <c r="HZ825" s="7"/>
      <c r="IA825" s="7"/>
      <c r="IB825" s="7"/>
      <c r="IC825" s="7"/>
      <c r="ID825" s="7"/>
      <c r="IE825" s="7"/>
      <c r="IF825" s="7"/>
      <c r="IG825" s="7"/>
      <c r="IH825" s="7"/>
      <c r="II825" s="7"/>
      <c r="IJ825" s="7"/>
      <c r="IK825" s="7"/>
      <c r="IL825" s="7"/>
      <c r="IM825" s="7"/>
      <c r="IN825" s="7"/>
      <c r="IO825" s="7"/>
      <c r="IP825" s="7"/>
      <c r="IQ825" s="7"/>
      <c r="IR825" s="7"/>
      <c r="IS825" s="7"/>
      <c r="IT825" s="7"/>
      <c r="IU825" s="7"/>
      <c r="IV825" s="7"/>
      <c r="IW825" s="7"/>
      <c r="IX825" s="7"/>
    </row>
    <row r="826" spans="1:258" ht="21.95" customHeight="1" x14ac:dyDescent="0.25">
      <c r="A826" s="36" t="s">
        <v>1050</v>
      </c>
      <c r="B826" s="8" t="s">
        <v>76</v>
      </c>
      <c r="C826" s="2">
        <f t="shared" si="421"/>
        <v>1541255</v>
      </c>
      <c r="D826" s="3">
        <f t="shared" si="452"/>
        <v>1441255</v>
      </c>
      <c r="E826" s="3">
        <f>350*613.3</f>
        <v>214654.99999999997</v>
      </c>
      <c r="F826" s="3">
        <f>1050*613.3</f>
        <v>643965</v>
      </c>
      <c r="G826" s="3">
        <f>300*613.3</f>
        <v>183990</v>
      </c>
      <c r="H826" s="3">
        <f>400*613.3</f>
        <v>245319.99999999997</v>
      </c>
      <c r="I826" s="3">
        <f>250*613.3</f>
        <v>153325</v>
      </c>
      <c r="J826" s="3">
        <f>350*0</f>
        <v>0</v>
      </c>
      <c r="K826" s="11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3">
        <f t="shared" si="453"/>
        <v>0</v>
      </c>
      <c r="S826" s="5">
        <v>0</v>
      </c>
      <c r="T826" s="3">
        <v>0</v>
      </c>
      <c r="U826" s="5">
        <v>100000</v>
      </c>
      <c r="V826" s="6" t="e">
        <f t="shared" si="454"/>
        <v>#DIV/0!</v>
      </c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  <c r="DQ826" s="6"/>
      <c r="DR826" s="6"/>
      <c r="DS826" s="6"/>
      <c r="DT826" s="6"/>
      <c r="DU826" s="6"/>
      <c r="DV826" s="6"/>
      <c r="DW826" s="6"/>
      <c r="DX826" s="6"/>
      <c r="DY826" s="6"/>
      <c r="DZ826" s="6"/>
      <c r="EA826" s="6"/>
      <c r="EB826" s="6"/>
      <c r="EC826" s="6"/>
      <c r="ED826" s="6"/>
      <c r="EE826" s="6"/>
      <c r="EF826" s="6"/>
      <c r="EG826" s="6"/>
      <c r="EH826" s="6"/>
      <c r="EI826" s="6"/>
      <c r="EJ826" s="6"/>
      <c r="EK826" s="6"/>
      <c r="EL826" s="6"/>
      <c r="EM826" s="6"/>
      <c r="EN826" s="6"/>
      <c r="EO826" s="6"/>
      <c r="EP826" s="6"/>
      <c r="EQ826" s="6"/>
      <c r="ER826" s="6"/>
      <c r="ES826" s="6"/>
      <c r="ET826" s="6"/>
      <c r="EU826" s="6"/>
      <c r="EV826" s="6"/>
      <c r="EW826" s="6"/>
      <c r="EX826" s="6"/>
      <c r="EY826" s="6"/>
      <c r="EZ826" s="6"/>
      <c r="FA826" s="6"/>
      <c r="FB826" s="6"/>
      <c r="FC826" s="6"/>
      <c r="FD826" s="6"/>
      <c r="FE826" s="6"/>
      <c r="FF826" s="6"/>
      <c r="FG826" s="6"/>
      <c r="FH826" s="6"/>
      <c r="FI826" s="6"/>
      <c r="FJ826" s="6"/>
      <c r="FK826" s="6"/>
      <c r="FL826" s="6"/>
      <c r="FM826" s="6"/>
      <c r="FN826" s="6"/>
      <c r="FO826" s="6"/>
      <c r="FP826" s="6"/>
      <c r="FQ826" s="6"/>
      <c r="FR826" s="6"/>
      <c r="FS826" s="6"/>
      <c r="FT826" s="6"/>
      <c r="FU826" s="6"/>
      <c r="FV826" s="6"/>
      <c r="FW826" s="6"/>
      <c r="FX826" s="6"/>
      <c r="FY826" s="6"/>
      <c r="FZ826" s="6"/>
      <c r="GA826" s="6"/>
      <c r="GB826" s="6"/>
      <c r="GC826" s="6"/>
      <c r="GD826" s="6"/>
      <c r="GE826" s="6"/>
      <c r="GF826" s="6"/>
      <c r="GG826" s="6"/>
      <c r="GH826" s="6"/>
      <c r="GI826" s="6"/>
      <c r="GJ826" s="6"/>
      <c r="GK826" s="6"/>
      <c r="GL826" s="6"/>
      <c r="GM826" s="6"/>
      <c r="GN826" s="6"/>
      <c r="GO826" s="6"/>
      <c r="GP826" s="6"/>
      <c r="GQ826" s="6"/>
      <c r="GR826" s="6"/>
      <c r="GS826" s="6"/>
      <c r="GT826" s="6"/>
      <c r="GU826" s="6"/>
      <c r="GV826" s="6"/>
      <c r="GW826" s="6"/>
      <c r="GX826" s="6"/>
      <c r="GY826" s="6"/>
      <c r="GZ826" s="6"/>
      <c r="HA826" s="6"/>
      <c r="HB826" s="6"/>
      <c r="HC826" s="6"/>
      <c r="HD826" s="6"/>
      <c r="HE826" s="6"/>
      <c r="HF826" s="6"/>
      <c r="HG826" s="6"/>
      <c r="HH826" s="6"/>
      <c r="HI826" s="6"/>
      <c r="HJ826" s="6"/>
      <c r="HK826" s="6"/>
      <c r="HL826" s="6"/>
      <c r="HM826" s="6"/>
      <c r="HN826" s="6"/>
      <c r="HO826" s="6"/>
      <c r="HP826" s="6"/>
      <c r="HQ826" s="6"/>
      <c r="HR826" s="6"/>
      <c r="HS826" s="6"/>
      <c r="HT826" s="6"/>
      <c r="HU826" s="6"/>
      <c r="HV826" s="6"/>
      <c r="HW826" s="6"/>
      <c r="HX826" s="6"/>
      <c r="HY826" s="6"/>
      <c r="HZ826" s="6"/>
      <c r="IA826" s="6"/>
      <c r="IB826" s="6"/>
      <c r="IC826" s="6"/>
      <c r="ID826" s="6"/>
      <c r="IE826" s="6"/>
      <c r="IF826" s="6"/>
      <c r="IG826" s="6"/>
      <c r="IH826" s="6"/>
      <c r="II826" s="6"/>
      <c r="IJ826" s="6"/>
      <c r="IK826" s="6"/>
      <c r="IL826" s="6"/>
      <c r="IM826" s="6"/>
      <c r="IN826" s="6"/>
      <c r="IO826" s="6"/>
      <c r="IP826" s="6"/>
      <c r="IQ826" s="6"/>
      <c r="IR826" s="6"/>
      <c r="IS826" s="6"/>
      <c r="IT826" s="6"/>
      <c r="IU826" s="6"/>
      <c r="IV826" s="6"/>
      <c r="IW826" s="6"/>
      <c r="IX826" s="6"/>
    </row>
    <row r="827" spans="1:258" ht="45" customHeight="1" x14ac:dyDescent="0.25">
      <c r="A827" s="56" t="s">
        <v>81</v>
      </c>
      <c r="B827" s="56"/>
      <c r="C827" s="2">
        <f>SUM(C828:C829)</f>
        <v>2060850</v>
      </c>
      <c r="D827" s="2">
        <f t="shared" ref="D827:U827" si="455">SUM(D828:D829)</f>
        <v>0</v>
      </c>
      <c r="E827" s="2">
        <f t="shared" si="455"/>
        <v>0</v>
      </c>
      <c r="F827" s="2">
        <f t="shared" si="455"/>
        <v>0</v>
      </c>
      <c r="G827" s="2">
        <f t="shared" si="455"/>
        <v>0</v>
      </c>
      <c r="H827" s="2">
        <f t="shared" si="455"/>
        <v>0</v>
      </c>
      <c r="I827" s="2">
        <f t="shared" si="455"/>
        <v>0</v>
      </c>
      <c r="J827" s="2">
        <f t="shared" si="455"/>
        <v>0</v>
      </c>
      <c r="K827" s="14">
        <f t="shared" si="455"/>
        <v>0</v>
      </c>
      <c r="L827" s="2">
        <f t="shared" si="455"/>
        <v>0</v>
      </c>
      <c r="M827" s="2">
        <f t="shared" si="455"/>
        <v>374.7</v>
      </c>
      <c r="N827" s="2">
        <f t="shared" si="455"/>
        <v>2060850</v>
      </c>
      <c r="O827" s="2">
        <f t="shared" si="455"/>
        <v>0</v>
      </c>
      <c r="P827" s="2">
        <f t="shared" si="455"/>
        <v>0</v>
      </c>
      <c r="Q827" s="2">
        <f t="shared" si="455"/>
        <v>0</v>
      </c>
      <c r="R827" s="2">
        <f t="shared" si="455"/>
        <v>0</v>
      </c>
      <c r="S827" s="2">
        <f t="shared" si="455"/>
        <v>0</v>
      </c>
      <c r="T827" s="2">
        <f t="shared" si="455"/>
        <v>0</v>
      </c>
      <c r="U827" s="2">
        <f t="shared" si="455"/>
        <v>0</v>
      </c>
    </row>
    <row r="828" spans="1:258" ht="21.95" customHeight="1" x14ac:dyDescent="0.25">
      <c r="A828" s="37" t="s">
        <v>1051</v>
      </c>
      <c r="B828" s="1" t="s">
        <v>82</v>
      </c>
      <c r="C828" s="2">
        <f t="shared" si="421"/>
        <v>1015849.9999999999</v>
      </c>
      <c r="D828" s="3">
        <f t="shared" ref="D828:D829" si="456">SUM(E828:J828)</f>
        <v>0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  <c r="K828" s="4">
        <v>0</v>
      </c>
      <c r="L828" s="3">
        <v>0</v>
      </c>
      <c r="M828" s="3">
        <v>184.7</v>
      </c>
      <c r="N828" s="3">
        <f t="shared" ref="N828:N829" si="457">M828*5500</f>
        <v>1015849.9999999999</v>
      </c>
      <c r="O828" s="3">
        <v>0</v>
      </c>
      <c r="P828" s="3">
        <v>0</v>
      </c>
      <c r="Q828" s="3">
        <v>0</v>
      </c>
      <c r="R828" s="3">
        <f t="shared" ref="R828:R829" si="458">Q828*3000</f>
        <v>0</v>
      </c>
      <c r="S828" s="3">
        <v>0</v>
      </c>
      <c r="T828" s="3">
        <v>0</v>
      </c>
      <c r="U828" s="3">
        <v>0</v>
      </c>
      <c r="V828" s="6">
        <f t="shared" ref="V828:V829" si="459">N828/M828</f>
        <v>5500</v>
      </c>
    </row>
    <row r="829" spans="1:258" s="17" customFormat="1" ht="21.95" customHeight="1" x14ac:dyDescent="0.25">
      <c r="A829" s="37" t="s">
        <v>1052</v>
      </c>
      <c r="B829" s="1" t="s">
        <v>83</v>
      </c>
      <c r="C829" s="2">
        <f t="shared" si="421"/>
        <v>1045000</v>
      </c>
      <c r="D829" s="3">
        <f t="shared" si="456"/>
        <v>0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4">
        <v>0</v>
      </c>
      <c r="L829" s="3">
        <v>0</v>
      </c>
      <c r="M829" s="3">
        <v>190</v>
      </c>
      <c r="N829" s="3">
        <f t="shared" si="457"/>
        <v>1045000</v>
      </c>
      <c r="O829" s="3">
        <v>0</v>
      </c>
      <c r="P829" s="3">
        <v>0</v>
      </c>
      <c r="Q829" s="3">
        <v>0</v>
      </c>
      <c r="R829" s="3">
        <f t="shared" si="458"/>
        <v>0</v>
      </c>
      <c r="S829" s="3">
        <v>0</v>
      </c>
      <c r="T829" s="3">
        <v>0</v>
      </c>
      <c r="U829" s="3">
        <v>0</v>
      </c>
      <c r="V829" s="6">
        <f t="shared" si="459"/>
        <v>5500</v>
      </c>
    </row>
    <row r="830" spans="1:258" ht="45" customHeight="1" x14ac:dyDescent="0.25">
      <c r="A830" s="56" t="s">
        <v>832</v>
      </c>
      <c r="B830" s="56"/>
      <c r="C830" s="2">
        <f>SUM(C831:C833)</f>
        <v>11442633</v>
      </c>
      <c r="D830" s="2">
        <f t="shared" ref="D830:U830" si="460">SUM(D831:D833)</f>
        <v>3267333</v>
      </c>
      <c r="E830" s="2">
        <f t="shared" si="460"/>
        <v>571193</v>
      </c>
      <c r="F830" s="2">
        <f t="shared" si="460"/>
        <v>1302399</v>
      </c>
      <c r="G830" s="2">
        <f t="shared" si="460"/>
        <v>489594</v>
      </c>
      <c r="H830" s="2">
        <f t="shared" si="460"/>
        <v>496152</v>
      </c>
      <c r="I830" s="2">
        <f t="shared" si="460"/>
        <v>407995</v>
      </c>
      <c r="J830" s="2">
        <f t="shared" si="460"/>
        <v>0</v>
      </c>
      <c r="K830" s="14">
        <f t="shared" si="460"/>
        <v>0</v>
      </c>
      <c r="L830" s="2">
        <f t="shared" si="460"/>
        <v>0</v>
      </c>
      <c r="M830" s="2">
        <f t="shared" si="460"/>
        <v>1128.5999999999999</v>
      </c>
      <c r="N830" s="2">
        <f t="shared" si="460"/>
        <v>6207300</v>
      </c>
      <c r="O830" s="2">
        <f t="shared" si="460"/>
        <v>0</v>
      </c>
      <c r="P830" s="2">
        <f t="shared" si="460"/>
        <v>0</v>
      </c>
      <c r="Q830" s="2">
        <f t="shared" si="460"/>
        <v>556</v>
      </c>
      <c r="R830" s="2">
        <f t="shared" si="460"/>
        <v>1668000</v>
      </c>
      <c r="S830" s="2">
        <f t="shared" si="460"/>
        <v>0</v>
      </c>
      <c r="T830" s="2">
        <f t="shared" si="460"/>
        <v>0</v>
      </c>
      <c r="U830" s="2">
        <f t="shared" si="460"/>
        <v>300000</v>
      </c>
    </row>
    <row r="831" spans="1:258" ht="21.95" customHeight="1" x14ac:dyDescent="0.25">
      <c r="A831" s="37" t="s">
        <v>1053</v>
      </c>
      <c r="B831" s="8" t="s">
        <v>85</v>
      </c>
      <c r="C831" s="2">
        <f t="shared" si="421"/>
        <v>2055139.9999999998</v>
      </c>
      <c r="D831" s="3">
        <f t="shared" ref="D831:D833" si="461">SUM(E831:J831)</f>
        <v>352440</v>
      </c>
      <c r="E831" s="3">
        <f>350*391.6</f>
        <v>137060</v>
      </c>
      <c r="F831" s="3">
        <v>0</v>
      </c>
      <c r="G831" s="3">
        <f>300*391.6</f>
        <v>117480</v>
      </c>
      <c r="H831" s="3">
        <v>0</v>
      </c>
      <c r="I831" s="3">
        <f>250*391.6</f>
        <v>97900</v>
      </c>
      <c r="J831" s="3">
        <f>350*0</f>
        <v>0</v>
      </c>
      <c r="K831" s="4">
        <v>0</v>
      </c>
      <c r="L831" s="3">
        <v>0</v>
      </c>
      <c r="M831" s="5">
        <v>291.39999999999998</v>
      </c>
      <c r="N831" s="3">
        <f t="shared" ref="N831:N833" si="462">M831*5500</f>
        <v>1602699.9999999998</v>
      </c>
      <c r="O831" s="3">
        <v>0</v>
      </c>
      <c r="P831" s="3">
        <v>0</v>
      </c>
      <c r="Q831" s="3">
        <v>0</v>
      </c>
      <c r="R831" s="3">
        <f t="shared" ref="R831:R833" si="463">Q831*3000</f>
        <v>0</v>
      </c>
      <c r="S831" s="3">
        <v>0</v>
      </c>
      <c r="T831" s="3">
        <v>0</v>
      </c>
      <c r="U831" s="3">
        <v>100000</v>
      </c>
      <c r="V831" s="6">
        <f t="shared" ref="V831:V833" si="464">N831/M831</f>
        <v>5500</v>
      </c>
    </row>
    <row r="832" spans="1:258" ht="21.95" customHeight="1" x14ac:dyDescent="0.25">
      <c r="A832" s="37" t="s">
        <v>1630</v>
      </c>
      <c r="B832" s="8" t="s">
        <v>1341</v>
      </c>
      <c r="C832" s="2">
        <f t="shared" si="421"/>
        <v>6294980</v>
      </c>
      <c r="D832" s="3">
        <f t="shared" si="461"/>
        <v>1754980</v>
      </c>
      <c r="E832" s="3">
        <f>350*746.8</f>
        <v>261379.99999999997</v>
      </c>
      <c r="F832" s="3">
        <f>1050*746.8</f>
        <v>784140</v>
      </c>
      <c r="G832" s="3">
        <f>300*746.8</f>
        <v>224040</v>
      </c>
      <c r="H832" s="3">
        <f>400*746.8</f>
        <v>298720</v>
      </c>
      <c r="I832" s="3">
        <f>250*746.8</f>
        <v>186700</v>
      </c>
      <c r="J832" s="3">
        <v>0</v>
      </c>
      <c r="K832" s="4">
        <v>0</v>
      </c>
      <c r="L832" s="3">
        <v>0</v>
      </c>
      <c r="M832" s="5">
        <v>504</v>
      </c>
      <c r="N832" s="3">
        <f t="shared" si="462"/>
        <v>2772000</v>
      </c>
      <c r="O832" s="3">
        <v>0</v>
      </c>
      <c r="P832" s="3">
        <v>0</v>
      </c>
      <c r="Q832" s="3">
        <v>556</v>
      </c>
      <c r="R832" s="3">
        <f t="shared" si="463"/>
        <v>1668000</v>
      </c>
      <c r="S832" s="3">
        <v>0</v>
      </c>
      <c r="T832" s="3">
        <v>0</v>
      </c>
      <c r="U832" s="3">
        <v>100000</v>
      </c>
      <c r="V832" s="6">
        <f t="shared" si="464"/>
        <v>5500</v>
      </c>
    </row>
    <row r="833" spans="1:22" ht="21.95" customHeight="1" x14ac:dyDescent="0.25">
      <c r="A833" s="37" t="s">
        <v>1054</v>
      </c>
      <c r="B833" s="8" t="s">
        <v>86</v>
      </c>
      <c r="C833" s="2">
        <f t="shared" si="421"/>
        <v>3092513</v>
      </c>
      <c r="D833" s="3">
        <f t="shared" si="461"/>
        <v>1159913</v>
      </c>
      <c r="E833" s="3">
        <f>350*493.58</f>
        <v>172753</v>
      </c>
      <c r="F833" s="3">
        <f>1050*493.58</f>
        <v>518259</v>
      </c>
      <c r="G833" s="3">
        <f>300*493.58</f>
        <v>148074</v>
      </c>
      <c r="H833" s="3">
        <f>400*493.58</f>
        <v>197432</v>
      </c>
      <c r="I833" s="3">
        <f>250*493.58</f>
        <v>123395</v>
      </c>
      <c r="J833" s="3">
        <v>0</v>
      </c>
      <c r="K833" s="4">
        <v>0</v>
      </c>
      <c r="L833" s="3">
        <v>0</v>
      </c>
      <c r="M833" s="5">
        <v>333.2</v>
      </c>
      <c r="N833" s="3">
        <f t="shared" si="462"/>
        <v>1832600</v>
      </c>
      <c r="O833" s="3">
        <v>0</v>
      </c>
      <c r="P833" s="3">
        <v>0</v>
      </c>
      <c r="Q833" s="3">
        <v>0</v>
      </c>
      <c r="R833" s="3">
        <f t="shared" si="463"/>
        <v>0</v>
      </c>
      <c r="S833" s="3">
        <v>0</v>
      </c>
      <c r="T833" s="3">
        <v>0</v>
      </c>
      <c r="U833" s="3">
        <v>100000</v>
      </c>
      <c r="V833" s="6">
        <f t="shared" si="464"/>
        <v>5500</v>
      </c>
    </row>
    <row r="834" spans="1:22" ht="45" customHeight="1" x14ac:dyDescent="0.25">
      <c r="A834" s="56" t="s">
        <v>1159</v>
      </c>
      <c r="B834" s="56"/>
      <c r="C834" s="2">
        <f>SUM(C835)</f>
        <v>3873617.4000000004</v>
      </c>
      <c r="D834" s="2">
        <f t="shared" ref="D834:U834" si="465">SUM(D835)</f>
        <v>0</v>
      </c>
      <c r="E834" s="2">
        <f t="shared" si="465"/>
        <v>0</v>
      </c>
      <c r="F834" s="2">
        <f t="shared" si="465"/>
        <v>0</v>
      </c>
      <c r="G834" s="2">
        <f t="shared" si="465"/>
        <v>0</v>
      </c>
      <c r="H834" s="2">
        <f t="shared" si="465"/>
        <v>0</v>
      </c>
      <c r="I834" s="2">
        <f t="shared" si="465"/>
        <v>0</v>
      </c>
      <c r="J834" s="2">
        <f t="shared" si="465"/>
        <v>0</v>
      </c>
      <c r="K834" s="14">
        <f t="shared" si="465"/>
        <v>0</v>
      </c>
      <c r="L834" s="2">
        <f t="shared" si="465"/>
        <v>0</v>
      </c>
      <c r="M834" s="2">
        <f t="shared" si="465"/>
        <v>1050.9000000000001</v>
      </c>
      <c r="N834" s="2">
        <f t="shared" si="465"/>
        <v>3873617.4000000004</v>
      </c>
      <c r="O834" s="2">
        <f t="shared" si="465"/>
        <v>0</v>
      </c>
      <c r="P834" s="2">
        <f t="shared" si="465"/>
        <v>0</v>
      </c>
      <c r="Q834" s="2">
        <f t="shared" si="465"/>
        <v>0</v>
      </c>
      <c r="R834" s="2">
        <f t="shared" si="465"/>
        <v>0</v>
      </c>
      <c r="S834" s="2">
        <f t="shared" si="465"/>
        <v>0</v>
      </c>
      <c r="T834" s="2">
        <f t="shared" si="465"/>
        <v>0</v>
      </c>
      <c r="U834" s="2">
        <f t="shared" si="465"/>
        <v>0</v>
      </c>
      <c r="V834" s="18">
        <f>C834</f>
        <v>3873617.4000000004</v>
      </c>
    </row>
    <row r="835" spans="1:22" ht="21.95" customHeight="1" x14ac:dyDescent="0.25">
      <c r="A835" s="37" t="s">
        <v>1631</v>
      </c>
      <c r="B835" s="8" t="s">
        <v>1160</v>
      </c>
      <c r="C835" s="2">
        <f t="shared" si="421"/>
        <v>3873617.4000000004</v>
      </c>
      <c r="D835" s="3">
        <f t="shared" ref="D835" si="466">SUM(E835:J835)</f>
        <v>0</v>
      </c>
      <c r="E835" s="3">
        <v>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4">
        <v>0</v>
      </c>
      <c r="L835" s="3">
        <v>0</v>
      </c>
      <c r="M835" s="5">
        <v>1050.9000000000001</v>
      </c>
      <c r="N835" s="3">
        <f>M835*3686</f>
        <v>3873617.4000000004</v>
      </c>
      <c r="O835" s="3">
        <v>0</v>
      </c>
      <c r="P835" s="3">
        <v>0</v>
      </c>
      <c r="Q835" s="3">
        <v>0</v>
      </c>
      <c r="R835" s="3">
        <f>Q835*3000</f>
        <v>0</v>
      </c>
      <c r="S835" s="3">
        <v>0</v>
      </c>
      <c r="T835" s="3">
        <v>0</v>
      </c>
      <c r="U835" s="3">
        <v>0</v>
      </c>
      <c r="V835" s="6">
        <f t="shared" ref="V835" si="467">N835/M835</f>
        <v>3686</v>
      </c>
    </row>
    <row r="836" spans="1:22" ht="45" customHeight="1" x14ac:dyDescent="0.25">
      <c r="A836" s="56" t="s">
        <v>93</v>
      </c>
      <c r="B836" s="56"/>
      <c r="C836" s="2">
        <f>SUM(C837:C838)</f>
        <v>5000000</v>
      </c>
      <c r="D836" s="2">
        <f t="shared" ref="D836:U836" si="468">SUM(D837:D838)</f>
        <v>0</v>
      </c>
      <c r="E836" s="2">
        <f t="shared" si="468"/>
        <v>0</v>
      </c>
      <c r="F836" s="2">
        <f t="shared" si="468"/>
        <v>0</v>
      </c>
      <c r="G836" s="2">
        <f t="shared" si="468"/>
        <v>0</v>
      </c>
      <c r="H836" s="2">
        <f t="shared" si="468"/>
        <v>0</v>
      </c>
      <c r="I836" s="2">
        <f t="shared" si="468"/>
        <v>0</v>
      </c>
      <c r="J836" s="2">
        <f t="shared" si="468"/>
        <v>0</v>
      </c>
      <c r="K836" s="14">
        <f t="shared" si="468"/>
        <v>2</v>
      </c>
      <c r="L836" s="2">
        <f t="shared" si="468"/>
        <v>4600000</v>
      </c>
      <c r="M836" s="2">
        <f t="shared" si="468"/>
        <v>0</v>
      </c>
      <c r="N836" s="2">
        <f t="shared" si="468"/>
        <v>0</v>
      </c>
      <c r="O836" s="2">
        <f t="shared" si="468"/>
        <v>0</v>
      </c>
      <c r="P836" s="2">
        <f t="shared" si="468"/>
        <v>0</v>
      </c>
      <c r="Q836" s="2">
        <f t="shared" si="468"/>
        <v>0</v>
      </c>
      <c r="R836" s="2">
        <f t="shared" si="468"/>
        <v>0</v>
      </c>
      <c r="S836" s="2">
        <f t="shared" si="468"/>
        <v>0</v>
      </c>
      <c r="T836" s="2">
        <f t="shared" si="468"/>
        <v>0</v>
      </c>
      <c r="U836" s="2">
        <f t="shared" si="468"/>
        <v>400000</v>
      </c>
    </row>
    <row r="837" spans="1:22" ht="21.95" customHeight="1" x14ac:dyDescent="0.25">
      <c r="A837" s="37" t="s">
        <v>1055</v>
      </c>
      <c r="B837" s="8" t="s">
        <v>97</v>
      </c>
      <c r="C837" s="2">
        <f t="shared" si="421"/>
        <v>2500000</v>
      </c>
      <c r="D837" s="3">
        <f t="shared" ref="D837:D838" si="469">SUM(E837:J837)</f>
        <v>0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4">
        <v>1</v>
      </c>
      <c r="L837" s="3">
        <v>2300000</v>
      </c>
      <c r="M837" s="5">
        <v>0</v>
      </c>
      <c r="N837" s="5">
        <v>0</v>
      </c>
      <c r="O837" s="3">
        <v>0</v>
      </c>
      <c r="P837" s="3">
        <v>0</v>
      </c>
      <c r="Q837" s="3">
        <v>0</v>
      </c>
      <c r="R837" s="3">
        <f t="shared" ref="R837:R838" si="470">Q837*3000</f>
        <v>0</v>
      </c>
      <c r="S837" s="3">
        <v>0</v>
      </c>
      <c r="T837" s="3">
        <v>0</v>
      </c>
      <c r="U837" s="3">
        <v>200000</v>
      </c>
      <c r="V837" s="6" t="e">
        <f t="shared" ref="V837:V838" si="471">N837/M837</f>
        <v>#DIV/0!</v>
      </c>
    </row>
    <row r="838" spans="1:22" ht="21.95" customHeight="1" x14ac:dyDescent="0.25">
      <c r="A838" s="37" t="s">
        <v>1056</v>
      </c>
      <c r="B838" s="8" t="s">
        <v>101</v>
      </c>
      <c r="C838" s="2">
        <f t="shared" si="421"/>
        <v>2500000</v>
      </c>
      <c r="D838" s="3">
        <f t="shared" si="469"/>
        <v>0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  <c r="K838" s="4">
        <v>1</v>
      </c>
      <c r="L838" s="3">
        <v>2300000</v>
      </c>
      <c r="M838" s="5">
        <v>0</v>
      </c>
      <c r="N838" s="5">
        <v>0</v>
      </c>
      <c r="O838" s="3">
        <v>0</v>
      </c>
      <c r="P838" s="3">
        <v>0</v>
      </c>
      <c r="Q838" s="3">
        <v>0</v>
      </c>
      <c r="R838" s="3">
        <f t="shared" si="470"/>
        <v>0</v>
      </c>
      <c r="S838" s="3">
        <v>0</v>
      </c>
      <c r="T838" s="3">
        <v>0</v>
      </c>
      <c r="U838" s="3">
        <v>200000</v>
      </c>
      <c r="V838" s="6" t="e">
        <f t="shared" si="471"/>
        <v>#DIV/0!</v>
      </c>
    </row>
    <row r="839" spans="1:22" ht="45" customHeight="1" x14ac:dyDescent="0.25">
      <c r="A839" s="56" t="s">
        <v>102</v>
      </c>
      <c r="B839" s="56"/>
      <c r="C839" s="2">
        <f>SUM(C840:C843)</f>
        <v>11245600</v>
      </c>
      <c r="D839" s="2">
        <f t="shared" ref="D839:U839" si="472">SUM(D840:D843)</f>
        <v>0</v>
      </c>
      <c r="E839" s="2">
        <f t="shared" si="472"/>
        <v>0</v>
      </c>
      <c r="F839" s="2">
        <f t="shared" si="472"/>
        <v>0</v>
      </c>
      <c r="G839" s="2">
        <f t="shared" si="472"/>
        <v>0</v>
      </c>
      <c r="H839" s="2">
        <f t="shared" si="472"/>
        <v>0</v>
      </c>
      <c r="I839" s="2">
        <f t="shared" si="472"/>
        <v>0</v>
      </c>
      <c r="J839" s="2">
        <f t="shared" si="472"/>
        <v>0</v>
      </c>
      <c r="K839" s="14">
        <f t="shared" si="472"/>
        <v>0</v>
      </c>
      <c r="L839" s="2">
        <f t="shared" si="472"/>
        <v>0</v>
      </c>
      <c r="M839" s="2">
        <f t="shared" si="472"/>
        <v>2325</v>
      </c>
      <c r="N839" s="2">
        <f t="shared" si="472"/>
        <v>11245600</v>
      </c>
      <c r="O839" s="2">
        <f t="shared" si="472"/>
        <v>0</v>
      </c>
      <c r="P839" s="2">
        <f t="shared" si="472"/>
        <v>0</v>
      </c>
      <c r="Q839" s="2">
        <f t="shared" si="472"/>
        <v>0</v>
      </c>
      <c r="R839" s="2">
        <f t="shared" si="472"/>
        <v>0</v>
      </c>
      <c r="S839" s="2">
        <f t="shared" si="472"/>
        <v>0</v>
      </c>
      <c r="T839" s="2">
        <f t="shared" si="472"/>
        <v>0</v>
      </c>
      <c r="U839" s="2">
        <f t="shared" si="472"/>
        <v>0</v>
      </c>
    </row>
    <row r="840" spans="1:22" ht="21" customHeight="1" x14ac:dyDescent="0.25">
      <c r="A840" s="37" t="s">
        <v>1057</v>
      </c>
      <c r="B840" s="8" t="s">
        <v>104</v>
      </c>
      <c r="C840" s="2">
        <f t="shared" si="421"/>
        <v>2480500</v>
      </c>
      <c r="D840" s="3">
        <f t="shared" ref="D840:D843" si="473">SUM(E840:J840)</f>
        <v>0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4">
        <v>0</v>
      </c>
      <c r="L840" s="3">
        <v>0</v>
      </c>
      <c r="M840" s="5">
        <v>451</v>
      </c>
      <c r="N840" s="3">
        <f t="shared" ref="N840:N841" si="474">M840*5500</f>
        <v>2480500</v>
      </c>
      <c r="O840" s="3">
        <v>0</v>
      </c>
      <c r="P840" s="3">
        <v>0</v>
      </c>
      <c r="Q840" s="3">
        <v>0</v>
      </c>
      <c r="R840" s="3">
        <f t="shared" ref="R840:R843" si="475">Q840*3000</f>
        <v>0</v>
      </c>
      <c r="S840" s="3">
        <v>0</v>
      </c>
      <c r="T840" s="3">
        <v>0</v>
      </c>
      <c r="U840" s="3">
        <v>0</v>
      </c>
      <c r="V840" s="6">
        <f t="shared" ref="V840:V843" si="476">N840/M840</f>
        <v>5500</v>
      </c>
    </row>
    <row r="841" spans="1:22" ht="21" customHeight="1" x14ac:dyDescent="0.25">
      <c r="A841" s="37" t="s">
        <v>1058</v>
      </c>
      <c r="B841" s="8" t="s">
        <v>106</v>
      </c>
      <c r="C841" s="2">
        <f t="shared" si="421"/>
        <v>3250500</v>
      </c>
      <c r="D841" s="3">
        <f t="shared" si="473"/>
        <v>0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4">
        <v>0</v>
      </c>
      <c r="L841" s="3">
        <v>0</v>
      </c>
      <c r="M841" s="5">
        <v>591</v>
      </c>
      <c r="N841" s="3">
        <f t="shared" si="474"/>
        <v>3250500</v>
      </c>
      <c r="O841" s="3">
        <v>0</v>
      </c>
      <c r="P841" s="3">
        <v>0</v>
      </c>
      <c r="Q841" s="3">
        <v>0</v>
      </c>
      <c r="R841" s="3">
        <f t="shared" si="475"/>
        <v>0</v>
      </c>
      <c r="S841" s="3">
        <v>0</v>
      </c>
      <c r="T841" s="3">
        <v>0</v>
      </c>
      <c r="U841" s="3">
        <v>0</v>
      </c>
      <c r="V841" s="6">
        <f t="shared" si="476"/>
        <v>5500</v>
      </c>
    </row>
    <row r="842" spans="1:22" ht="21" customHeight="1" x14ac:dyDescent="0.25">
      <c r="A842" s="37" t="s">
        <v>1059</v>
      </c>
      <c r="B842" s="8" t="s">
        <v>107</v>
      </c>
      <c r="C842" s="2">
        <f t="shared" si="421"/>
        <v>3133100</v>
      </c>
      <c r="D842" s="3">
        <f t="shared" si="473"/>
        <v>0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4">
        <v>0</v>
      </c>
      <c r="L842" s="3">
        <v>0</v>
      </c>
      <c r="M842" s="5">
        <v>850</v>
      </c>
      <c r="N842" s="3">
        <f>M842*3686</f>
        <v>3133100</v>
      </c>
      <c r="O842" s="3">
        <v>0</v>
      </c>
      <c r="P842" s="3">
        <v>0</v>
      </c>
      <c r="Q842" s="3">
        <v>0</v>
      </c>
      <c r="R842" s="3">
        <f t="shared" si="475"/>
        <v>0</v>
      </c>
      <c r="S842" s="3">
        <v>0</v>
      </c>
      <c r="T842" s="3">
        <v>0</v>
      </c>
      <c r="U842" s="3">
        <v>0</v>
      </c>
      <c r="V842" s="6">
        <f t="shared" si="476"/>
        <v>3686</v>
      </c>
    </row>
    <row r="843" spans="1:22" ht="21" customHeight="1" x14ac:dyDescent="0.25">
      <c r="A843" s="37" t="s">
        <v>1060</v>
      </c>
      <c r="B843" s="8" t="s">
        <v>109</v>
      </c>
      <c r="C843" s="2">
        <f t="shared" si="421"/>
        <v>2381500</v>
      </c>
      <c r="D843" s="3">
        <f t="shared" si="473"/>
        <v>0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4">
        <v>0</v>
      </c>
      <c r="L843" s="3">
        <v>0</v>
      </c>
      <c r="M843" s="5">
        <v>433</v>
      </c>
      <c r="N843" s="3">
        <f t="shared" ref="N843" si="477">M843*5500</f>
        <v>2381500</v>
      </c>
      <c r="O843" s="3">
        <v>0</v>
      </c>
      <c r="P843" s="3">
        <v>0</v>
      </c>
      <c r="Q843" s="3">
        <v>0</v>
      </c>
      <c r="R843" s="3">
        <f t="shared" si="475"/>
        <v>0</v>
      </c>
      <c r="S843" s="3">
        <v>0</v>
      </c>
      <c r="T843" s="3">
        <v>0</v>
      </c>
      <c r="U843" s="3">
        <v>0</v>
      </c>
      <c r="V843" s="6">
        <f t="shared" si="476"/>
        <v>5500</v>
      </c>
    </row>
    <row r="844" spans="1:22" ht="45" customHeight="1" x14ac:dyDescent="0.25">
      <c r="A844" s="56" t="s">
        <v>116</v>
      </c>
      <c r="B844" s="56"/>
      <c r="C844" s="2">
        <f>SUM(C845)</f>
        <v>1276000</v>
      </c>
      <c r="D844" s="2">
        <f t="shared" ref="D844:U844" si="478">SUM(D845)</f>
        <v>0</v>
      </c>
      <c r="E844" s="2">
        <f t="shared" si="478"/>
        <v>0</v>
      </c>
      <c r="F844" s="2">
        <f t="shared" si="478"/>
        <v>0</v>
      </c>
      <c r="G844" s="2">
        <f t="shared" si="478"/>
        <v>0</v>
      </c>
      <c r="H844" s="2">
        <f t="shared" si="478"/>
        <v>0</v>
      </c>
      <c r="I844" s="2">
        <f t="shared" si="478"/>
        <v>0</v>
      </c>
      <c r="J844" s="2">
        <f t="shared" si="478"/>
        <v>0</v>
      </c>
      <c r="K844" s="14">
        <f t="shared" si="478"/>
        <v>0</v>
      </c>
      <c r="L844" s="2">
        <f t="shared" si="478"/>
        <v>0</v>
      </c>
      <c r="M844" s="2">
        <f t="shared" si="478"/>
        <v>232</v>
      </c>
      <c r="N844" s="2">
        <f t="shared" si="478"/>
        <v>1276000</v>
      </c>
      <c r="O844" s="2">
        <f t="shared" si="478"/>
        <v>0</v>
      </c>
      <c r="P844" s="2">
        <f t="shared" si="478"/>
        <v>0</v>
      </c>
      <c r="Q844" s="2">
        <f t="shared" si="478"/>
        <v>0</v>
      </c>
      <c r="R844" s="2">
        <f t="shared" si="478"/>
        <v>0</v>
      </c>
      <c r="S844" s="2">
        <f t="shared" si="478"/>
        <v>0</v>
      </c>
      <c r="T844" s="2">
        <f t="shared" si="478"/>
        <v>0</v>
      </c>
      <c r="U844" s="2">
        <f t="shared" si="478"/>
        <v>0</v>
      </c>
    </row>
    <row r="845" spans="1:22" ht="21.95" customHeight="1" x14ac:dyDescent="0.25">
      <c r="A845" s="36" t="s">
        <v>1061</v>
      </c>
      <c r="B845" s="8" t="s">
        <v>117</v>
      </c>
      <c r="C845" s="2">
        <f t="shared" si="421"/>
        <v>1276000</v>
      </c>
      <c r="D845" s="3">
        <f t="shared" ref="D845" si="479">SUM(E845:J845)</f>
        <v>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11">
        <v>0</v>
      </c>
      <c r="L845" s="5">
        <v>0</v>
      </c>
      <c r="M845" s="5">
        <v>232</v>
      </c>
      <c r="N845" s="3">
        <f t="shared" ref="N845" si="480">M845*5500</f>
        <v>1276000</v>
      </c>
      <c r="O845" s="5">
        <v>0</v>
      </c>
      <c r="P845" s="5">
        <v>0</v>
      </c>
      <c r="Q845" s="5">
        <v>0</v>
      </c>
      <c r="R845" s="3">
        <f>Q845*3000</f>
        <v>0</v>
      </c>
      <c r="S845" s="5">
        <v>0</v>
      </c>
      <c r="T845" s="5">
        <v>0</v>
      </c>
      <c r="U845" s="5">
        <v>0</v>
      </c>
      <c r="V845" s="6">
        <f t="shared" ref="V845" si="481">N845/M845</f>
        <v>5500</v>
      </c>
    </row>
    <row r="846" spans="1:22" ht="45" customHeight="1" x14ac:dyDescent="0.25">
      <c r="A846" s="56" t="s">
        <v>1539</v>
      </c>
      <c r="B846" s="56"/>
      <c r="C846" s="2">
        <f>SUM(C847:C851)</f>
        <v>20922169.800000001</v>
      </c>
      <c r="D846" s="2">
        <f t="shared" ref="D846:U846" si="482">SUM(D847:D851)</f>
        <v>2193020</v>
      </c>
      <c r="E846" s="2">
        <f t="shared" si="482"/>
        <v>326620</v>
      </c>
      <c r="F846" s="2">
        <f t="shared" si="482"/>
        <v>979860</v>
      </c>
      <c r="G846" s="2">
        <f t="shared" si="482"/>
        <v>279960</v>
      </c>
      <c r="H846" s="2">
        <f t="shared" si="482"/>
        <v>373280</v>
      </c>
      <c r="I846" s="2">
        <f t="shared" si="482"/>
        <v>233300</v>
      </c>
      <c r="J846" s="2">
        <f t="shared" si="482"/>
        <v>0</v>
      </c>
      <c r="K846" s="14">
        <f t="shared" si="482"/>
        <v>0</v>
      </c>
      <c r="L846" s="2">
        <f t="shared" si="482"/>
        <v>0</v>
      </c>
      <c r="M846" s="2">
        <f t="shared" si="482"/>
        <v>4724.3</v>
      </c>
      <c r="N846" s="2">
        <f t="shared" si="482"/>
        <v>18629149.800000001</v>
      </c>
      <c r="O846" s="2">
        <f t="shared" si="482"/>
        <v>0</v>
      </c>
      <c r="P846" s="2">
        <f t="shared" si="482"/>
        <v>0</v>
      </c>
      <c r="Q846" s="2">
        <f t="shared" si="482"/>
        <v>0</v>
      </c>
      <c r="R846" s="2">
        <f t="shared" si="482"/>
        <v>0</v>
      </c>
      <c r="S846" s="2">
        <f t="shared" si="482"/>
        <v>0</v>
      </c>
      <c r="T846" s="2">
        <f t="shared" si="482"/>
        <v>0</v>
      </c>
      <c r="U846" s="2">
        <f t="shared" si="482"/>
        <v>100000</v>
      </c>
      <c r="V846" s="18">
        <f>C846+C1306</f>
        <v>20922169.800000001</v>
      </c>
    </row>
    <row r="847" spans="1:22" ht="21.95" customHeight="1" x14ac:dyDescent="0.25">
      <c r="A847" s="37" t="s">
        <v>1062</v>
      </c>
      <c r="B847" s="8" t="s">
        <v>1540</v>
      </c>
      <c r="C847" s="2">
        <f t="shared" si="421"/>
        <v>5053506</v>
      </c>
      <c r="D847" s="3">
        <f t="shared" ref="D847:D851" si="483">SUM(E847:J847)</f>
        <v>0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4">
        <v>0</v>
      </c>
      <c r="L847" s="3">
        <v>0</v>
      </c>
      <c r="M847" s="5">
        <v>1371</v>
      </c>
      <c r="N847" s="5">
        <f>M847*3686</f>
        <v>5053506</v>
      </c>
      <c r="O847" s="5">
        <v>0</v>
      </c>
      <c r="P847" s="5">
        <v>0</v>
      </c>
      <c r="Q847" s="5">
        <v>0</v>
      </c>
      <c r="R847" s="3">
        <f t="shared" ref="R847:R851" si="484">Q847*3000</f>
        <v>0</v>
      </c>
      <c r="S847" s="5">
        <v>0</v>
      </c>
      <c r="T847" s="5">
        <v>0</v>
      </c>
      <c r="U847" s="5">
        <v>0</v>
      </c>
      <c r="V847" s="6">
        <f t="shared" ref="V847:V851" si="485">N847/M847</f>
        <v>3686</v>
      </c>
    </row>
    <row r="848" spans="1:22" ht="21.95" customHeight="1" x14ac:dyDescent="0.25">
      <c r="A848" s="37" t="s">
        <v>1063</v>
      </c>
      <c r="B848" s="8" t="s">
        <v>1639</v>
      </c>
      <c r="C848" s="2">
        <f t="shared" ref="C848" si="486">D848+L848+N848+P848+R848+S848+T848+U848</f>
        <v>3685000</v>
      </c>
      <c r="D848" s="3">
        <f t="shared" ref="D848" si="487">SUM(E848:J848)</f>
        <v>0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4">
        <v>0</v>
      </c>
      <c r="L848" s="3">
        <v>0</v>
      </c>
      <c r="M848" s="5">
        <v>670</v>
      </c>
      <c r="N848" s="5">
        <f>M848*5500</f>
        <v>3685000</v>
      </c>
      <c r="O848" s="5">
        <v>0</v>
      </c>
      <c r="P848" s="5">
        <v>0</v>
      </c>
      <c r="Q848" s="5">
        <v>0</v>
      </c>
      <c r="R848" s="3">
        <v>0</v>
      </c>
      <c r="S848" s="5">
        <v>0</v>
      </c>
      <c r="T848" s="5">
        <v>0</v>
      </c>
      <c r="U848" s="5">
        <v>0</v>
      </c>
    </row>
    <row r="849" spans="1:22" ht="21.95" customHeight="1" x14ac:dyDescent="0.25">
      <c r="A849" s="37" t="s">
        <v>1064</v>
      </c>
      <c r="B849" s="8" t="s">
        <v>1640</v>
      </c>
      <c r="C849" s="2">
        <f t="shared" ref="C849" si="488">D849+L849+N849+P849+R849+S849+T849+U849</f>
        <v>2293020</v>
      </c>
      <c r="D849" s="3">
        <f t="shared" ref="D849" si="489">SUM(E849:J849)</f>
        <v>2193020</v>
      </c>
      <c r="E849" s="3">
        <f>350*933.2</f>
        <v>326620</v>
      </c>
      <c r="F849" s="3">
        <f>1050*933.2</f>
        <v>979860</v>
      </c>
      <c r="G849" s="3">
        <f>300*933.2</f>
        <v>279960</v>
      </c>
      <c r="H849" s="3">
        <f>400*933.2</f>
        <v>373280</v>
      </c>
      <c r="I849" s="3">
        <f>250*933.2</f>
        <v>233300</v>
      </c>
      <c r="J849" s="3">
        <v>0</v>
      </c>
      <c r="K849" s="4">
        <v>0</v>
      </c>
      <c r="L849" s="3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3">
        <v>0</v>
      </c>
      <c r="S849" s="5">
        <v>0</v>
      </c>
      <c r="T849" s="5">
        <v>0</v>
      </c>
      <c r="U849" s="5">
        <v>100000</v>
      </c>
    </row>
    <row r="850" spans="1:22" ht="21.95" customHeight="1" x14ac:dyDescent="0.25">
      <c r="A850" s="37" t="s">
        <v>1065</v>
      </c>
      <c r="B850" s="8" t="s">
        <v>1541</v>
      </c>
      <c r="C850" s="2">
        <f t="shared" si="421"/>
        <v>4542257.8</v>
      </c>
      <c r="D850" s="3">
        <f t="shared" si="483"/>
        <v>0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4">
        <v>0</v>
      </c>
      <c r="L850" s="3">
        <v>0</v>
      </c>
      <c r="M850" s="5">
        <v>1232.3</v>
      </c>
      <c r="N850" s="5">
        <f>M850*3686</f>
        <v>4542257.8</v>
      </c>
      <c r="O850" s="5">
        <v>0</v>
      </c>
      <c r="P850" s="5">
        <v>0</v>
      </c>
      <c r="Q850" s="5">
        <v>0</v>
      </c>
      <c r="R850" s="3">
        <f t="shared" si="484"/>
        <v>0</v>
      </c>
      <c r="S850" s="5">
        <v>0</v>
      </c>
      <c r="T850" s="5">
        <v>0</v>
      </c>
      <c r="U850" s="5">
        <v>0</v>
      </c>
      <c r="V850" s="6">
        <f t="shared" si="485"/>
        <v>3686</v>
      </c>
    </row>
    <row r="851" spans="1:22" ht="21.95" customHeight="1" x14ac:dyDescent="0.25">
      <c r="A851" s="37" t="s">
        <v>1066</v>
      </c>
      <c r="B851" s="8" t="s">
        <v>1542</v>
      </c>
      <c r="C851" s="2">
        <f t="shared" si="421"/>
        <v>5348386</v>
      </c>
      <c r="D851" s="3">
        <f t="shared" si="483"/>
        <v>0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4">
        <v>0</v>
      </c>
      <c r="L851" s="3">
        <v>0</v>
      </c>
      <c r="M851" s="5">
        <v>1451</v>
      </c>
      <c r="N851" s="5">
        <f>M851*3686</f>
        <v>5348386</v>
      </c>
      <c r="O851" s="5">
        <v>0</v>
      </c>
      <c r="P851" s="5">
        <v>0</v>
      </c>
      <c r="Q851" s="5">
        <v>0</v>
      </c>
      <c r="R851" s="3">
        <f t="shared" si="484"/>
        <v>0</v>
      </c>
      <c r="S851" s="5">
        <v>0</v>
      </c>
      <c r="T851" s="5">
        <v>0</v>
      </c>
      <c r="U851" s="5">
        <v>0</v>
      </c>
      <c r="V851" s="6">
        <f t="shared" si="485"/>
        <v>3686</v>
      </c>
    </row>
    <row r="852" spans="1:22" ht="45" customHeight="1" x14ac:dyDescent="0.25">
      <c r="A852" s="56" t="s">
        <v>1537</v>
      </c>
      <c r="B852" s="56"/>
      <c r="C852" s="2">
        <f>SUM(C853)</f>
        <v>271026</v>
      </c>
      <c r="D852" s="2">
        <f t="shared" ref="D852:U852" si="490">SUM(D853)</f>
        <v>271026</v>
      </c>
      <c r="E852" s="2">
        <f t="shared" si="490"/>
        <v>150570</v>
      </c>
      <c r="F852" s="2">
        <f t="shared" si="490"/>
        <v>0</v>
      </c>
      <c r="G852" s="2">
        <f t="shared" si="490"/>
        <v>12906</v>
      </c>
      <c r="H852" s="2">
        <f t="shared" si="490"/>
        <v>0</v>
      </c>
      <c r="I852" s="2">
        <f t="shared" si="490"/>
        <v>107550</v>
      </c>
      <c r="J852" s="2">
        <f t="shared" si="490"/>
        <v>0</v>
      </c>
      <c r="K852" s="14">
        <f t="shared" si="490"/>
        <v>0</v>
      </c>
      <c r="L852" s="2">
        <f t="shared" si="490"/>
        <v>0</v>
      </c>
      <c r="M852" s="2">
        <f t="shared" si="490"/>
        <v>0</v>
      </c>
      <c r="N852" s="2">
        <f t="shared" si="490"/>
        <v>0</v>
      </c>
      <c r="O852" s="2">
        <f t="shared" si="490"/>
        <v>0</v>
      </c>
      <c r="P852" s="2">
        <f t="shared" si="490"/>
        <v>0</v>
      </c>
      <c r="Q852" s="2">
        <f t="shared" si="490"/>
        <v>0</v>
      </c>
      <c r="R852" s="2">
        <f t="shared" si="490"/>
        <v>0</v>
      </c>
      <c r="S852" s="2">
        <f t="shared" si="490"/>
        <v>0</v>
      </c>
      <c r="T852" s="2">
        <f t="shared" si="490"/>
        <v>0</v>
      </c>
      <c r="U852" s="2">
        <f t="shared" si="490"/>
        <v>0</v>
      </c>
      <c r="V852" s="18">
        <f>C852+C1304</f>
        <v>271026</v>
      </c>
    </row>
    <row r="853" spans="1:22" ht="21.95" customHeight="1" x14ac:dyDescent="0.25">
      <c r="A853" s="37" t="s">
        <v>1067</v>
      </c>
      <c r="B853" s="8" t="s">
        <v>1538</v>
      </c>
      <c r="C853" s="2">
        <f>D853+L853+N853+P853+R853+S853+T853+U853</f>
        <v>271026</v>
      </c>
      <c r="D853" s="3">
        <f t="shared" ref="D853" si="491">SUM(E853:J853)</f>
        <v>271026</v>
      </c>
      <c r="E853" s="3">
        <f>350*430.2</f>
        <v>150570</v>
      </c>
      <c r="F853" s="3">
        <v>0</v>
      </c>
      <c r="G853" s="3">
        <f>30*430.2</f>
        <v>12906</v>
      </c>
      <c r="H853" s="3">
        <v>0</v>
      </c>
      <c r="I853" s="3">
        <f>250*430.2</f>
        <v>107550</v>
      </c>
      <c r="J853" s="3">
        <v>0</v>
      </c>
      <c r="K853" s="4">
        <v>0</v>
      </c>
      <c r="L853" s="3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6" t="e">
        <f t="shared" ref="V853" si="492">N853/M853</f>
        <v>#DIV/0!</v>
      </c>
    </row>
    <row r="854" spans="1:22" ht="45" customHeight="1" x14ac:dyDescent="0.25">
      <c r="A854" s="56" t="s">
        <v>124</v>
      </c>
      <c r="B854" s="56"/>
      <c r="C854" s="2">
        <f>SUM(C855:C857)</f>
        <v>4748950</v>
      </c>
      <c r="D854" s="2">
        <f t="shared" ref="D854:U854" si="493">SUM(D855:D857)</f>
        <v>0</v>
      </c>
      <c r="E854" s="2">
        <f t="shared" si="493"/>
        <v>0</v>
      </c>
      <c r="F854" s="2">
        <f t="shared" si="493"/>
        <v>0</v>
      </c>
      <c r="G854" s="2">
        <f t="shared" si="493"/>
        <v>0</v>
      </c>
      <c r="H854" s="2">
        <f t="shared" si="493"/>
        <v>0</v>
      </c>
      <c r="I854" s="2">
        <f t="shared" si="493"/>
        <v>0</v>
      </c>
      <c r="J854" s="2">
        <f t="shared" si="493"/>
        <v>0</v>
      </c>
      <c r="K854" s="14">
        <f t="shared" si="493"/>
        <v>0</v>
      </c>
      <c r="L854" s="2">
        <f t="shared" si="493"/>
        <v>0</v>
      </c>
      <c r="M854" s="2">
        <f t="shared" si="493"/>
        <v>808.9</v>
      </c>
      <c r="N854" s="2">
        <f t="shared" si="493"/>
        <v>4448950</v>
      </c>
      <c r="O854" s="2">
        <f t="shared" si="493"/>
        <v>0</v>
      </c>
      <c r="P854" s="2">
        <f t="shared" si="493"/>
        <v>0</v>
      </c>
      <c r="Q854" s="2">
        <f t="shared" si="493"/>
        <v>0</v>
      </c>
      <c r="R854" s="2">
        <f t="shared" si="493"/>
        <v>0</v>
      </c>
      <c r="S854" s="2">
        <f t="shared" si="493"/>
        <v>0</v>
      </c>
      <c r="T854" s="2">
        <f t="shared" si="493"/>
        <v>0</v>
      </c>
      <c r="U854" s="2">
        <f t="shared" si="493"/>
        <v>300000</v>
      </c>
    </row>
    <row r="855" spans="1:22" ht="21.95" customHeight="1" x14ac:dyDescent="0.25">
      <c r="A855" s="37" t="s">
        <v>1068</v>
      </c>
      <c r="B855" s="1" t="s">
        <v>119</v>
      </c>
      <c r="C855" s="2">
        <f t="shared" si="421"/>
        <v>3073950</v>
      </c>
      <c r="D855" s="3">
        <f t="shared" ref="D855:D856" si="494">SUM(E855:J855)</f>
        <v>0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4">
        <v>0</v>
      </c>
      <c r="L855" s="3">
        <v>0</v>
      </c>
      <c r="M855" s="5">
        <v>558.9</v>
      </c>
      <c r="N855" s="3">
        <f t="shared" ref="N855:N856" si="495">M855*5500</f>
        <v>3073950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6">
        <f t="shared" ref="V855:V856" si="496">N855/M855</f>
        <v>5500</v>
      </c>
    </row>
    <row r="856" spans="1:22" ht="21.95" customHeight="1" x14ac:dyDescent="0.25">
      <c r="A856" s="37" t="s">
        <v>1069</v>
      </c>
      <c r="B856" s="1" t="s">
        <v>120</v>
      </c>
      <c r="C856" s="2">
        <f t="shared" si="421"/>
        <v>1375000</v>
      </c>
      <c r="D856" s="3">
        <f t="shared" si="494"/>
        <v>0</v>
      </c>
      <c r="E856" s="3">
        <v>0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4">
        <v>0</v>
      </c>
      <c r="L856" s="3">
        <v>0</v>
      </c>
      <c r="M856" s="5">
        <v>250</v>
      </c>
      <c r="N856" s="3">
        <f t="shared" si="495"/>
        <v>1375000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6">
        <f t="shared" si="496"/>
        <v>5500</v>
      </c>
    </row>
    <row r="857" spans="1:22" ht="21.95" customHeight="1" x14ac:dyDescent="0.25">
      <c r="A857" s="37" t="s">
        <v>1070</v>
      </c>
      <c r="B857" s="1" t="s">
        <v>1643</v>
      </c>
      <c r="C857" s="2">
        <f t="shared" ref="C857" si="497">D857+L857+N857+P857+R857+S857+T857+U857</f>
        <v>300000</v>
      </c>
      <c r="D857" s="3">
        <f t="shared" ref="D857" si="498">SUM(E857:J857)</f>
        <v>0</v>
      </c>
      <c r="E857" s="3">
        <v>0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4">
        <v>0</v>
      </c>
      <c r="L857" s="3">
        <v>0</v>
      </c>
      <c r="M857" s="5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300000</v>
      </c>
    </row>
    <row r="858" spans="1:22" ht="45" customHeight="1" x14ac:dyDescent="0.25">
      <c r="A858" s="56" t="s">
        <v>127</v>
      </c>
      <c r="B858" s="56"/>
      <c r="C858" s="2">
        <f>SUM(C859)</f>
        <v>1870000</v>
      </c>
      <c r="D858" s="2">
        <f t="shared" ref="D858:U858" si="499">SUM(D859)</f>
        <v>0</v>
      </c>
      <c r="E858" s="2">
        <f t="shared" si="499"/>
        <v>0</v>
      </c>
      <c r="F858" s="2">
        <f t="shared" si="499"/>
        <v>0</v>
      </c>
      <c r="G858" s="2">
        <f t="shared" si="499"/>
        <v>0</v>
      </c>
      <c r="H858" s="2">
        <f t="shared" si="499"/>
        <v>0</v>
      </c>
      <c r="I858" s="2">
        <f t="shared" si="499"/>
        <v>0</v>
      </c>
      <c r="J858" s="2">
        <f t="shared" si="499"/>
        <v>0</v>
      </c>
      <c r="K858" s="14">
        <f t="shared" si="499"/>
        <v>0</v>
      </c>
      <c r="L858" s="2">
        <f t="shared" si="499"/>
        <v>0</v>
      </c>
      <c r="M858" s="2">
        <f t="shared" si="499"/>
        <v>340</v>
      </c>
      <c r="N858" s="2">
        <f t="shared" si="499"/>
        <v>1870000</v>
      </c>
      <c r="O858" s="2">
        <f t="shared" si="499"/>
        <v>0</v>
      </c>
      <c r="P858" s="2">
        <f t="shared" si="499"/>
        <v>0</v>
      </c>
      <c r="Q858" s="2">
        <f t="shared" si="499"/>
        <v>0</v>
      </c>
      <c r="R858" s="2">
        <f t="shared" si="499"/>
        <v>0</v>
      </c>
      <c r="S858" s="2">
        <f t="shared" si="499"/>
        <v>0</v>
      </c>
      <c r="T858" s="2">
        <f t="shared" si="499"/>
        <v>0</v>
      </c>
      <c r="U858" s="2">
        <f t="shared" si="499"/>
        <v>0</v>
      </c>
    </row>
    <row r="859" spans="1:22" ht="21.95" customHeight="1" x14ac:dyDescent="0.25">
      <c r="A859" s="37" t="s">
        <v>1071</v>
      </c>
      <c r="B859" s="24" t="s">
        <v>126</v>
      </c>
      <c r="C859" s="2">
        <f t="shared" ref="C859:C926" si="500">D859+L859+N859+P859+R859+S859+T859+U859</f>
        <v>1870000</v>
      </c>
      <c r="D859" s="3">
        <f t="shared" ref="D859" si="501">SUM(E859:J859)</f>
        <v>0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4">
        <v>0</v>
      </c>
      <c r="L859" s="3">
        <v>0</v>
      </c>
      <c r="M859" s="3">
        <v>340</v>
      </c>
      <c r="N859" s="3">
        <f t="shared" ref="N859" si="502">M859*5500</f>
        <v>1870000</v>
      </c>
      <c r="O859" s="3">
        <v>0</v>
      </c>
      <c r="P859" s="3">
        <v>0</v>
      </c>
      <c r="Q859" s="3">
        <v>0</v>
      </c>
      <c r="R859" s="5">
        <v>0</v>
      </c>
      <c r="S859" s="3">
        <v>0</v>
      </c>
      <c r="T859" s="3">
        <v>0</v>
      </c>
      <c r="U859" s="3">
        <v>0</v>
      </c>
      <c r="V859" s="6">
        <f t="shared" ref="V859" si="503">N859/M859</f>
        <v>5500</v>
      </c>
    </row>
    <row r="860" spans="1:22" ht="45" customHeight="1" x14ac:dyDescent="0.25">
      <c r="A860" s="56" t="s">
        <v>1360</v>
      </c>
      <c r="B860" s="56"/>
      <c r="C860" s="2">
        <f>SUM(C861)</f>
        <v>10265805</v>
      </c>
      <c r="D860" s="2">
        <f t="shared" ref="D860:U860" si="504">SUM(D861)</f>
        <v>2316865</v>
      </c>
      <c r="E860" s="2">
        <f t="shared" si="504"/>
        <v>345065</v>
      </c>
      <c r="F860" s="2">
        <f t="shared" si="504"/>
        <v>1035195</v>
      </c>
      <c r="G860" s="2">
        <f t="shared" si="504"/>
        <v>295770</v>
      </c>
      <c r="H860" s="2">
        <f t="shared" si="504"/>
        <v>394360</v>
      </c>
      <c r="I860" s="2">
        <f t="shared" si="504"/>
        <v>246475</v>
      </c>
      <c r="J860" s="2">
        <f t="shared" si="504"/>
        <v>0</v>
      </c>
      <c r="K860" s="14">
        <f t="shared" si="504"/>
        <v>0</v>
      </c>
      <c r="L860" s="2">
        <f t="shared" si="504"/>
        <v>0</v>
      </c>
      <c r="M860" s="2">
        <f t="shared" si="504"/>
        <v>1072</v>
      </c>
      <c r="N860" s="2">
        <f t="shared" si="504"/>
        <v>5896000</v>
      </c>
      <c r="O860" s="2">
        <f t="shared" si="504"/>
        <v>0</v>
      </c>
      <c r="P860" s="2">
        <f t="shared" si="504"/>
        <v>0</v>
      </c>
      <c r="Q860" s="2">
        <f t="shared" si="504"/>
        <v>514.5</v>
      </c>
      <c r="R860" s="2">
        <f t="shared" si="504"/>
        <v>1543500</v>
      </c>
      <c r="S860" s="2">
        <f t="shared" si="504"/>
        <v>409440</v>
      </c>
      <c r="T860" s="2">
        <f t="shared" si="504"/>
        <v>0</v>
      </c>
      <c r="U860" s="2">
        <f t="shared" si="504"/>
        <v>100000</v>
      </c>
      <c r="V860" s="18">
        <f>C860</f>
        <v>10265805</v>
      </c>
    </row>
    <row r="861" spans="1:22" ht="21" customHeight="1" x14ac:dyDescent="0.25">
      <c r="A861" s="37" t="s">
        <v>1072</v>
      </c>
      <c r="B861" s="8" t="s">
        <v>1361</v>
      </c>
      <c r="C861" s="2">
        <f t="shared" si="500"/>
        <v>10265805</v>
      </c>
      <c r="D861" s="3">
        <f t="shared" ref="D861" si="505">SUM(E861:J861)</f>
        <v>2316865</v>
      </c>
      <c r="E861" s="3">
        <f>350*985.9</f>
        <v>345065</v>
      </c>
      <c r="F861" s="3">
        <f>1050*985.9</f>
        <v>1035195</v>
      </c>
      <c r="G861" s="3">
        <f>300*985.9</f>
        <v>295770</v>
      </c>
      <c r="H861" s="3">
        <f>400*985.9</f>
        <v>394360</v>
      </c>
      <c r="I861" s="3">
        <f>250*985.9</f>
        <v>246475</v>
      </c>
      <c r="J861" s="3">
        <v>0</v>
      </c>
      <c r="K861" s="4">
        <v>0</v>
      </c>
      <c r="L861" s="3">
        <v>0</v>
      </c>
      <c r="M861" s="3">
        <v>1072</v>
      </c>
      <c r="N861" s="3">
        <f t="shared" ref="N861" si="506">M861*5500</f>
        <v>5896000</v>
      </c>
      <c r="O861" s="3">
        <v>0</v>
      </c>
      <c r="P861" s="3">
        <v>0</v>
      </c>
      <c r="Q861" s="3">
        <v>514.5</v>
      </c>
      <c r="R861" s="3">
        <f>Q861*3000</f>
        <v>1543500</v>
      </c>
      <c r="S861" s="3">
        <v>409440</v>
      </c>
      <c r="T861" s="3">
        <v>0</v>
      </c>
      <c r="U861" s="3">
        <v>100000</v>
      </c>
      <c r="V861" s="6">
        <f t="shared" ref="V861" si="507">N861/M861</f>
        <v>5500</v>
      </c>
    </row>
    <row r="862" spans="1:22" ht="45" customHeight="1" x14ac:dyDescent="0.25">
      <c r="A862" s="56" t="s">
        <v>1548</v>
      </c>
      <c r="B862" s="56"/>
      <c r="C862" s="2">
        <f>SUM(C863)</f>
        <v>2523950</v>
      </c>
      <c r="D862" s="2">
        <f t="shared" ref="D862:U862" si="508">SUM(D863)</f>
        <v>0</v>
      </c>
      <c r="E862" s="2">
        <f t="shared" si="508"/>
        <v>0</v>
      </c>
      <c r="F862" s="2">
        <f t="shared" si="508"/>
        <v>0</v>
      </c>
      <c r="G862" s="2">
        <f t="shared" si="508"/>
        <v>0</v>
      </c>
      <c r="H862" s="2">
        <f t="shared" si="508"/>
        <v>0</v>
      </c>
      <c r="I862" s="2">
        <f t="shared" si="508"/>
        <v>0</v>
      </c>
      <c r="J862" s="2">
        <f t="shared" si="508"/>
        <v>0</v>
      </c>
      <c r="K862" s="14">
        <f t="shared" si="508"/>
        <v>0</v>
      </c>
      <c r="L862" s="2">
        <f t="shared" si="508"/>
        <v>0</v>
      </c>
      <c r="M862" s="2">
        <f t="shared" si="508"/>
        <v>458.9</v>
      </c>
      <c r="N862" s="2">
        <f t="shared" si="508"/>
        <v>2523950</v>
      </c>
      <c r="O862" s="2">
        <f t="shared" si="508"/>
        <v>0</v>
      </c>
      <c r="P862" s="2">
        <f t="shared" si="508"/>
        <v>0</v>
      </c>
      <c r="Q862" s="2">
        <f t="shared" si="508"/>
        <v>0</v>
      </c>
      <c r="R862" s="2">
        <f t="shared" si="508"/>
        <v>0</v>
      </c>
      <c r="S862" s="2">
        <f t="shared" si="508"/>
        <v>0</v>
      </c>
      <c r="T862" s="2">
        <f t="shared" si="508"/>
        <v>0</v>
      </c>
      <c r="U862" s="2">
        <f t="shared" si="508"/>
        <v>0</v>
      </c>
      <c r="V862" s="18">
        <f>C862</f>
        <v>2523950</v>
      </c>
    </row>
    <row r="863" spans="1:22" ht="21" customHeight="1" x14ac:dyDescent="0.25">
      <c r="A863" s="37" t="s">
        <v>1073</v>
      </c>
      <c r="B863" s="8" t="s">
        <v>130</v>
      </c>
      <c r="C863" s="2">
        <f t="shared" si="500"/>
        <v>2523950</v>
      </c>
      <c r="D863" s="3">
        <f t="shared" ref="D863" si="509">SUM(E863:J863)</f>
        <v>0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4">
        <v>0</v>
      </c>
      <c r="L863" s="3">
        <v>0</v>
      </c>
      <c r="M863" s="3">
        <v>458.9</v>
      </c>
      <c r="N863" s="3">
        <f t="shared" ref="N863" si="510">M863*5500</f>
        <v>2523950</v>
      </c>
      <c r="O863" s="3">
        <v>0</v>
      </c>
      <c r="P863" s="3">
        <v>0</v>
      </c>
      <c r="Q863" s="3">
        <v>0</v>
      </c>
      <c r="R863" s="5">
        <v>0</v>
      </c>
      <c r="S863" s="3">
        <v>0</v>
      </c>
      <c r="T863" s="3">
        <v>0</v>
      </c>
      <c r="U863" s="3">
        <v>0</v>
      </c>
      <c r="V863" s="6">
        <f t="shared" ref="V863" si="511">N863/M863</f>
        <v>5500</v>
      </c>
    </row>
    <row r="864" spans="1:22" ht="45" customHeight="1" x14ac:dyDescent="0.25">
      <c r="A864" s="56" t="s">
        <v>142</v>
      </c>
      <c r="B864" s="56"/>
      <c r="C864" s="2">
        <f>SUM(C865)</f>
        <v>300000</v>
      </c>
      <c r="D864" s="2">
        <f t="shared" ref="D864:T864" si="512">SUM(D865)</f>
        <v>0</v>
      </c>
      <c r="E864" s="2">
        <f t="shared" si="512"/>
        <v>0</v>
      </c>
      <c r="F864" s="2">
        <f t="shared" si="512"/>
        <v>0</v>
      </c>
      <c r="G864" s="2">
        <f t="shared" si="512"/>
        <v>0</v>
      </c>
      <c r="H864" s="2">
        <f t="shared" si="512"/>
        <v>0</v>
      </c>
      <c r="I864" s="2">
        <f t="shared" si="512"/>
        <v>0</v>
      </c>
      <c r="J864" s="2">
        <f t="shared" si="512"/>
        <v>0</v>
      </c>
      <c r="K864" s="48">
        <f t="shared" si="512"/>
        <v>0</v>
      </c>
      <c r="L864" s="2">
        <f t="shared" si="512"/>
        <v>0</v>
      </c>
      <c r="M864" s="2">
        <f t="shared" si="512"/>
        <v>0</v>
      </c>
      <c r="N864" s="2">
        <f t="shared" si="512"/>
        <v>0</v>
      </c>
      <c r="O864" s="2">
        <f t="shared" si="512"/>
        <v>0</v>
      </c>
      <c r="P864" s="2">
        <f t="shared" si="512"/>
        <v>0</v>
      </c>
      <c r="Q864" s="2">
        <f t="shared" si="512"/>
        <v>0</v>
      </c>
      <c r="R864" s="2">
        <f t="shared" si="512"/>
        <v>0</v>
      </c>
      <c r="S864" s="2">
        <f t="shared" si="512"/>
        <v>0</v>
      </c>
      <c r="T864" s="2">
        <f t="shared" si="512"/>
        <v>0</v>
      </c>
      <c r="U864" s="2">
        <f>SUM(U865)</f>
        <v>300000</v>
      </c>
      <c r="V864" s="18">
        <f>C864</f>
        <v>300000</v>
      </c>
    </row>
    <row r="865" spans="1:22" ht="21.95" customHeight="1" x14ac:dyDescent="0.25">
      <c r="A865" s="37" t="s">
        <v>1074</v>
      </c>
      <c r="B865" s="8" t="s">
        <v>143</v>
      </c>
      <c r="C865" s="2">
        <f t="shared" ref="C865" si="513">D865+L865+N865+P865+R865+S865+T865+U865</f>
        <v>300000</v>
      </c>
      <c r="D865" s="3">
        <f t="shared" ref="D865" si="514">SUM(E865:J865)</f>
        <v>0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4">
        <v>0</v>
      </c>
      <c r="L865" s="3">
        <v>0</v>
      </c>
      <c r="M865" s="3">
        <v>0</v>
      </c>
      <c r="N865" s="3">
        <f t="shared" ref="N865" si="515">M865*5500</f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300000</v>
      </c>
      <c r="V865" s="6" t="e">
        <f t="shared" ref="V865" si="516">N865/M865</f>
        <v>#DIV/0!</v>
      </c>
    </row>
    <row r="866" spans="1:22" ht="45" customHeight="1" x14ac:dyDescent="0.25">
      <c r="A866" s="56" t="s">
        <v>146</v>
      </c>
      <c r="B866" s="56"/>
      <c r="C866" s="2">
        <f>SUM(C867)</f>
        <v>3401179.5</v>
      </c>
      <c r="D866" s="2">
        <f t="shared" ref="D866:U866" si="517">SUM(D867)</f>
        <v>111779.5</v>
      </c>
      <c r="E866" s="2">
        <f t="shared" si="517"/>
        <v>111779.5</v>
      </c>
      <c r="F866" s="2">
        <f t="shared" si="517"/>
        <v>0</v>
      </c>
      <c r="G866" s="2">
        <f t="shared" si="517"/>
        <v>0</v>
      </c>
      <c r="H866" s="2">
        <f t="shared" si="517"/>
        <v>0</v>
      </c>
      <c r="I866" s="2">
        <f t="shared" si="517"/>
        <v>0</v>
      </c>
      <c r="J866" s="2">
        <f t="shared" si="517"/>
        <v>0</v>
      </c>
      <c r="K866" s="14">
        <f t="shared" si="517"/>
        <v>0</v>
      </c>
      <c r="L866" s="2">
        <f t="shared" si="517"/>
        <v>0</v>
      </c>
      <c r="M866" s="2">
        <f t="shared" si="517"/>
        <v>283</v>
      </c>
      <c r="N866" s="2">
        <f t="shared" si="517"/>
        <v>1556500</v>
      </c>
      <c r="O866" s="2">
        <f t="shared" si="517"/>
        <v>126.2</v>
      </c>
      <c r="P866" s="2">
        <f t="shared" si="517"/>
        <v>151440</v>
      </c>
      <c r="Q866" s="2">
        <f t="shared" si="517"/>
        <v>493.82</v>
      </c>
      <c r="R866" s="2">
        <f t="shared" si="517"/>
        <v>1481460</v>
      </c>
      <c r="S866" s="2">
        <f t="shared" si="517"/>
        <v>0</v>
      </c>
      <c r="T866" s="2">
        <f t="shared" si="517"/>
        <v>0</v>
      </c>
      <c r="U866" s="2">
        <f t="shared" si="517"/>
        <v>100000</v>
      </c>
      <c r="V866" s="18">
        <f>C866</f>
        <v>3401179.5</v>
      </c>
    </row>
    <row r="867" spans="1:22" ht="21" customHeight="1" x14ac:dyDescent="0.25">
      <c r="A867" s="37" t="s">
        <v>1075</v>
      </c>
      <c r="B867" s="43" t="s">
        <v>147</v>
      </c>
      <c r="C867" s="2">
        <f t="shared" si="500"/>
        <v>3401179.5</v>
      </c>
      <c r="D867" s="3">
        <f t="shared" ref="D867" si="518">SUM(E867:J867)</f>
        <v>111779.5</v>
      </c>
      <c r="E867" s="3">
        <f>350*319.37</f>
        <v>111779.5</v>
      </c>
      <c r="F867" s="3">
        <f>1050*0</f>
        <v>0</v>
      </c>
      <c r="G867" s="3">
        <f>300*0</f>
        <v>0</v>
      </c>
      <c r="H867" s="3">
        <f>400*0</f>
        <v>0</v>
      </c>
      <c r="I867" s="3">
        <f>250*0</f>
        <v>0</v>
      </c>
      <c r="J867" s="3">
        <v>0</v>
      </c>
      <c r="K867" s="4">
        <v>0</v>
      </c>
      <c r="L867" s="3">
        <v>0</v>
      </c>
      <c r="M867" s="3">
        <v>283</v>
      </c>
      <c r="N867" s="3">
        <f t="shared" ref="N867" si="519">M867*5500</f>
        <v>1556500</v>
      </c>
      <c r="O867" s="3">
        <v>126.2</v>
      </c>
      <c r="P867" s="3">
        <v>151440</v>
      </c>
      <c r="Q867" s="3">
        <v>493.82</v>
      </c>
      <c r="R867" s="3">
        <f>Q867*3000</f>
        <v>1481460</v>
      </c>
      <c r="S867" s="3">
        <v>0</v>
      </c>
      <c r="T867" s="3">
        <v>0</v>
      </c>
      <c r="U867" s="3">
        <v>100000</v>
      </c>
      <c r="V867" s="6">
        <f t="shared" ref="V867" si="520">N867/M867</f>
        <v>5500</v>
      </c>
    </row>
    <row r="868" spans="1:22" ht="45" customHeight="1" x14ac:dyDescent="0.25">
      <c r="A868" s="56" t="s">
        <v>148</v>
      </c>
      <c r="B868" s="56"/>
      <c r="C868" s="2">
        <f>SUM(C869:C872)</f>
        <v>11100350</v>
      </c>
      <c r="D868" s="2">
        <f t="shared" ref="D868:U868" si="521">SUM(D869:D872)</f>
        <v>1005615</v>
      </c>
      <c r="E868" s="2">
        <f t="shared" si="521"/>
        <v>180495.00000000003</v>
      </c>
      <c r="F868" s="2">
        <f t="shared" si="521"/>
        <v>541485</v>
      </c>
      <c r="G868" s="2">
        <f t="shared" si="521"/>
        <v>154710</v>
      </c>
      <c r="H868" s="2">
        <f t="shared" si="521"/>
        <v>0</v>
      </c>
      <c r="I868" s="2">
        <f t="shared" si="521"/>
        <v>128925.00000000001</v>
      </c>
      <c r="J868" s="2">
        <f t="shared" si="521"/>
        <v>0</v>
      </c>
      <c r="K868" s="14">
        <f t="shared" si="521"/>
        <v>0</v>
      </c>
      <c r="L868" s="2">
        <f t="shared" si="521"/>
        <v>0</v>
      </c>
      <c r="M868" s="2">
        <f t="shared" si="521"/>
        <v>1071.1300000000001</v>
      </c>
      <c r="N868" s="2">
        <f t="shared" si="521"/>
        <v>5891215</v>
      </c>
      <c r="O868" s="2">
        <f t="shared" si="521"/>
        <v>0</v>
      </c>
      <c r="P868" s="2">
        <f t="shared" si="521"/>
        <v>0</v>
      </c>
      <c r="Q868" s="2">
        <f t="shared" si="521"/>
        <v>1367.84</v>
      </c>
      <c r="R868" s="2">
        <f t="shared" si="521"/>
        <v>4103519.9999999995</v>
      </c>
      <c r="S868" s="2">
        <f t="shared" si="521"/>
        <v>0</v>
      </c>
      <c r="T868" s="2">
        <f t="shared" si="521"/>
        <v>0</v>
      </c>
      <c r="U868" s="2">
        <f t="shared" si="521"/>
        <v>100000</v>
      </c>
    </row>
    <row r="869" spans="1:22" ht="21" customHeight="1" x14ac:dyDescent="0.25">
      <c r="A869" s="37" t="s">
        <v>1076</v>
      </c>
      <c r="B869" s="8" t="s">
        <v>152</v>
      </c>
      <c r="C869" s="2">
        <f t="shared" si="500"/>
        <v>7289340</v>
      </c>
      <c r="D869" s="3">
        <f t="shared" ref="D869:D872" si="522">SUM(E869:J869)</f>
        <v>0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4">
        <v>0</v>
      </c>
      <c r="L869" s="3">
        <v>0</v>
      </c>
      <c r="M869" s="3">
        <v>579.24</v>
      </c>
      <c r="N869" s="3">
        <f t="shared" ref="N869:N870" si="523">M869*5500</f>
        <v>3185820</v>
      </c>
      <c r="O869" s="3">
        <v>0</v>
      </c>
      <c r="P869" s="3">
        <v>0</v>
      </c>
      <c r="Q869" s="3">
        <v>1367.84</v>
      </c>
      <c r="R869" s="3">
        <f>Q869*3000</f>
        <v>4103519.9999999995</v>
      </c>
      <c r="S869" s="3">
        <v>0</v>
      </c>
      <c r="T869" s="3">
        <v>0</v>
      </c>
      <c r="U869" s="3">
        <v>0</v>
      </c>
      <c r="V869" s="6">
        <f t="shared" ref="V869:V872" si="524">N869/M869</f>
        <v>5500</v>
      </c>
    </row>
    <row r="870" spans="1:22" ht="21" customHeight="1" x14ac:dyDescent="0.25">
      <c r="A870" s="37" t="s">
        <v>1077</v>
      </c>
      <c r="B870" s="8" t="s">
        <v>154</v>
      </c>
      <c r="C870" s="2">
        <f t="shared" si="500"/>
        <v>1306140</v>
      </c>
      <c r="D870" s="3">
        <f t="shared" si="522"/>
        <v>0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4">
        <v>0</v>
      </c>
      <c r="L870" s="3">
        <v>0</v>
      </c>
      <c r="M870" s="3">
        <v>237.48</v>
      </c>
      <c r="N870" s="3">
        <f t="shared" si="523"/>
        <v>1306140</v>
      </c>
      <c r="O870" s="3">
        <v>0</v>
      </c>
      <c r="P870" s="3">
        <v>0</v>
      </c>
      <c r="Q870" s="3">
        <v>0</v>
      </c>
      <c r="R870" s="5">
        <v>0</v>
      </c>
      <c r="S870" s="3">
        <v>0</v>
      </c>
      <c r="T870" s="3">
        <v>0</v>
      </c>
      <c r="U870" s="3">
        <v>0</v>
      </c>
      <c r="V870" s="6">
        <f t="shared" si="524"/>
        <v>5500</v>
      </c>
    </row>
    <row r="871" spans="1:22" ht="21" customHeight="1" x14ac:dyDescent="0.25">
      <c r="A871" s="37" t="s">
        <v>1078</v>
      </c>
      <c r="B871" s="8" t="s">
        <v>155</v>
      </c>
      <c r="C871" s="2">
        <f t="shared" si="500"/>
        <v>1105615</v>
      </c>
      <c r="D871" s="3">
        <f t="shared" si="522"/>
        <v>1005615</v>
      </c>
      <c r="E871" s="3">
        <f>350*515.7</f>
        <v>180495.00000000003</v>
      </c>
      <c r="F871" s="3">
        <f>1050*515.7</f>
        <v>541485</v>
      </c>
      <c r="G871" s="3">
        <f>300*515.7</f>
        <v>154710</v>
      </c>
      <c r="H871" s="3">
        <f>400*0</f>
        <v>0</v>
      </c>
      <c r="I871" s="3">
        <f>250*515.7</f>
        <v>128925.00000000001</v>
      </c>
      <c r="J871" s="3">
        <v>0</v>
      </c>
      <c r="K871" s="4">
        <v>0</v>
      </c>
      <c r="L871" s="3">
        <v>0</v>
      </c>
      <c r="M871" s="3">
        <v>0</v>
      </c>
      <c r="N871" s="3">
        <v>0</v>
      </c>
      <c r="O871" s="3">
        <v>0</v>
      </c>
      <c r="P871" s="3">
        <v>0</v>
      </c>
      <c r="Q871" s="3">
        <v>0</v>
      </c>
      <c r="R871" s="5">
        <v>0</v>
      </c>
      <c r="S871" s="3">
        <v>0</v>
      </c>
      <c r="T871" s="3">
        <v>0</v>
      </c>
      <c r="U871" s="3">
        <v>100000</v>
      </c>
      <c r="V871" s="6" t="e">
        <f t="shared" si="524"/>
        <v>#DIV/0!</v>
      </c>
    </row>
    <row r="872" spans="1:22" ht="21" customHeight="1" x14ac:dyDescent="0.25">
      <c r="A872" s="37" t="s">
        <v>1079</v>
      </c>
      <c r="B872" s="8" t="s">
        <v>156</v>
      </c>
      <c r="C872" s="2">
        <f t="shared" si="500"/>
        <v>1399255</v>
      </c>
      <c r="D872" s="3">
        <f t="shared" si="522"/>
        <v>0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4">
        <v>0</v>
      </c>
      <c r="L872" s="3">
        <v>0</v>
      </c>
      <c r="M872" s="3">
        <v>254.41</v>
      </c>
      <c r="N872" s="3">
        <f t="shared" ref="N872" si="525">M872*5500</f>
        <v>1399255</v>
      </c>
      <c r="O872" s="3">
        <v>0</v>
      </c>
      <c r="P872" s="3">
        <v>0</v>
      </c>
      <c r="Q872" s="3">
        <v>0</v>
      </c>
      <c r="R872" s="5">
        <v>0</v>
      </c>
      <c r="S872" s="3">
        <v>0</v>
      </c>
      <c r="T872" s="3">
        <v>0</v>
      </c>
      <c r="U872" s="3">
        <v>0</v>
      </c>
      <c r="V872" s="6">
        <f t="shared" si="524"/>
        <v>5500</v>
      </c>
    </row>
    <row r="873" spans="1:22" ht="45" customHeight="1" x14ac:dyDescent="0.25">
      <c r="A873" s="56" t="s">
        <v>1561</v>
      </c>
      <c r="B873" s="56"/>
      <c r="C873" s="2">
        <f>SUM(C874)</f>
        <v>1315270</v>
      </c>
      <c r="D873" s="2">
        <f t="shared" ref="D873:U873" si="526">SUM(D874)</f>
        <v>0</v>
      </c>
      <c r="E873" s="2">
        <f t="shared" si="526"/>
        <v>0</v>
      </c>
      <c r="F873" s="2">
        <f t="shared" si="526"/>
        <v>0</v>
      </c>
      <c r="G873" s="2">
        <f t="shared" si="526"/>
        <v>0</v>
      </c>
      <c r="H873" s="2">
        <f t="shared" si="526"/>
        <v>0</v>
      </c>
      <c r="I873" s="2">
        <f t="shared" si="526"/>
        <v>0</v>
      </c>
      <c r="J873" s="2">
        <f t="shared" si="526"/>
        <v>0</v>
      </c>
      <c r="K873" s="14">
        <f t="shared" si="526"/>
        <v>0</v>
      </c>
      <c r="L873" s="2">
        <f t="shared" si="526"/>
        <v>0</v>
      </c>
      <c r="M873" s="2">
        <f t="shared" si="526"/>
        <v>239.14</v>
      </c>
      <c r="N873" s="2">
        <f t="shared" si="526"/>
        <v>1315270</v>
      </c>
      <c r="O873" s="2">
        <f t="shared" si="526"/>
        <v>0</v>
      </c>
      <c r="P873" s="2">
        <f t="shared" si="526"/>
        <v>0</v>
      </c>
      <c r="Q873" s="2">
        <f t="shared" si="526"/>
        <v>0</v>
      </c>
      <c r="R873" s="2">
        <f t="shared" si="526"/>
        <v>0</v>
      </c>
      <c r="S873" s="2">
        <f t="shared" si="526"/>
        <v>0</v>
      </c>
      <c r="T873" s="2">
        <f t="shared" si="526"/>
        <v>0</v>
      </c>
      <c r="U873" s="2">
        <f t="shared" si="526"/>
        <v>0</v>
      </c>
    </row>
    <row r="874" spans="1:22" ht="21.95" customHeight="1" x14ac:dyDescent="0.25">
      <c r="A874" s="37" t="s">
        <v>1080</v>
      </c>
      <c r="B874" s="8" t="s">
        <v>160</v>
      </c>
      <c r="C874" s="2">
        <f t="shared" si="500"/>
        <v>1315270</v>
      </c>
      <c r="D874" s="3">
        <f t="shared" ref="D874" si="527">SUM(E874:J874)</f>
        <v>0</v>
      </c>
      <c r="E874" s="3">
        <v>0</v>
      </c>
      <c r="F874" s="3">
        <v>0</v>
      </c>
      <c r="G874" s="3">
        <v>0</v>
      </c>
      <c r="H874" s="3">
        <v>0</v>
      </c>
      <c r="I874" s="3">
        <v>0</v>
      </c>
      <c r="J874" s="3">
        <v>0</v>
      </c>
      <c r="K874" s="4">
        <v>0</v>
      </c>
      <c r="L874" s="3">
        <v>0</v>
      </c>
      <c r="M874" s="3">
        <v>239.14</v>
      </c>
      <c r="N874" s="3">
        <f t="shared" ref="N874" si="528">M874*5500</f>
        <v>1315270</v>
      </c>
      <c r="O874" s="3">
        <v>0</v>
      </c>
      <c r="P874" s="3">
        <v>0</v>
      </c>
      <c r="Q874" s="3">
        <v>0</v>
      </c>
      <c r="R874" s="5">
        <v>0</v>
      </c>
      <c r="S874" s="3">
        <v>0</v>
      </c>
      <c r="T874" s="3">
        <v>0</v>
      </c>
      <c r="U874" s="3">
        <v>0</v>
      </c>
      <c r="V874" s="6">
        <f t="shared" ref="V874" si="529">N874/M874</f>
        <v>5500</v>
      </c>
    </row>
    <row r="875" spans="1:22" ht="45" customHeight="1" x14ac:dyDescent="0.25">
      <c r="A875" s="56" t="s">
        <v>163</v>
      </c>
      <c r="B875" s="56"/>
      <c r="C875" s="2">
        <f>SUM(C876:C890)</f>
        <v>88036412.599999994</v>
      </c>
      <c r="D875" s="2">
        <f t="shared" ref="D875:U875" si="530">SUM(D876:D890)</f>
        <v>22923560</v>
      </c>
      <c r="E875" s="2">
        <f t="shared" si="530"/>
        <v>4633160</v>
      </c>
      <c r="F875" s="2">
        <f t="shared" si="530"/>
        <v>12003075</v>
      </c>
      <c r="G875" s="2">
        <f t="shared" si="530"/>
        <v>3429450</v>
      </c>
      <c r="H875" s="2">
        <f t="shared" si="530"/>
        <v>0</v>
      </c>
      <c r="I875" s="2">
        <f t="shared" si="530"/>
        <v>2857875</v>
      </c>
      <c r="J875" s="2">
        <f t="shared" si="530"/>
        <v>0</v>
      </c>
      <c r="K875" s="14">
        <f t="shared" si="530"/>
        <v>0</v>
      </c>
      <c r="L875" s="2">
        <f t="shared" si="530"/>
        <v>0</v>
      </c>
      <c r="M875" s="2">
        <f t="shared" si="530"/>
        <v>7297.6</v>
      </c>
      <c r="N875" s="2">
        <f t="shared" si="530"/>
        <v>38596532.600000001</v>
      </c>
      <c r="O875" s="2">
        <f t="shared" si="530"/>
        <v>507.1</v>
      </c>
      <c r="P875" s="2">
        <f t="shared" si="530"/>
        <v>608520</v>
      </c>
      <c r="Q875" s="2">
        <f t="shared" si="530"/>
        <v>8202.6</v>
      </c>
      <c r="R875" s="2">
        <f t="shared" si="530"/>
        <v>24607800</v>
      </c>
      <c r="S875" s="2">
        <f t="shared" si="530"/>
        <v>0</v>
      </c>
      <c r="T875" s="2">
        <f t="shared" si="530"/>
        <v>0</v>
      </c>
      <c r="U875" s="2">
        <f t="shared" si="530"/>
        <v>1300000</v>
      </c>
    </row>
    <row r="876" spans="1:22" ht="21.95" customHeight="1" x14ac:dyDescent="0.25">
      <c r="A876" s="37" t="s">
        <v>1081</v>
      </c>
      <c r="B876" s="1" t="s">
        <v>193</v>
      </c>
      <c r="C876" s="2">
        <f t="shared" si="500"/>
        <v>6017000</v>
      </c>
      <c r="D876" s="3">
        <f t="shared" ref="D876:D890" si="531">SUM(E876:J876)</f>
        <v>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4">
        <v>0</v>
      </c>
      <c r="L876" s="3">
        <v>0</v>
      </c>
      <c r="M876" s="3">
        <v>735.8</v>
      </c>
      <c r="N876" s="3">
        <f t="shared" ref="N876:N883" si="532">M876*5500</f>
        <v>4046899.9999999995</v>
      </c>
      <c r="O876" s="3">
        <v>0</v>
      </c>
      <c r="P876" s="3">
        <f>O876*410</f>
        <v>0</v>
      </c>
      <c r="Q876" s="3">
        <v>656.7</v>
      </c>
      <c r="R876" s="3">
        <f t="shared" ref="R876:R890" si="533">Q876*3000</f>
        <v>1970100.0000000002</v>
      </c>
      <c r="S876" s="3">
        <f>S922</f>
        <v>0</v>
      </c>
      <c r="T876" s="3">
        <v>0</v>
      </c>
      <c r="U876" s="3">
        <v>0</v>
      </c>
      <c r="V876" s="6">
        <f t="shared" ref="V876:V890" si="534">N876/M876</f>
        <v>5500</v>
      </c>
    </row>
    <row r="877" spans="1:22" ht="21.95" customHeight="1" x14ac:dyDescent="0.25">
      <c r="A877" s="37" t="s">
        <v>1082</v>
      </c>
      <c r="B877" s="1" t="s">
        <v>194</v>
      </c>
      <c r="C877" s="2">
        <f t="shared" si="500"/>
        <v>5666190</v>
      </c>
      <c r="D877" s="3">
        <f t="shared" si="531"/>
        <v>1798290</v>
      </c>
      <c r="E877" s="3">
        <f>350*922.2</f>
        <v>322770</v>
      </c>
      <c r="F877" s="3">
        <f>1050*922.2</f>
        <v>968310</v>
      </c>
      <c r="G877" s="3">
        <f>300*922.2</f>
        <v>276660</v>
      </c>
      <c r="H877" s="3">
        <f>400*0</f>
        <v>0</v>
      </c>
      <c r="I877" s="3">
        <f>250*922.2</f>
        <v>230550</v>
      </c>
      <c r="J877" s="3">
        <v>0</v>
      </c>
      <c r="K877" s="4">
        <v>0</v>
      </c>
      <c r="L877" s="3">
        <v>0</v>
      </c>
      <c r="M877" s="3">
        <v>306.8</v>
      </c>
      <c r="N877" s="3">
        <f t="shared" si="532"/>
        <v>1687400</v>
      </c>
      <c r="O877" s="3">
        <v>0</v>
      </c>
      <c r="P877" s="3">
        <f>O877*410</f>
        <v>0</v>
      </c>
      <c r="Q877" s="3">
        <v>693.5</v>
      </c>
      <c r="R877" s="3">
        <f t="shared" si="533"/>
        <v>2080500</v>
      </c>
      <c r="S877" s="3">
        <f>S924</f>
        <v>0</v>
      </c>
      <c r="T877" s="3">
        <v>0</v>
      </c>
      <c r="U877" s="3">
        <v>100000</v>
      </c>
      <c r="V877" s="6">
        <f t="shared" si="534"/>
        <v>5500</v>
      </c>
    </row>
    <row r="878" spans="1:22" ht="21.95" customHeight="1" x14ac:dyDescent="0.25">
      <c r="A878" s="37" t="s">
        <v>1083</v>
      </c>
      <c r="B878" s="1" t="s">
        <v>195</v>
      </c>
      <c r="C878" s="2">
        <f t="shared" si="500"/>
        <v>6601640</v>
      </c>
      <c r="D878" s="3">
        <f t="shared" si="531"/>
        <v>519540.00000000006</v>
      </c>
      <c r="E878" s="3">
        <f>350*1484.4</f>
        <v>519540.00000000006</v>
      </c>
      <c r="F878" s="3">
        <f>1050*0</f>
        <v>0</v>
      </c>
      <c r="G878" s="3">
        <f>300*0</f>
        <v>0</v>
      </c>
      <c r="H878" s="3">
        <f>400*0</f>
        <v>0</v>
      </c>
      <c r="I878" s="3">
        <f>250*0</f>
        <v>0</v>
      </c>
      <c r="J878" s="3">
        <v>0</v>
      </c>
      <c r="K878" s="4">
        <v>0</v>
      </c>
      <c r="L878" s="3">
        <v>0</v>
      </c>
      <c r="M878" s="3">
        <v>688.6</v>
      </c>
      <c r="N878" s="3">
        <f t="shared" si="532"/>
        <v>3787300</v>
      </c>
      <c r="O878" s="3">
        <v>0</v>
      </c>
      <c r="P878" s="3">
        <f>O878*410</f>
        <v>0</v>
      </c>
      <c r="Q878" s="3">
        <v>731.6</v>
      </c>
      <c r="R878" s="3">
        <f t="shared" si="533"/>
        <v>2194800</v>
      </c>
      <c r="S878" s="3">
        <f t="shared" ref="S878:S881" si="535">S926</f>
        <v>0</v>
      </c>
      <c r="T878" s="3">
        <v>0</v>
      </c>
      <c r="U878" s="3">
        <v>100000</v>
      </c>
      <c r="V878" s="6">
        <f t="shared" si="534"/>
        <v>5500</v>
      </c>
    </row>
    <row r="879" spans="1:22" ht="21.95" customHeight="1" x14ac:dyDescent="0.25">
      <c r="A879" s="37" t="s">
        <v>1084</v>
      </c>
      <c r="B879" s="1" t="s">
        <v>196</v>
      </c>
      <c r="C879" s="2">
        <f t="shared" si="500"/>
        <v>6106100</v>
      </c>
      <c r="D879" s="3">
        <f t="shared" si="531"/>
        <v>2414100</v>
      </c>
      <c r="E879" s="3">
        <f>350*1238</f>
        <v>433300</v>
      </c>
      <c r="F879" s="3">
        <f>1050*1238</f>
        <v>1299900</v>
      </c>
      <c r="G879" s="3">
        <f>300*1238</f>
        <v>371400</v>
      </c>
      <c r="H879" s="3">
        <v>0</v>
      </c>
      <c r="I879" s="3">
        <f>250*1238</f>
        <v>309500</v>
      </c>
      <c r="J879" s="3">
        <f>350*0</f>
        <v>0</v>
      </c>
      <c r="K879" s="4">
        <v>0</v>
      </c>
      <c r="L879" s="3">
        <v>0</v>
      </c>
      <c r="M879" s="3">
        <v>476.2</v>
      </c>
      <c r="N879" s="3">
        <f t="shared" si="532"/>
        <v>2619100</v>
      </c>
      <c r="O879" s="3">
        <v>0</v>
      </c>
      <c r="P879" s="3">
        <f>O879*410</f>
        <v>0</v>
      </c>
      <c r="Q879" s="3">
        <v>324.3</v>
      </c>
      <c r="R879" s="3">
        <f t="shared" si="533"/>
        <v>972900</v>
      </c>
      <c r="S879" s="3">
        <f t="shared" si="535"/>
        <v>0</v>
      </c>
      <c r="T879" s="3">
        <v>0</v>
      </c>
      <c r="U879" s="3">
        <v>100000</v>
      </c>
      <c r="V879" s="6">
        <f t="shared" si="534"/>
        <v>5500</v>
      </c>
    </row>
    <row r="880" spans="1:22" ht="21.95" customHeight="1" x14ac:dyDescent="0.25">
      <c r="A880" s="37" t="s">
        <v>1085</v>
      </c>
      <c r="B880" s="1" t="s">
        <v>197</v>
      </c>
      <c r="C880" s="2">
        <f t="shared" si="500"/>
        <v>6597900</v>
      </c>
      <c r="D880" s="3">
        <f t="shared" si="531"/>
        <v>2554500</v>
      </c>
      <c r="E880" s="3">
        <f>350*1310</f>
        <v>458500</v>
      </c>
      <c r="F880" s="3">
        <f>1050*1310</f>
        <v>1375500</v>
      </c>
      <c r="G880" s="3">
        <f>300*1310</f>
        <v>393000</v>
      </c>
      <c r="H880" s="3">
        <v>0</v>
      </c>
      <c r="I880" s="3">
        <f>250*1310</f>
        <v>327500</v>
      </c>
      <c r="J880" s="3">
        <f>350*0</f>
        <v>0</v>
      </c>
      <c r="K880" s="4">
        <v>0</v>
      </c>
      <c r="L880" s="3">
        <v>0</v>
      </c>
      <c r="M880" s="3">
        <v>582.79999999999995</v>
      </c>
      <c r="N880" s="3">
        <f t="shared" si="532"/>
        <v>3205399.9999999995</v>
      </c>
      <c r="O880" s="3">
        <v>0</v>
      </c>
      <c r="P880" s="3">
        <f>O880*410</f>
        <v>0</v>
      </c>
      <c r="Q880" s="3">
        <v>246</v>
      </c>
      <c r="R880" s="3">
        <f t="shared" si="533"/>
        <v>738000</v>
      </c>
      <c r="S880" s="3">
        <f t="shared" si="535"/>
        <v>0</v>
      </c>
      <c r="T880" s="3">
        <v>0</v>
      </c>
      <c r="U880" s="3">
        <v>100000</v>
      </c>
      <c r="V880" s="6">
        <f t="shared" si="534"/>
        <v>5500</v>
      </c>
    </row>
    <row r="881" spans="1:22" ht="21.95" customHeight="1" x14ac:dyDescent="0.25">
      <c r="A881" s="37" t="s">
        <v>1086</v>
      </c>
      <c r="B881" s="1" t="s">
        <v>198</v>
      </c>
      <c r="C881" s="2">
        <f t="shared" si="500"/>
        <v>2099245</v>
      </c>
      <c r="D881" s="3">
        <f t="shared" si="531"/>
        <v>112595</v>
      </c>
      <c r="E881" s="3">
        <f>350*321.7</f>
        <v>112595</v>
      </c>
      <c r="F881" s="3">
        <f>1050*0</f>
        <v>0</v>
      </c>
      <c r="G881" s="3">
        <f>300*0</f>
        <v>0</v>
      </c>
      <c r="H881" s="3">
        <f>400*0</f>
        <v>0</v>
      </c>
      <c r="I881" s="3">
        <f>250*0</f>
        <v>0</v>
      </c>
      <c r="J881" s="3">
        <v>0</v>
      </c>
      <c r="K881" s="4">
        <v>0</v>
      </c>
      <c r="L881" s="3">
        <v>0</v>
      </c>
      <c r="M881" s="3">
        <v>176.5</v>
      </c>
      <c r="N881" s="3">
        <f t="shared" si="532"/>
        <v>970750</v>
      </c>
      <c r="O881" s="3">
        <v>0</v>
      </c>
      <c r="P881" s="3">
        <v>0</v>
      </c>
      <c r="Q881" s="3">
        <v>305.3</v>
      </c>
      <c r="R881" s="3">
        <f t="shared" si="533"/>
        <v>915900</v>
      </c>
      <c r="S881" s="3">
        <f t="shared" si="535"/>
        <v>0</v>
      </c>
      <c r="T881" s="3">
        <v>0</v>
      </c>
      <c r="U881" s="3">
        <v>100000</v>
      </c>
      <c r="V881" s="6">
        <f t="shared" si="534"/>
        <v>5500</v>
      </c>
    </row>
    <row r="882" spans="1:22" ht="21.95" customHeight="1" x14ac:dyDescent="0.25">
      <c r="A882" s="37" t="s">
        <v>1087</v>
      </c>
      <c r="B882" s="1" t="s">
        <v>199</v>
      </c>
      <c r="C882" s="2">
        <f t="shared" si="500"/>
        <v>11319415</v>
      </c>
      <c r="D882" s="3">
        <f t="shared" si="531"/>
        <v>4260165</v>
      </c>
      <c r="E882" s="3">
        <f>350*2184.7</f>
        <v>764644.99999999988</v>
      </c>
      <c r="F882" s="3">
        <f>1050*2184.7</f>
        <v>2293935</v>
      </c>
      <c r="G882" s="3">
        <f>300*2184.7</f>
        <v>655410</v>
      </c>
      <c r="H882" s="3">
        <f>400*0</f>
        <v>0</v>
      </c>
      <c r="I882" s="3">
        <f>250*2184.7</f>
        <v>546175</v>
      </c>
      <c r="J882" s="3">
        <v>0</v>
      </c>
      <c r="K882" s="4">
        <v>0</v>
      </c>
      <c r="L882" s="3">
        <v>0</v>
      </c>
      <c r="M882" s="3">
        <v>657.9</v>
      </c>
      <c r="N882" s="3">
        <f t="shared" si="532"/>
        <v>3618450</v>
      </c>
      <c r="O882" s="3">
        <v>0</v>
      </c>
      <c r="P882" s="3">
        <v>0</v>
      </c>
      <c r="Q882" s="3">
        <v>1113.5999999999999</v>
      </c>
      <c r="R882" s="3">
        <f t="shared" si="533"/>
        <v>3340799.9999999995</v>
      </c>
      <c r="S882" s="3">
        <f>S931</f>
        <v>0</v>
      </c>
      <c r="T882" s="3">
        <v>0</v>
      </c>
      <c r="U882" s="3">
        <v>100000</v>
      </c>
      <c r="V882" s="6">
        <f t="shared" si="534"/>
        <v>5500</v>
      </c>
    </row>
    <row r="883" spans="1:22" ht="21.95" customHeight="1" x14ac:dyDescent="0.25">
      <c r="A883" s="37" t="s">
        <v>1088</v>
      </c>
      <c r="B883" s="1" t="s">
        <v>200</v>
      </c>
      <c r="C883" s="2">
        <f t="shared" si="500"/>
        <v>7035445</v>
      </c>
      <c r="D883" s="3">
        <f t="shared" si="531"/>
        <v>1896375</v>
      </c>
      <c r="E883" s="3">
        <f>350*972.5</f>
        <v>340375</v>
      </c>
      <c r="F883" s="3">
        <f>1050*972.5</f>
        <v>1021125</v>
      </c>
      <c r="G883" s="3">
        <f>300*972.5</f>
        <v>291750</v>
      </c>
      <c r="H883" s="3">
        <f>400*0</f>
        <v>0</v>
      </c>
      <c r="I883" s="3">
        <f>250*972.5</f>
        <v>243125</v>
      </c>
      <c r="J883" s="3">
        <v>0</v>
      </c>
      <c r="K883" s="4">
        <v>0</v>
      </c>
      <c r="L883" s="3">
        <v>0</v>
      </c>
      <c r="M883" s="3">
        <v>620.70000000000005</v>
      </c>
      <c r="N883" s="3">
        <f t="shared" si="532"/>
        <v>3413850.0000000005</v>
      </c>
      <c r="O883" s="3">
        <v>507.1</v>
      </c>
      <c r="P883" s="3">
        <f>O883*1200</f>
        <v>608520</v>
      </c>
      <c r="Q883" s="3">
        <v>338.9</v>
      </c>
      <c r="R883" s="3">
        <f t="shared" si="533"/>
        <v>1016699.9999999999</v>
      </c>
      <c r="S883" s="3">
        <v>0</v>
      </c>
      <c r="T883" s="3">
        <v>0</v>
      </c>
      <c r="U883" s="3">
        <v>100000</v>
      </c>
      <c r="V883" s="6">
        <f t="shared" si="534"/>
        <v>5500</v>
      </c>
    </row>
    <row r="884" spans="1:22" ht="21.95" customHeight="1" x14ac:dyDescent="0.25">
      <c r="A884" s="37" t="s">
        <v>1089</v>
      </c>
      <c r="B884" s="1" t="s">
        <v>201</v>
      </c>
      <c r="C884" s="2">
        <f t="shared" si="500"/>
        <v>200000</v>
      </c>
      <c r="D884" s="3">
        <f t="shared" si="531"/>
        <v>0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4">
        <v>0</v>
      </c>
      <c r="L884" s="3">
        <v>0</v>
      </c>
      <c r="M884" s="3">
        <v>0</v>
      </c>
      <c r="N884" s="3">
        <v>0</v>
      </c>
      <c r="O884" s="3">
        <v>0</v>
      </c>
      <c r="P884" s="3">
        <v>0</v>
      </c>
      <c r="Q884" s="3">
        <v>0</v>
      </c>
      <c r="R884" s="3">
        <f t="shared" si="533"/>
        <v>0</v>
      </c>
      <c r="S884" s="3">
        <v>0</v>
      </c>
      <c r="T884" s="3">
        <v>0</v>
      </c>
      <c r="U884" s="3">
        <v>200000</v>
      </c>
      <c r="V884" s="6" t="e">
        <f t="shared" si="534"/>
        <v>#DIV/0!</v>
      </c>
    </row>
    <row r="885" spans="1:22" ht="21.95" customHeight="1" x14ac:dyDescent="0.25">
      <c r="A885" s="37" t="s">
        <v>1090</v>
      </c>
      <c r="B885" s="1" t="s">
        <v>202</v>
      </c>
      <c r="C885" s="2">
        <f t="shared" si="500"/>
        <v>3129782.6</v>
      </c>
      <c r="D885" s="3">
        <f t="shared" si="531"/>
        <v>0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  <c r="K885" s="4">
        <v>0</v>
      </c>
      <c r="L885" s="3">
        <v>0</v>
      </c>
      <c r="M885" s="3">
        <v>849.1</v>
      </c>
      <c r="N885" s="3">
        <f>M885*3686</f>
        <v>3129782.6</v>
      </c>
      <c r="O885" s="3">
        <v>0</v>
      </c>
      <c r="P885" s="3">
        <v>0</v>
      </c>
      <c r="Q885" s="3">
        <v>0</v>
      </c>
      <c r="R885" s="3">
        <f t="shared" si="533"/>
        <v>0</v>
      </c>
      <c r="S885" s="3">
        <v>0</v>
      </c>
      <c r="T885" s="3">
        <v>0</v>
      </c>
      <c r="U885" s="3">
        <v>0</v>
      </c>
      <c r="V885" s="6">
        <f t="shared" si="534"/>
        <v>3686</v>
      </c>
    </row>
    <row r="886" spans="1:22" ht="21.95" customHeight="1" x14ac:dyDescent="0.25">
      <c r="A886" s="37" t="s">
        <v>1091</v>
      </c>
      <c r="B886" s="21" t="s">
        <v>203</v>
      </c>
      <c r="C886" s="2">
        <f t="shared" si="500"/>
        <v>15573195</v>
      </c>
      <c r="D886" s="3">
        <f t="shared" si="531"/>
        <v>5253495</v>
      </c>
      <c r="E886" s="3">
        <f>350*2694.1</f>
        <v>942935</v>
      </c>
      <c r="F886" s="3">
        <f>1050*2694.1</f>
        <v>2828805</v>
      </c>
      <c r="G886" s="3">
        <f>300*2694.1</f>
        <v>808230</v>
      </c>
      <c r="H886" s="3">
        <f>400*0</f>
        <v>0</v>
      </c>
      <c r="I886" s="3">
        <f>250*2694.1</f>
        <v>673525</v>
      </c>
      <c r="J886" s="3">
        <v>0</v>
      </c>
      <c r="K886" s="4">
        <v>0</v>
      </c>
      <c r="L886" s="3">
        <v>0</v>
      </c>
      <c r="M886" s="3">
        <v>781.4</v>
      </c>
      <c r="N886" s="3">
        <f t="shared" ref="N886:N890" si="536">M886*5500</f>
        <v>4297700</v>
      </c>
      <c r="O886" s="3">
        <v>0</v>
      </c>
      <c r="P886" s="3">
        <v>0</v>
      </c>
      <c r="Q886" s="3">
        <v>1974</v>
      </c>
      <c r="R886" s="3">
        <f t="shared" si="533"/>
        <v>5922000</v>
      </c>
      <c r="S886" s="3">
        <f t="shared" ref="S886" si="537">S933</f>
        <v>0</v>
      </c>
      <c r="T886" s="3">
        <v>0</v>
      </c>
      <c r="U886" s="3">
        <v>100000</v>
      </c>
      <c r="V886" s="6">
        <f t="shared" si="534"/>
        <v>5500</v>
      </c>
    </row>
    <row r="887" spans="1:22" ht="21.95" customHeight="1" x14ac:dyDescent="0.25">
      <c r="A887" s="37" t="s">
        <v>1092</v>
      </c>
      <c r="B887" s="1" t="s">
        <v>207</v>
      </c>
      <c r="C887" s="2">
        <f t="shared" si="500"/>
        <v>3694900</v>
      </c>
      <c r="D887" s="3">
        <f t="shared" si="531"/>
        <v>0</v>
      </c>
      <c r="E887" s="3">
        <v>0</v>
      </c>
      <c r="F887" s="3">
        <v>0</v>
      </c>
      <c r="G887" s="3">
        <v>0</v>
      </c>
      <c r="H887" s="3">
        <v>0</v>
      </c>
      <c r="I887" s="3">
        <v>0</v>
      </c>
      <c r="J887" s="3">
        <v>0</v>
      </c>
      <c r="K887" s="4">
        <v>0</v>
      </c>
      <c r="L887" s="3">
        <v>0</v>
      </c>
      <c r="M887" s="3">
        <v>415</v>
      </c>
      <c r="N887" s="3">
        <f t="shared" si="536"/>
        <v>2282500</v>
      </c>
      <c r="O887" s="3">
        <v>0</v>
      </c>
      <c r="P887" s="3">
        <v>0</v>
      </c>
      <c r="Q887" s="3">
        <v>470.8</v>
      </c>
      <c r="R887" s="3">
        <f t="shared" si="533"/>
        <v>1412400</v>
      </c>
      <c r="S887" s="3">
        <f>S935</f>
        <v>0</v>
      </c>
      <c r="T887" s="3">
        <v>0</v>
      </c>
      <c r="U887" s="3">
        <v>0</v>
      </c>
      <c r="V887" s="6">
        <f t="shared" si="534"/>
        <v>5500</v>
      </c>
    </row>
    <row r="888" spans="1:22" ht="21.95" customHeight="1" x14ac:dyDescent="0.25">
      <c r="A888" s="37" t="s">
        <v>1093</v>
      </c>
      <c r="B888" s="1" t="s">
        <v>204</v>
      </c>
      <c r="C888" s="2">
        <f t="shared" si="500"/>
        <v>4245065</v>
      </c>
      <c r="D888" s="3">
        <f t="shared" si="531"/>
        <v>1354665</v>
      </c>
      <c r="E888" s="3">
        <f>350*694.7</f>
        <v>243145.00000000003</v>
      </c>
      <c r="F888" s="3">
        <f>1050*694.7</f>
        <v>729435</v>
      </c>
      <c r="G888" s="3">
        <f>300*694.7</f>
        <v>208410</v>
      </c>
      <c r="H888" s="3">
        <f>400*0</f>
        <v>0</v>
      </c>
      <c r="I888" s="3">
        <f>250*694.7</f>
        <v>173675</v>
      </c>
      <c r="J888" s="3">
        <v>0</v>
      </c>
      <c r="K888" s="4">
        <v>0</v>
      </c>
      <c r="L888" s="3">
        <v>0</v>
      </c>
      <c r="M888" s="3">
        <v>254.8</v>
      </c>
      <c r="N888" s="3">
        <f t="shared" si="536"/>
        <v>1401400</v>
      </c>
      <c r="O888" s="3">
        <v>0</v>
      </c>
      <c r="P888" s="3">
        <v>0</v>
      </c>
      <c r="Q888" s="3">
        <v>463</v>
      </c>
      <c r="R888" s="3">
        <f t="shared" si="533"/>
        <v>1389000</v>
      </c>
      <c r="S888" s="3">
        <f>S936</f>
        <v>0</v>
      </c>
      <c r="T888" s="3">
        <v>0</v>
      </c>
      <c r="U888" s="3">
        <v>100000</v>
      </c>
      <c r="V888" s="6">
        <f t="shared" si="534"/>
        <v>5500</v>
      </c>
    </row>
    <row r="889" spans="1:22" ht="21.95" customHeight="1" x14ac:dyDescent="0.25">
      <c r="A889" s="37" t="s">
        <v>1094</v>
      </c>
      <c r="B889" s="1" t="s">
        <v>205</v>
      </c>
      <c r="C889" s="2">
        <f t="shared" si="500"/>
        <v>4985375</v>
      </c>
      <c r="D889" s="3">
        <f t="shared" si="531"/>
        <v>1367925</v>
      </c>
      <c r="E889" s="3">
        <f>350*701.5</f>
        <v>245525</v>
      </c>
      <c r="F889" s="3">
        <f>1050*701.5</f>
        <v>736575</v>
      </c>
      <c r="G889" s="3">
        <f>300*701.5</f>
        <v>210450</v>
      </c>
      <c r="H889" s="3">
        <f>400*0</f>
        <v>0</v>
      </c>
      <c r="I889" s="3">
        <f>250*701.5</f>
        <v>175375</v>
      </c>
      <c r="J889" s="3">
        <v>0</v>
      </c>
      <c r="K889" s="4">
        <v>0</v>
      </c>
      <c r="L889" s="3">
        <v>0</v>
      </c>
      <c r="M889" s="3">
        <v>384.1</v>
      </c>
      <c r="N889" s="3">
        <f t="shared" si="536"/>
        <v>2112550</v>
      </c>
      <c r="O889" s="3">
        <v>0</v>
      </c>
      <c r="P889" s="3">
        <v>0</v>
      </c>
      <c r="Q889" s="3">
        <v>468.3</v>
      </c>
      <c r="R889" s="3">
        <f t="shared" si="533"/>
        <v>1404900</v>
      </c>
      <c r="S889" s="3">
        <f>S937</f>
        <v>0</v>
      </c>
      <c r="T889" s="3">
        <v>0</v>
      </c>
      <c r="U889" s="3">
        <v>100000</v>
      </c>
      <c r="V889" s="6">
        <f t="shared" si="534"/>
        <v>5500</v>
      </c>
    </row>
    <row r="890" spans="1:22" ht="21.95" customHeight="1" x14ac:dyDescent="0.25">
      <c r="A890" s="37" t="s">
        <v>1095</v>
      </c>
      <c r="B890" s="1" t="s">
        <v>206</v>
      </c>
      <c r="C890" s="2">
        <f t="shared" si="500"/>
        <v>4765160</v>
      </c>
      <c r="D890" s="3">
        <f t="shared" si="531"/>
        <v>1391910</v>
      </c>
      <c r="E890" s="3">
        <f>350*713.8</f>
        <v>249829.99999999997</v>
      </c>
      <c r="F890" s="3">
        <f>1050*713.8</f>
        <v>749490</v>
      </c>
      <c r="G890" s="3">
        <f>300*713.8</f>
        <v>214140</v>
      </c>
      <c r="H890" s="3">
        <f>400*0</f>
        <v>0</v>
      </c>
      <c r="I890" s="3">
        <f>250*713.8</f>
        <v>178450</v>
      </c>
      <c r="J890" s="3">
        <v>0</v>
      </c>
      <c r="K890" s="4">
        <v>0</v>
      </c>
      <c r="L890" s="3">
        <v>0</v>
      </c>
      <c r="M890" s="3">
        <v>367.9</v>
      </c>
      <c r="N890" s="3">
        <f t="shared" si="536"/>
        <v>2023449.9999999998</v>
      </c>
      <c r="O890" s="3">
        <v>0</v>
      </c>
      <c r="P890" s="3">
        <v>0</v>
      </c>
      <c r="Q890" s="3">
        <v>416.6</v>
      </c>
      <c r="R890" s="3">
        <f t="shared" si="533"/>
        <v>1249800</v>
      </c>
      <c r="S890" s="3">
        <v>0</v>
      </c>
      <c r="T890" s="3">
        <v>0</v>
      </c>
      <c r="U890" s="3">
        <v>100000</v>
      </c>
      <c r="V890" s="6">
        <f t="shared" si="534"/>
        <v>5500</v>
      </c>
    </row>
    <row r="891" spans="1:22" ht="45" customHeight="1" x14ac:dyDescent="0.25">
      <c r="A891" s="56" t="s">
        <v>222</v>
      </c>
      <c r="B891" s="56"/>
      <c r="C891" s="2">
        <f>SUM(C894:C897)</f>
        <v>12297580</v>
      </c>
      <c r="D891" s="2">
        <f t="shared" ref="D891:U891" si="538">SUM(D894:D897)</f>
        <v>2532255</v>
      </c>
      <c r="E891" s="2">
        <f t="shared" si="538"/>
        <v>1273125</v>
      </c>
      <c r="F891" s="2">
        <f t="shared" si="538"/>
        <v>768600</v>
      </c>
      <c r="G891" s="2">
        <f t="shared" si="538"/>
        <v>307530</v>
      </c>
      <c r="H891" s="2">
        <f t="shared" si="538"/>
        <v>0</v>
      </c>
      <c r="I891" s="2">
        <f t="shared" si="538"/>
        <v>183000</v>
      </c>
      <c r="J891" s="2">
        <f t="shared" si="538"/>
        <v>0</v>
      </c>
      <c r="K891" s="14">
        <f t="shared" si="538"/>
        <v>0</v>
      </c>
      <c r="L891" s="2">
        <f t="shared" si="538"/>
        <v>0</v>
      </c>
      <c r="M891" s="2">
        <f t="shared" si="538"/>
        <v>987.75</v>
      </c>
      <c r="N891" s="2">
        <f t="shared" si="538"/>
        <v>5432625</v>
      </c>
      <c r="O891" s="2">
        <f t="shared" si="538"/>
        <v>0</v>
      </c>
      <c r="P891" s="2">
        <f t="shared" si="538"/>
        <v>0</v>
      </c>
      <c r="Q891" s="2">
        <f t="shared" si="538"/>
        <v>1310.9</v>
      </c>
      <c r="R891" s="2">
        <f t="shared" si="538"/>
        <v>3932700</v>
      </c>
      <c r="S891" s="2">
        <f t="shared" si="538"/>
        <v>0</v>
      </c>
      <c r="T891" s="2">
        <f t="shared" si="538"/>
        <v>0</v>
      </c>
      <c r="U891" s="2">
        <f t="shared" si="538"/>
        <v>400000</v>
      </c>
    </row>
    <row r="892" spans="1:22" ht="21.95" customHeight="1" x14ac:dyDescent="0.25">
      <c r="A892" s="37" t="s">
        <v>1096</v>
      </c>
      <c r="B892" s="8" t="s">
        <v>214</v>
      </c>
      <c r="C892" s="2">
        <f t="shared" ref="C892:C893" si="539">D892+L892+N892+P892+R892+S892+T892+U892</f>
        <v>4872061</v>
      </c>
      <c r="D892" s="3">
        <f t="shared" ref="D892:D893" si="540">SUM(E892:J892)</f>
        <v>991321</v>
      </c>
      <c r="E892" s="3">
        <f>350*583.13</f>
        <v>204095.5</v>
      </c>
      <c r="F892" s="3">
        <f>1050*583.13</f>
        <v>612286.5</v>
      </c>
      <c r="G892" s="3">
        <f>300*583.13</f>
        <v>174939</v>
      </c>
      <c r="H892" s="3">
        <f>400*0</f>
        <v>0</v>
      </c>
      <c r="I892" s="3">
        <f>250*0</f>
        <v>0</v>
      </c>
      <c r="J892" s="3">
        <f t="shared" ref="J892:J893" si="541">350*0</f>
        <v>0</v>
      </c>
      <c r="K892" s="4">
        <v>0</v>
      </c>
      <c r="L892" s="3">
        <v>0</v>
      </c>
      <c r="M892" s="5">
        <v>427.28</v>
      </c>
      <c r="N892" s="3">
        <f t="shared" ref="N892:N893" si="542">M892*5500</f>
        <v>2350040</v>
      </c>
      <c r="O892" s="3">
        <v>0</v>
      </c>
      <c r="P892" s="3">
        <v>0</v>
      </c>
      <c r="Q892" s="3">
        <v>476.9</v>
      </c>
      <c r="R892" s="3">
        <f t="shared" ref="R892:R893" si="543">Q892*3000</f>
        <v>1430700</v>
      </c>
      <c r="S892" s="3">
        <v>0</v>
      </c>
      <c r="T892" s="3">
        <v>0</v>
      </c>
      <c r="U892" s="3">
        <v>100000</v>
      </c>
      <c r="V892" s="6">
        <f t="shared" ref="V892:V893" si="544">N892/M892</f>
        <v>5500</v>
      </c>
    </row>
    <row r="893" spans="1:22" ht="21.95" customHeight="1" x14ac:dyDescent="0.25">
      <c r="A893" s="37" t="s">
        <v>1097</v>
      </c>
      <c r="B893" s="8" t="s">
        <v>215</v>
      </c>
      <c r="C893" s="2">
        <f t="shared" si="539"/>
        <v>4838365</v>
      </c>
      <c r="D893" s="3">
        <f t="shared" si="540"/>
        <v>725390</v>
      </c>
      <c r="E893" s="3">
        <f>350*426.7</f>
        <v>149345</v>
      </c>
      <c r="F893" s="3">
        <f>1050*426.7</f>
        <v>448035</v>
      </c>
      <c r="G893" s="3">
        <f>300*426.7</f>
        <v>128010</v>
      </c>
      <c r="H893" s="3">
        <f>400*0</f>
        <v>0</v>
      </c>
      <c r="I893" s="3">
        <f>250*0</f>
        <v>0</v>
      </c>
      <c r="J893" s="3">
        <f t="shared" si="541"/>
        <v>0</v>
      </c>
      <c r="K893" s="11">
        <v>0</v>
      </c>
      <c r="L893" s="5">
        <v>0</v>
      </c>
      <c r="M893" s="5">
        <v>554.65</v>
      </c>
      <c r="N893" s="3">
        <f t="shared" si="542"/>
        <v>3050575</v>
      </c>
      <c r="O893" s="5">
        <v>0</v>
      </c>
      <c r="P893" s="5">
        <v>0</v>
      </c>
      <c r="Q893" s="5">
        <v>320.8</v>
      </c>
      <c r="R893" s="3">
        <f t="shared" si="543"/>
        <v>962400</v>
      </c>
      <c r="S893" s="5">
        <v>0</v>
      </c>
      <c r="T893" s="3">
        <v>0</v>
      </c>
      <c r="U893" s="5">
        <v>100000</v>
      </c>
      <c r="V893" s="6">
        <f t="shared" si="544"/>
        <v>5500</v>
      </c>
    </row>
    <row r="894" spans="1:22" ht="21.95" customHeight="1" x14ac:dyDescent="0.25">
      <c r="A894" s="37" t="s">
        <v>1098</v>
      </c>
      <c r="B894" s="8" t="s">
        <v>219</v>
      </c>
      <c r="C894" s="2">
        <f t="shared" si="500"/>
        <v>3767765</v>
      </c>
      <c r="D894" s="3">
        <f t="shared" ref="D894:D897" si="545">SUM(E894:J894)</f>
        <v>190515</v>
      </c>
      <c r="E894" s="3">
        <f>350*293.1</f>
        <v>102585.00000000001</v>
      </c>
      <c r="F894" s="3">
        <f>1050*0</f>
        <v>0</v>
      </c>
      <c r="G894" s="3">
        <f>300*293.1</f>
        <v>87930</v>
      </c>
      <c r="H894" s="3">
        <f>400*0</f>
        <v>0</v>
      </c>
      <c r="I894" s="3">
        <f>250*0</f>
        <v>0</v>
      </c>
      <c r="J894" s="3">
        <v>0</v>
      </c>
      <c r="K894" s="4">
        <v>0</v>
      </c>
      <c r="L894" s="3">
        <v>0</v>
      </c>
      <c r="M894" s="3">
        <v>371.5</v>
      </c>
      <c r="N894" s="3">
        <f t="shared" ref="N894:N897" si="546">M894*5500</f>
        <v>2043250</v>
      </c>
      <c r="O894" s="3">
        <v>0</v>
      </c>
      <c r="P894" s="3">
        <v>0</v>
      </c>
      <c r="Q894" s="3">
        <v>478</v>
      </c>
      <c r="R894" s="3">
        <f t="shared" ref="R894:R897" si="547">Q894*3000</f>
        <v>1434000</v>
      </c>
      <c r="S894" s="3">
        <v>0</v>
      </c>
      <c r="T894" s="3">
        <v>0</v>
      </c>
      <c r="U894" s="3">
        <v>100000</v>
      </c>
      <c r="V894" s="6">
        <f t="shared" ref="V894:V897" si="548">N894/M894</f>
        <v>5500</v>
      </c>
    </row>
    <row r="895" spans="1:22" ht="21.95" customHeight="1" x14ac:dyDescent="0.25">
      <c r="A895" s="37" t="s">
        <v>1638</v>
      </c>
      <c r="B895" s="8" t="s">
        <v>1641</v>
      </c>
      <c r="C895" s="2">
        <f t="shared" ref="C895" si="549">D895+L895+N895+P895+R895+S895+T895+U895</f>
        <v>1014340</v>
      </c>
      <c r="D895" s="3">
        <f t="shared" ref="D895" si="550">SUM(E895:J895)</f>
        <v>914340</v>
      </c>
      <c r="E895" s="3">
        <f>350*2612.4</f>
        <v>914340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4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100000</v>
      </c>
      <c r="V895" s="6" t="e">
        <f t="shared" si="548"/>
        <v>#DIV/0!</v>
      </c>
    </row>
    <row r="896" spans="1:22" ht="21.95" customHeight="1" x14ac:dyDescent="0.25">
      <c r="A896" s="37" t="s">
        <v>1099</v>
      </c>
      <c r="B896" s="8" t="s">
        <v>220</v>
      </c>
      <c r="C896" s="2">
        <f t="shared" si="500"/>
        <v>4435205</v>
      </c>
      <c r="D896" s="3">
        <f t="shared" si="545"/>
        <v>855855</v>
      </c>
      <c r="E896" s="3">
        <f>350*438.9</f>
        <v>153615</v>
      </c>
      <c r="F896" s="3">
        <f>1050*438.9</f>
        <v>460845</v>
      </c>
      <c r="G896" s="3">
        <f>300*438.9</f>
        <v>131670</v>
      </c>
      <c r="H896" s="3">
        <f>400*0</f>
        <v>0</v>
      </c>
      <c r="I896" s="3">
        <f>250*438.9</f>
        <v>109725</v>
      </c>
      <c r="J896" s="3">
        <v>0</v>
      </c>
      <c r="K896" s="4">
        <v>0</v>
      </c>
      <c r="L896" s="3">
        <v>0</v>
      </c>
      <c r="M896" s="3">
        <v>371.5</v>
      </c>
      <c r="N896" s="3">
        <f t="shared" si="546"/>
        <v>2043250</v>
      </c>
      <c r="O896" s="3">
        <v>0</v>
      </c>
      <c r="P896" s="3">
        <v>0</v>
      </c>
      <c r="Q896" s="3">
        <v>478.7</v>
      </c>
      <c r="R896" s="3">
        <f t="shared" si="547"/>
        <v>1436100</v>
      </c>
      <c r="S896" s="3">
        <v>0</v>
      </c>
      <c r="T896" s="3">
        <v>0</v>
      </c>
      <c r="U896" s="3">
        <v>100000</v>
      </c>
      <c r="V896" s="6">
        <f t="shared" si="548"/>
        <v>5500</v>
      </c>
    </row>
    <row r="897" spans="1:22" ht="21.95" customHeight="1" x14ac:dyDescent="0.25">
      <c r="A897" s="37" t="s">
        <v>1100</v>
      </c>
      <c r="B897" s="8" t="s">
        <v>221</v>
      </c>
      <c r="C897" s="2">
        <f t="shared" si="500"/>
        <v>3080270</v>
      </c>
      <c r="D897" s="3">
        <f t="shared" si="545"/>
        <v>571545</v>
      </c>
      <c r="E897" s="3">
        <f>350*293.1</f>
        <v>102585.00000000001</v>
      </c>
      <c r="F897" s="3">
        <f>1050*293.1</f>
        <v>307755</v>
      </c>
      <c r="G897" s="3">
        <f>300*293.1</f>
        <v>87930</v>
      </c>
      <c r="H897" s="3">
        <f>400*0</f>
        <v>0</v>
      </c>
      <c r="I897" s="3">
        <f>250*293.1</f>
        <v>73275</v>
      </c>
      <c r="J897" s="3">
        <v>0</v>
      </c>
      <c r="K897" s="4">
        <v>0</v>
      </c>
      <c r="L897" s="3">
        <v>0</v>
      </c>
      <c r="M897" s="3">
        <v>244.75</v>
      </c>
      <c r="N897" s="3">
        <f t="shared" si="546"/>
        <v>1346125</v>
      </c>
      <c r="O897" s="3">
        <v>0</v>
      </c>
      <c r="P897" s="3">
        <v>0</v>
      </c>
      <c r="Q897" s="3">
        <v>354.2</v>
      </c>
      <c r="R897" s="3">
        <f t="shared" si="547"/>
        <v>1062600</v>
      </c>
      <c r="S897" s="3">
        <v>0</v>
      </c>
      <c r="T897" s="3">
        <v>0</v>
      </c>
      <c r="U897" s="3">
        <v>100000</v>
      </c>
      <c r="V897" s="6">
        <f t="shared" si="548"/>
        <v>5500</v>
      </c>
    </row>
    <row r="898" spans="1:22" ht="45" customHeight="1" x14ac:dyDescent="0.25">
      <c r="A898" s="56" t="s">
        <v>226</v>
      </c>
      <c r="B898" s="56"/>
      <c r="C898" s="2">
        <f>SUM(C899:C902)</f>
        <v>12915689</v>
      </c>
      <c r="D898" s="2">
        <f t="shared" ref="D898:U898" si="551">SUM(D899:D902)</f>
        <v>988705</v>
      </c>
      <c r="E898" s="2">
        <f t="shared" si="551"/>
        <v>429520</v>
      </c>
      <c r="F898" s="2">
        <f t="shared" si="551"/>
        <v>0</v>
      </c>
      <c r="G898" s="2">
        <f t="shared" si="551"/>
        <v>305010</v>
      </c>
      <c r="H898" s="2">
        <f t="shared" si="551"/>
        <v>0</v>
      </c>
      <c r="I898" s="2">
        <f t="shared" si="551"/>
        <v>254175</v>
      </c>
      <c r="J898" s="2">
        <f t="shared" si="551"/>
        <v>0</v>
      </c>
      <c r="K898" s="14">
        <f t="shared" si="551"/>
        <v>0</v>
      </c>
      <c r="L898" s="2">
        <f t="shared" si="551"/>
        <v>0</v>
      </c>
      <c r="M898" s="2">
        <f t="shared" si="551"/>
        <v>1110.56</v>
      </c>
      <c r="N898" s="2">
        <f t="shared" si="551"/>
        <v>6108080</v>
      </c>
      <c r="O898" s="2">
        <f t="shared" si="551"/>
        <v>0</v>
      </c>
      <c r="P898" s="2">
        <f t="shared" si="551"/>
        <v>0</v>
      </c>
      <c r="Q898" s="2">
        <f t="shared" si="551"/>
        <v>1502.8400000000001</v>
      </c>
      <c r="R898" s="2">
        <f t="shared" si="551"/>
        <v>4508520</v>
      </c>
      <c r="S898" s="2">
        <f t="shared" si="551"/>
        <v>510384</v>
      </c>
      <c r="T898" s="2">
        <f t="shared" si="551"/>
        <v>0</v>
      </c>
      <c r="U898" s="2">
        <f t="shared" si="551"/>
        <v>800000</v>
      </c>
    </row>
    <row r="899" spans="1:22" ht="21.95" customHeight="1" x14ac:dyDescent="0.25">
      <c r="A899" s="37" t="s">
        <v>1101</v>
      </c>
      <c r="B899" s="8" t="s">
        <v>233</v>
      </c>
      <c r="C899" s="2">
        <f t="shared" si="500"/>
        <v>3870580</v>
      </c>
      <c r="D899" s="3">
        <f t="shared" ref="D899:D902" si="552">SUM(E899:J899)</f>
        <v>375300</v>
      </c>
      <c r="E899" s="3">
        <f>350*417</f>
        <v>145950</v>
      </c>
      <c r="F899" s="3">
        <v>0</v>
      </c>
      <c r="G899" s="3">
        <f>300*417</f>
        <v>125100</v>
      </c>
      <c r="H899" s="3">
        <f>400*0</f>
        <v>0</v>
      </c>
      <c r="I899" s="3">
        <f>250*417</f>
        <v>104250</v>
      </c>
      <c r="J899" s="3">
        <f>350*0</f>
        <v>0</v>
      </c>
      <c r="K899" s="4">
        <v>0</v>
      </c>
      <c r="L899" s="3">
        <v>0</v>
      </c>
      <c r="M899" s="3">
        <v>347.64</v>
      </c>
      <c r="N899" s="3">
        <f t="shared" ref="N899:N902" si="553">M899*5500</f>
        <v>1912020</v>
      </c>
      <c r="O899" s="3">
        <v>0</v>
      </c>
      <c r="P899" s="3">
        <v>0</v>
      </c>
      <c r="Q899" s="3">
        <v>442.2</v>
      </c>
      <c r="R899" s="3">
        <f t="shared" ref="R899:R902" si="554">Q899*3000</f>
        <v>1326600</v>
      </c>
      <c r="S899" s="3">
        <v>156660</v>
      </c>
      <c r="T899" s="3">
        <v>0</v>
      </c>
      <c r="U899" s="3">
        <v>100000</v>
      </c>
      <c r="V899" s="6">
        <f t="shared" ref="V899:V902" si="555">N899/M899</f>
        <v>5500</v>
      </c>
    </row>
    <row r="900" spans="1:22" ht="21.95" customHeight="1" x14ac:dyDescent="0.25">
      <c r="A900" s="37" t="s">
        <v>1102</v>
      </c>
      <c r="B900" s="8" t="s">
        <v>236</v>
      </c>
      <c r="C900" s="2">
        <f>D900+L900+N900+P900+R900+S900+T900+U900</f>
        <v>2852140</v>
      </c>
      <c r="D900" s="3">
        <f>SUM(E900:J900)</f>
        <v>269910</v>
      </c>
      <c r="E900" s="3">
        <f>350*299.9</f>
        <v>104964.99999999999</v>
      </c>
      <c r="F900" s="3">
        <v>0</v>
      </c>
      <c r="G900" s="3">
        <f>300*299.9</f>
        <v>89970</v>
      </c>
      <c r="H900" s="3">
        <f>400*0</f>
        <v>0</v>
      </c>
      <c r="I900" s="3">
        <f>250*299.9</f>
        <v>74975</v>
      </c>
      <c r="J900" s="3">
        <f>350*0</f>
        <v>0</v>
      </c>
      <c r="K900" s="4">
        <v>0</v>
      </c>
      <c r="L900" s="3">
        <v>0</v>
      </c>
      <c r="M900" s="3">
        <v>238.62</v>
      </c>
      <c r="N900" s="3">
        <f>M900*5500</f>
        <v>1312410</v>
      </c>
      <c r="O900" s="3">
        <v>0</v>
      </c>
      <c r="P900" s="3">
        <v>0</v>
      </c>
      <c r="Q900" s="3">
        <v>349.2</v>
      </c>
      <c r="R900" s="3">
        <f>Q900*3000</f>
        <v>1047600</v>
      </c>
      <c r="S900" s="3">
        <v>122220</v>
      </c>
      <c r="T900" s="3">
        <v>0</v>
      </c>
      <c r="U900" s="3">
        <v>100000</v>
      </c>
      <c r="V900" s="6">
        <f>N900/M900</f>
        <v>5500</v>
      </c>
    </row>
    <row r="901" spans="1:22" ht="21.95" customHeight="1" x14ac:dyDescent="0.25">
      <c r="A901" s="37" t="s">
        <v>1103</v>
      </c>
      <c r="B901" s="8" t="s">
        <v>234</v>
      </c>
      <c r="C901" s="2">
        <f t="shared" si="500"/>
        <v>3149273</v>
      </c>
      <c r="D901" s="3">
        <f t="shared" si="552"/>
        <v>269820</v>
      </c>
      <c r="E901" s="3">
        <f>350*299.8</f>
        <v>104930</v>
      </c>
      <c r="F901" s="3">
        <v>0</v>
      </c>
      <c r="G901" s="3">
        <f>300*299.8</f>
        <v>89940</v>
      </c>
      <c r="H901" s="3">
        <f>400*0</f>
        <v>0</v>
      </c>
      <c r="I901" s="3">
        <f>250*299.8</f>
        <v>74950</v>
      </c>
      <c r="J901" s="3">
        <f>350*0</f>
        <v>0</v>
      </c>
      <c r="K901" s="4">
        <v>0</v>
      </c>
      <c r="L901" s="3">
        <v>0</v>
      </c>
      <c r="M901" s="3">
        <v>255.83</v>
      </c>
      <c r="N901" s="3">
        <f t="shared" si="553"/>
        <v>1407065</v>
      </c>
      <c r="O901" s="3">
        <v>0</v>
      </c>
      <c r="P901" s="3">
        <v>0</v>
      </c>
      <c r="Q901" s="3">
        <v>350</v>
      </c>
      <c r="R901" s="3">
        <f t="shared" si="554"/>
        <v>1050000</v>
      </c>
      <c r="S901" s="3">
        <v>122388</v>
      </c>
      <c r="T901" s="3">
        <v>0</v>
      </c>
      <c r="U901" s="3">
        <v>300000</v>
      </c>
      <c r="V901" s="6">
        <f t="shared" si="555"/>
        <v>5500</v>
      </c>
    </row>
    <row r="902" spans="1:22" ht="21.95" customHeight="1" x14ac:dyDescent="0.25">
      <c r="A902" s="37" t="s">
        <v>1104</v>
      </c>
      <c r="B902" s="8" t="s">
        <v>237</v>
      </c>
      <c r="C902" s="2">
        <f t="shared" si="500"/>
        <v>3043696</v>
      </c>
      <c r="D902" s="3">
        <f t="shared" si="552"/>
        <v>73675</v>
      </c>
      <c r="E902" s="3">
        <f>350*210.5</f>
        <v>73675</v>
      </c>
      <c r="F902" s="3">
        <v>0</v>
      </c>
      <c r="G902" s="3">
        <v>0</v>
      </c>
      <c r="H902" s="3">
        <f>400*0</f>
        <v>0</v>
      </c>
      <c r="I902" s="3">
        <v>0</v>
      </c>
      <c r="J902" s="3">
        <f>350*0</f>
        <v>0</v>
      </c>
      <c r="K902" s="4">
        <v>0</v>
      </c>
      <c r="L902" s="3">
        <v>0</v>
      </c>
      <c r="M902" s="3">
        <v>268.47000000000003</v>
      </c>
      <c r="N902" s="3">
        <f t="shared" si="553"/>
        <v>1476585.0000000002</v>
      </c>
      <c r="O902" s="3">
        <v>0</v>
      </c>
      <c r="P902" s="3">
        <v>0</v>
      </c>
      <c r="Q902" s="3">
        <v>361.44</v>
      </c>
      <c r="R902" s="3">
        <f t="shared" si="554"/>
        <v>1084320</v>
      </c>
      <c r="S902" s="3">
        <v>109116</v>
      </c>
      <c r="T902" s="3">
        <v>0</v>
      </c>
      <c r="U902" s="3">
        <v>300000</v>
      </c>
      <c r="V902" s="6">
        <f t="shared" si="555"/>
        <v>5500</v>
      </c>
    </row>
    <row r="903" spans="1:22" ht="45" customHeight="1" x14ac:dyDescent="0.25">
      <c r="A903" s="56" t="s">
        <v>243</v>
      </c>
      <c r="B903" s="56"/>
      <c r="C903" s="2">
        <f>SUM(C904)</f>
        <v>3293265</v>
      </c>
      <c r="D903" s="2">
        <f t="shared" ref="D903:U903" si="556">SUM(D904)</f>
        <v>530985</v>
      </c>
      <c r="E903" s="2">
        <f t="shared" si="556"/>
        <v>95305</v>
      </c>
      <c r="F903" s="2">
        <f t="shared" si="556"/>
        <v>285915</v>
      </c>
      <c r="G903" s="2">
        <f t="shared" si="556"/>
        <v>81690</v>
      </c>
      <c r="H903" s="2">
        <f t="shared" si="556"/>
        <v>0</v>
      </c>
      <c r="I903" s="2">
        <f t="shared" si="556"/>
        <v>68075</v>
      </c>
      <c r="J903" s="2">
        <f t="shared" si="556"/>
        <v>0</v>
      </c>
      <c r="K903" s="14">
        <f t="shared" si="556"/>
        <v>0</v>
      </c>
      <c r="L903" s="2">
        <f t="shared" si="556"/>
        <v>0</v>
      </c>
      <c r="M903" s="2">
        <f t="shared" si="556"/>
        <v>272</v>
      </c>
      <c r="N903" s="2">
        <f t="shared" si="556"/>
        <v>1496000</v>
      </c>
      <c r="O903" s="2">
        <f t="shared" si="556"/>
        <v>0</v>
      </c>
      <c r="P903" s="2">
        <f t="shared" si="556"/>
        <v>0</v>
      </c>
      <c r="Q903" s="2">
        <f t="shared" si="556"/>
        <v>335</v>
      </c>
      <c r="R903" s="2">
        <f t="shared" si="556"/>
        <v>1005000</v>
      </c>
      <c r="S903" s="2">
        <f t="shared" si="556"/>
        <v>161280</v>
      </c>
      <c r="T903" s="2">
        <f t="shared" si="556"/>
        <v>0</v>
      </c>
      <c r="U903" s="2">
        <f t="shared" si="556"/>
        <v>100000</v>
      </c>
      <c r="V903" s="18">
        <f>C903</f>
        <v>3293265</v>
      </c>
    </row>
    <row r="904" spans="1:22" ht="21.95" customHeight="1" x14ac:dyDescent="0.25">
      <c r="A904" s="37" t="s">
        <v>1105</v>
      </c>
      <c r="B904" s="8" t="s">
        <v>242</v>
      </c>
      <c r="C904" s="2">
        <f t="shared" si="500"/>
        <v>3293265</v>
      </c>
      <c r="D904" s="3">
        <f t="shared" ref="D904" si="557">SUM(E904:J904)</f>
        <v>530985</v>
      </c>
      <c r="E904" s="3">
        <f>350*272.3</f>
        <v>95305</v>
      </c>
      <c r="F904" s="3">
        <f>1050*272.3</f>
        <v>285915</v>
      </c>
      <c r="G904" s="3">
        <f>300*272.3</f>
        <v>81690</v>
      </c>
      <c r="H904" s="3">
        <f>400*0</f>
        <v>0</v>
      </c>
      <c r="I904" s="3">
        <f>250*272.3</f>
        <v>68075</v>
      </c>
      <c r="J904" s="3">
        <f>350*0</f>
        <v>0</v>
      </c>
      <c r="K904" s="4">
        <v>0</v>
      </c>
      <c r="L904" s="3">
        <v>0</v>
      </c>
      <c r="M904" s="3">
        <v>272</v>
      </c>
      <c r="N904" s="3">
        <f t="shared" ref="N904" si="558">M904*5500</f>
        <v>1496000</v>
      </c>
      <c r="O904" s="3">
        <v>0</v>
      </c>
      <c r="P904" s="3">
        <v>0</v>
      </c>
      <c r="Q904" s="3">
        <v>335</v>
      </c>
      <c r="R904" s="3">
        <f>Q904*3000</f>
        <v>1005000</v>
      </c>
      <c r="S904" s="3">
        <v>161280</v>
      </c>
      <c r="T904" s="3">
        <v>0</v>
      </c>
      <c r="U904" s="3">
        <v>100000</v>
      </c>
      <c r="V904" s="6">
        <f t="shared" ref="V904" si="559">N904/M904</f>
        <v>5500</v>
      </c>
    </row>
    <row r="905" spans="1:22" ht="45" customHeight="1" x14ac:dyDescent="0.25">
      <c r="A905" s="56" t="s">
        <v>268</v>
      </c>
      <c r="B905" s="56"/>
      <c r="C905" s="2">
        <f>SUM(C906:C916)</f>
        <v>57314026.259999998</v>
      </c>
      <c r="D905" s="2">
        <f t="shared" ref="D905:U905" si="560">SUM(D906:D916)</f>
        <v>21117255</v>
      </c>
      <c r="E905" s="2">
        <f t="shared" si="560"/>
        <v>3941385</v>
      </c>
      <c r="F905" s="2">
        <f t="shared" si="560"/>
        <v>11824155</v>
      </c>
      <c r="G905" s="2">
        <f t="shared" si="560"/>
        <v>2536440</v>
      </c>
      <c r="H905" s="2">
        <f t="shared" si="560"/>
        <v>0</v>
      </c>
      <c r="I905" s="2">
        <f t="shared" si="560"/>
        <v>2815275</v>
      </c>
      <c r="J905" s="2">
        <f t="shared" si="560"/>
        <v>0</v>
      </c>
      <c r="K905" s="14">
        <f t="shared" si="560"/>
        <v>0</v>
      </c>
      <c r="L905" s="2">
        <f t="shared" si="560"/>
        <v>0</v>
      </c>
      <c r="M905" s="2">
        <f t="shared" si="560"/>
        <v>3933.8199999999997</v>
      </c>
      <c r="N905" s="2">
        <f t="shared" si="560"/>
        <v>19045781.259999998</v>
      </c>
      <c r="O905" s="2">
        <f t="shared" si="560"/>
        <v>315.59999999999997</v>
      </c>
      <c r="P905" s="2">
        <f t="shared" si="560"/>
        <v>781800</v>
      </c>
      <c r="Q905" s="2">
        <f t="shared" si="560"/>
        <v>5189.7299999999996</v>
      </c>
      <c r="R905" s="2">
        <f t="shared" si="560"/>
        <v>15569190</v>
      </c>
      <c r="S905" s="2">
        <f t="shared" si="560"/>
        <v>0</v>
      </c>
      <c r="T905" s="2">
        <f t="shared" si="560"/>
        <v>0</v>
      </c>
      <c r="U905" s="2">
        <f t="shared" si="560"/>
        <v>800000</v>
      </c>
    </row>
    <row r="906" spans="1:22" ht="24" customHeight="1" x14ac:dyDescent="0.25">
      <c r="A906" s="37" t="s">
        <v>1106</v>
      </c>
      <c r="B906" s="8" t="s">
        <v>1546</v>
      </c>
      <c r="C906" s="2">
        <f t="shared" si="500"/>
        <v>3243435</v>
      </c>
      <c r="D906" s="3">
        <f t="shared" ref="D906:D916" si="561">SUM(E906:J906)</f>
        <v>3243435</v>
      </c>
      <c r="E906" s="3">
        <f>350*1663.3</f>
        <v>582155</v>
      </c>
      <c r="F906" s="3">
        <f>1050*1663.3</f>
        <v>1746465</v>
      </c>
      <c r="G906" s="3">
        <f>300*1663.3</f>
        <v>498990</v>
      </c>
      <c r="H906" s="3">
        <v>0</v>
      </c>
      <c r="I906" s="3">
        <f>250*1663.3</f>
        <v>415825</v>
      </c>
      <c r="J906" s="3">
        <v>0</v>
      </c>
      <c r="K906" s="11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3">
        <f t="shared" ref="R906:R916" si="562">Q906*3000</f>
        <v>0</v>
      </c>
      <c r="S906" s="5">
        <v>0</v>
      </c>
      <c r="T906" s="5">
        <v>0</v>
      </c>
      <c r="U906" s="5">
        <v>0</v>
      </c>
      <c r="V906" s="6" t="e">
        <f t="shared" ref="V906:V916" si="563">N906/M906</f>
        <v>#DIV/0!</v>
      </c>
    </row>
    <row r="907" spans="1:22" ht="21.95" customHeight="1" x14ac:dyDescent="0.25">
      <c r="A907" s="37" t="s">
        <v>1107</v>
      </c>
      <c r="B907" s="8" t="s">
        <v>1533</v>
      </c>
      <c r="C907" s="2">
        <f t="shared" si="500"/>
        <v>1718750</v>
      </c>
      <c r="D907" s="3">
        <f t="shared" si="561"/>
        <v>0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11">
        <v>0</v>
      </c>
      <c r="L907" s="5">
        <v>0</v>
      </c>
      <c r="M907" s="5">
        <v>312.5</v>
      </c>
      <c r="N907" s="5">
        <f>M907*5500</f>
        <v>1718750</v>
      </c>
      <c r="O907" s="5">
        <v>0</v>
      </c>
      <c r="P907" s="5">
        <v>0</v>
      </c>
      <c r="Q907" s="5">
        <v>0</v>
      </c>
      <c r="R907" s="3">
        <f t="shared" si="562"/>
        <v>0</v>
      </c>
      <c r="S907" s="5">
        <v>0</v>
      </c>
      <c r="T907" s="5">
        <v>0</v>
      </c>
      <c r="U907" s="5">
        <v>0</v>
      </c>
      <c r="V907" s="6">
        <f t="shared" si="563"/>
        <v>5500</v>
      </c>
    </row>
    <row r="908" spans="1:22" ht="21.95" customHeight="1" x14ac:dyDescent="0.25">
      <c r="A908" s="37" t="s">
        <v>1108</v>
      </c>
      <c r="B908" s="22" t="s">
        <v>248</v>
      </c>
      <c r="C908" s="2">
        <f t="shared" si="500"/>
        <v>6398290</v>
      </c>
      <c r="D908" s="3">
        <f t="shared" si="561"/>
        <v>5948010</v>
      </c>
      <c r="E908" s="3">
        <f>350*3482</f>
        <v>1218700</v>
      </c>
      <c r="F908" s="3">
        <f>1050*3482</f>
        <v>3656100</v>
      </c>
      <c r="G908" s="3">
        <f>300*675.7</f>
        <v>202710</v>
      </c>
      <c r="H908" s="3">
        <f>400*0</f>
        <v>0</v>
      </c>
      <c r="I908" s="3">
        <f>250*3482</f>
        <v>870500</v>
      </c>
      <c r="J908" s="3">
        <f>350*0</f>
        <v>0</v>
      </c>
      <c r="K908" s="4">
        <v>0</v>
      </c>
      <c r="L908" s="3">
        <v>0</v>
      </c>
      <c r="M908" s="3">
        <v>0</v>
      </c>
      <c r="N908" s="3">
        <v>0</v>
      </c>
      <c r="O908" s="3">
        <v>166.8</v>
      </c>
      <c r="P908" s="3">
        <v>350280</v>
      </c>
      <c r="Q908" s="3">
        <v>0</v>
      </c>
      <c r="R908" s="3">
        <f t="shared" si="562"/>
        <v>0</v>
      </c>
      <c r="S908" s="3">
        <v>0</v>
      </c>
      <c r="T908" s="3">
        <v>0</v>
      </c>
      <c r="U908" s="3">
        <v>100000</v>
      </c>
      <c r="V908" s="6" t="e">
        <f t="shared" si="563"/>
        <v>#DIV/0!</v>
      </c>
    </row>
    <row r="909" spans="1:22" ht="21.95" customHeight="1" x14ac:dyDescent="0.25">
      <c r="A909" s="37" t="s">
        <v>1632</v>
      </c>
      <c r="B909" s="22" t="s">
        <v>256</v>
      </c>
      <c r="C909" s="2">
        <f t="shared" si="500"/>
        <v>6420035</v>
      </c>
      <c r="D909" s="3">
        <f t="shared" si="561"/>
        <v>1317615</v>
      </c>
      <c r="E909" s="3">
        <f>350*675.7</f>
        <v>236495.00000000003</v>
      </c>
      <c r="F909" s="3">
        <f>1050*675.7</f>
        <v>709485</v>
      </c>
      <c r="G909" s="3">
        <f>300*675.7</f>
        <v>202710</v>
      </c>
      <c r="H909" s="3">
        <f>400*0</f>
        <v>0</v>
      </c>
      <c r="I909" s="3">
        <f>250*675.7</f>
        <v>168925</v>
      </c>
      <c r="J909" s="3">
        <f>350*0</f>
        <v>0</v>
      </c>
      <c r="K909" s="4">
        <v>0</v>
      </c>
      <c r="L909" s="3">
        <v>0</v>
      </c>
      <c r="M909" s="3">
        <v>555.79999999999995</v>
      </c>
      <c r="N909" s="3">
        <f t="shared" ref="N909" si="564">M909*5500</f>
        <v>3056899.9999999995</v>
      </c>
      <c r="O909" s="3">
        <v>42.7</v>
      </c>
      <c r="P909" s="3">
        <v>123830</v>
      </c>
      <c r="Q909" s="3">
        <v>607.23</v>
      </c>
      <c r="R909" s="3">
        <f t="shared" si="562"/>
        <v>1821690</v>
      </c>
      <c r="S909" s="3">
        <v>0</v>
      </c>
      <c r="T909" s="3">
        <v>0</v>
      </c>
      <c r="U909" s="3">
        <v>100000</v>
      </c>
      <c r="V909" s="6">
        <f t="shared" si="563"/>
        <v>5500</v>
      </c>
    </row>
    <row r="910" spans="1:22" ht="24.95" customHeight="1" x14ac:dyDescent="0.25">
      <c r="A910" s="37" t="s">
        <v>1109</v>
      </c>
      <c r="B910" s="22" t="s">
        <v>257</v>
      </c>
      <c r="C910" s="2">
        <f t="shared" si="500"/>
        <v>3015550</v>
      </c>
      <c r="D910" s="3">
        <f t="shared" ref="D910" si="565">SUM(E910:J910)</f>
        <v>1109550</v>
      </c>
      <c r="E910" s="3">
        <f>350*569</f>
        <v>199150</v>
      </c>
      <c r="F910" s="3">
        <f>1050*569</f>
        <v>597450</v>
      </c>
      <c r="G910" s="3">
        <f>300*569</f>
        <v>170700</v>
      </c>
      <c r="H910" s="3">
        <f t="shared" ref="H910" si="566">400*0</f>
        <v>0</v>
      </c>
      <c r="I910" s="3">
        <f>250*569</f>
        <v>142250</v>
      </c>
      <c r="J910" s="3">
        <f t="shared" ref="J910" si="567">350*0</f>
        <v>0</v>
      </c>
      <c r="K910" s="4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602</v>
      </c>
      <c r="R910" s="3">
        <f t="shared" si="562"/>
        <v>1806000</v>
      </c>
      <c r="S910" s="3">
        <v>0</v>
      </c>
      <c r="T910" s="3">
        <v>0</v>
      </c>
      <c r="U910" s="3">
        <v>100000</v>
      </c>
      <c r="V910" s="6" t="e">
        <f t="shared" si="563"/>
        <v>#DIV/0!</v>
      </c>
    </row>
    <row r="911" spans="1:22" ht="21.95" customHeight="1" x14ac:dyDescent="0.25">
      <c r="A911" s="37" t="s">
        <v>1419</v>
      </c>
      <c r="B911" s="22" t="s">
        <v>261</v>
      </c>
      <c r="C911" s="2">
        <f t="shared" si="500"/>
        <v>3117399.9999999995</v>
      </c>
      <c r="D911" s="3">
        <f t="shared" si="561"/>
        <v>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4">
        <v>0</v>
      </c>
      <c r="L911" s="3">
        <v>0</v>
      </c>
      <c r="M911" s="3">
        <v>566.79999999999995</v>
      </c>
      <c r="N911" s="3">
        <f t="shared" ref="N911" si="568">M911*5500</f>
        <v>3117399.9999999995</v>
      </c>
      <c r="O911" s="3">
        <v>0</v>
      </c>
      <c r="P911" s="3">
        <v>0</v>
      </c>
      <c r="Q911" s="3">
        <v>0</v>
      </c>
      <c r="R911" s="3">
        <f t="shared" si="562"/>
        <v>0</v>
      </c>
      <c r="S911" s="3">
        <v>0</v>
      </c>
      <c r="T911" s="3">
        <v>0</v>
      </c>
      <c r="U911" s="3">
        <v>0</v>
      </c>
      <c r="V911" s="6">
        <f t="shared" si="563"/>
        <v>5500</v>
      </c>
    </row>
    <row r="912" spans="1:22" ht="21.95" customHeight="1" x14ac:dyDescent="0.25">
      <c r="A912" s="37" t="s">
        <v>1420</v>
      </c>
      <c r="B912" s="22" t="s">
        <v>263</v>
      </c>
      <c r="C912" s="2">
        <f t="shared" si="500"/>
        <v>9500334.7599999998</v>
      </c>
      <c r="D912" s="3">
        <f t="shared" si="561"/>
        <v>3103620</v>
      </c>
      <c r="E912" s="3">
        <f>350*1591.6</f>
        <v>557060</v>
      </c>
      <c r="F912" s="3">
        <f>1050*1591.6</f>
        <v>1671180</v>
      </c>
      <c r="G912" s="3">
        <f>300*1591.6</f>
        <v>477480</v>
      </c>
      <c r="H912" s="3">
        <f>400*0</f>
        <v>0</v>
      </c>
      <c r="I912" s="3">
        <f>250*1591.6</f>
        <v>397900</v>
      </c>
      <c r="J912" s="3">
        <f>350*0</f>
        <v>0</v>
      </c>
      <c r="K912" s="4">
        <v>0</v>
      </c>
      <c r="L912" s="3">
        <v>0</v>
      </c>
      <c r="M912" s="3">
        <v>682.66</v>
      </c>
      <c r="N912" s="3">
        <f t="shared" ref="N912:N913" si="569">M912*3686</f>
        <v>2516284.7599999998</v>
      </c>
      <c r="O912" s="3">
        <v>52.7</v>
      </c>
      <c r="P912" s="3">
        <v>152830</v>
      </c>
      <c r="Q912" s="3">
        <v>1209.2</v>
      </c>
      <c r="R912" s="3">
        <f t="shared" si="562"/>
        <v>3627600</v>
      </c>
      <c r="S912" s="3">
        <v>0</v>
      </c>
      <c r="T912" s="3">
        <v>0</v>
      </c>
      <c r="U912" s="3">
        <v>100000</v>
      </c>
      <c r="V912" s="6">
        <f t="shared" si="563"/>
        <v>3686</v>
      </c>
    </row>
    <row r="913" spans="1:22" ht="21.95" customHeight="1" x14ac:dyDescent="0.25">
      <c r="A913" s="37" t="s">
        <v>1110</v>
      </c>
      <c r="B913" s="22" t="s">
        <v>264</v>
      </c>
      <c r="C913" s="2">
        <f t="shared" si="500"/>
        <v>9736161.5</v>
      </c>
      <c r="D913" s="3">
        <f t="shared" si="561"/>
        <v>3135210</v>
      </c>
      <c r="E913" s="3">
        <f>350*1607.8</f>
        <v>562730</v>
      </c>
      <c r="F913" s="3">
        <f>1050*1607.8</f>
        <v>1688190</v>
      </c>
      <c r="G913" s="3">
        <f>300*1607.8</f>
        <v>482340</v>
      </c>
      <c r="H913" s="3">
        <f>400*0</f>
        <v>0</v>
      </c>
      <c r="I913" s="3">
        <f>250*1607.8</f>
        <v>401950</v>
      </c>
      <c r="J913" s="3">
        <f t="shared" ref="J913:J916" si="570">350*0</f>
        <v>0</v>
      </c>
      <c r="K913" s="4">
        <v>0</v>
      </c>
      <c r="L913" s="3">
        <v>0</v>
      </c>
      <c r="M913" s="3">
        <v>745.25</v>
      </c>
      <c r="N913" s="3">
        <f t="shared" si="569"/>
        <v>2746991.5</v>
      </c>
      <c r="O913" s="3">
        <v>53.4</v>
      </c>
      <c r="P913" s="3">
        <v>154860</v>
      </c>
      <c r="Q913" s="3">
        <v>1199.7</v>
      </c>
      <c r="R913" s="3">
        <f t="shared" si="562"/>
        <v>3599100</v>
      </c>
      <c r="S913" s="3">
        <v>0</v>
      </c>
      <c r="T913" s="3">
        <v>0</v>
      </c>
      <c r="U913" s="3">
        <v>100000</v>
      </c>
      <c r="V913" s="6">
        <f t="shared" si="563"/>
        <v>3686</v>
      </c>
    </row>
    <row r="914" spans="1:22" ht="21.95" customHeight="1" x14ac:dyDescent="0.25">
      <c r="A914" s="37" t="s">
        <v>1111</v>
      </c>
      <c r="B914" s="22" t="s">
        <v>265</v>
      </c>
      <c r="C914" s="2">
        <f t="shared" si="500"/>
        <v>6146780</v>
      </c>
      <c r="D914" s="3">
        <f t="shared" si="561"/>
        <v>1319370</v>
      </c>
      <c r="E914" s="3">
        <f>350*676.6</f>
        <v>236810</v>
      </c>
      <c r="F914" s="3">
        <f>1050*676.6</f>
        <v>710430</v>
      </c>
      <c r="G914" s="3">
        <f>300*676.6</f>
        <v>202980</v>
      </c>
      <c r="H914" s="3">
        <f>400*0</f>
        <v>0</v>
      </c>
      <c r="I914" s="3">
        <f>250*676.6</f>
        <v>169150</v>
      </c>
      <c r="J914" s="3">
        <f t="shared" si="570"/>
        <v>0</v>
      </c>
      <c r="K914" s="4">
        <v>0</v>
      </c>
      <c r="L914" s="3">
        <v>0</v>
      </c>
      <c r="M914" s="3">
        <v>562.9</v>
      </c>
      <c r="N914" s="3">
        <f t="shared" ref="N914:N915" si="571">M914*5500</f>
        <v>3095950</v>
      </c>
      <c r="O914" s="3">
        <v>0</v>
      </c>
      <c r="P914" s="3">
        <v>0</v>
      </c>
      <c r="Q914" s="3">
        <v>543.82000000000005</v>
      </c>
      <c r="R914" s="3">
        <f t="shared" si="562"/>
        <v>1631460.0000000002</v>
      </c>
      <c r="S914" s="3">
        <v>0</v>
      </c>
      <c r="T914" s="3">
        <v>0</v>
      </c>
      <c r="U914" s="3">
        <v>100000</v>
      </c>
      <c r="V914" s="6">
        <f t="shared" si="563"/>
        <v>5500</v>
      </c>
    </row>
    <row r="915" spans="1:22" ht="21.95" customHeight="1" x14ac:dyDescent="0.25">
      <c r="A915" s="37" t="s">
        <v>1112</v>
      </c>
      <c r="B915" s="22" t="s">
        <v>266</v>
      </c>
      <c r="C915" s="2">
        <f t="shared" si="500"/>
        <v>6168335</v>
      </c>
      <c r="D915" s="3">
        <f t="shared" si="561"/>
        <v>1303770</v>
      </c>
      <c r="E915" s="3">
        <f>350*668.6</f>
        <v>234010</v>
      </c>
      <c r="F915" s="3">
        <f>1050*668.6</f>
        <v>702030</v>
      </c>
      <c r="G915" s="3">
        <f>300*668.6</f>
        <v>200580</v>
      </c>
      <c r="H915" s="3">
        <f>400*0</f>
        <v>0</v>
      </c>
      <c r="I915" s="3">
        <f>250*668.6</f>
        <v>167150</v>
      </c>
      <c r="J915" s="3">
        <f t="shared" si="570"/>
        <v>0</v>
      </c>
      <c r="K915" s="4">
        <v>0</v>
      </c>
      <c r="L915" s="3">
        <v>0</v>
      </c>
      <c r="M915" s="3">
        <v>507.91</v>
      </c>
      <c r="N915" s="3">
        <f t="shared" si="571"/>
        <v>2793505</v>
      </c>
      <c r="O915" s="3">
        <v>0</v>
      </c>
      <c r="P915" s="3">
        <v>0</v>
      </c>
      <c r="Q915" s="3">
        <v>657.02</v>
      </c>
      <c r="R915" s="3">
        <f t="shared" si="562"/>
        <v>1971060</v>
      </c>
      <c r="S915" s="3">
        <v>0</v>
      </c>
      <c r="T915" s="3">
        <v>0</v>
      </c>
      <c r="U915" s="3">
        <v>100000</v>
      </c>
      <c r="V915" s="6">
        <f t="shared" si="563"/>
        <v>5500</v>
      </c>
    </row>
    <row r="916" spans="1:22" ht="21.95" customHeight="1" x14ac:dyDescent="0.25">
      <c r="A916" s="37" t="s">
        <v>1113</v>
      </c>
      <c r="B916" s="22" t="s">
        <v>267</v>
      </c>
      <c r="C916" s="2">
        <f t="shared" si="500"/>
        <v>1848955</v>
      </c>
      <c r="D916" s="3">
        <f t="shared" si="561"/>
        <v>636675</v>
      </c>
      <c r="E916" s="3">
        <f>350*326.5</f>
        <v>114275</v>
      </c>
      <c r="F916" s="3">
        <f>1050*326.5</f>
        <v>342825</v>
      </c>
      <c r="G916" s="3">
        <f>300*326.5</f>
        <v>97950</v>
      </c>
      <c r="H916" s="3">
        <f>400*0</f>
        <v>0</v>
      </c>
      <c r="I916" s="3">
        <f>250*326.5</f>
        <v>81625</v>
      </c>
      <c r="J916" s="3">
        <f t="shared" si="570"/>
        <v>0</v>
      </c>
      <c r="K916" s="4">
        <v>0</v>
      </c>
      <c r="L916" s="3">
        <v>0</v>
      </c>
      <c r="M916" s="3">
        <v>0</v>
      </c>
      <c r="N916" s="3">
        <v>0</v>
      </c>
      <c r="O916" s="3">
        <v>0</v>
      </c>
      <c r="P916" s="3">
        <v>0</v>
      </c>
      <c r="Q916" s="3">
        <v>370.76</v>
      </c>
      <c r="R916" s="3">
        <f t="shared" si="562"/>
        <v>1112280</v>
      </c>
      <c r="S916" s="3">
        <v>0</v>
      </c>
      <c r="T916" s="3">
        <v>0</v>
      </c>
      <c r="U916" s="3">
        <v>100000</v>
      </c>
      <c r="V916" s="6" t="e">
        <f t="shared" si="563"/>
        <v>#DIV/0!</v>
      </c>
    </row>
    <row r="917" spans="1:22" ht="45" customHeight="1" x14ac:dyDescent="0.25">
      <c r="A917" s="56" t="s">
        <v>271</v>
      </c>
      <c r="B917" s="56"/>
      <c r="C917" s="2">
        <f>SUM(C918:C919)</f>
        <v>7971620</v>
      </c>
      <c r="D917" s="2">
        <f t="shared" ref="D917:U917" si="572">SUM(D918:D919)</f>
        <v>838020</v>
      </c>
      <c r="E917" s="2">
        <f t="shared" si="572"/>
        <v>287490</v>
      </c>
      <c r="F917" s="2">
        <f t="shared" si="572"/>
        <v>428190</v>
      </c>
      <c r="G917" s="2">
        <f t="shared" si="572"/>
        <v>122340</v>
      </c>
      <c r="H917" s="2">
        <f t="shared" si="572"/>
        <v>0</v>
      </c>
      <c r="I917" s="2">
        <f t="shared" si="572"/>
        <v>0</v>
      </c>
      <c r="J917" s="2">
        <f t="shared" si="572"/>
        <v>0</v>
      </c>
      <c r="K917" s="14">
        <f t="shared" si="572"/>
        <v>0</v>
      </c>
      <c r="L917" s="2">
        <f t="shared" si="572"/>
        <v>0</v>
      </c>
      <c r="M917" s="2">
        <f t="shared" si="572"/>
        <v>864</v>
      </c>
      <c r="N917" s="2">
        <f t="shared" si="572"/>
        <v>4752000</v>
      </c>
      <c r="O917" s="2">
        <f t="shared" si="572"/>
        <v>0</v>
      </c>
      <c r="P917" s="2">
        <f t="shared" si="572"/>
        <v>0</v>
      </c>
      <c r="Q917" s="2">
        <f t="shared" si="572"/>
        <v>727.2</v>
      </c>
      <c r="R917" s="2">
        <f t="shared" si="572"/>
        <v>2181600</v>
      </c>
      <c r="S917" s="2">
        <f t="shared" si="572"/>
        <v>0</v>
      </c>
      <c r="T917" s="2">
        <f t="shared" si="572"/>
        <v>0</v>
      </c>
      <c r="U917" s="2">
        <f t="shared" si="572"/>
        <v>200000</v>
      </c>
      <c r="V917" s="18">
        <f>C917</f>
        <v>7971620</v>
      </c>
    </row>
    <row r="918" spans="1:22" ht="21.95" customHeight="1" x14ac:dyDescent="0.25">
      <c r="A918" s="37" t="s">
        <v>1114</v>
      </c>
      <c r="B918" s="22" t="s">
        <v>272</v>
      </c>
      <c r="C918" s="2">
        <f t="shared" si="500"/>
        <v>4260060</v>
      </c>
      <c r="D918" s="3">
        <f t="shared" ref="D918:D919" si="573">SUM(E918:J918)</f>
        <v>693260</v>
      </c>
      <c r="E918" s="3">
        <f>350*407.8</f>
        <v>142730</v>
      </c>
      <c r="F918" s="3">
        <f>1050*407.8</f>
        <v>428190</v>
      </c>
      <c r="G918" s="3">
        <f>300*407.8</f>
        <v>122340</v>
      </c>
      <c r="H918" s="3">
        <f>400*0</f>
        <v>0</v>
      </c>
      <c r="I918" s="3">
        <f>250*0</f>
        <v>0</v>
      </c>
      <c r="J918" s="3">
        <f t="shared" ref="J918:J919" si="574">350*0</f>
        <v>0</v>
      </c>
      <c r="K918" s="4">
        <v>0</v>
      </c>
      <c r="L918" s="3">
        <v>0</v>
      </c>
      <c r="M918" s="3">
        <v>432</v>
      </c>
      <c r="N918" s="3">
        <f t="shared" ref="N918:N919" si="575">M918*5500</f>
        <v>2376000</v>
      </c>
      <c r="O918" s="3">
        <v>0</v>
      </c>
      <c r="P918" s="3">
        <v>0</v>
      </c>
      <c r="Q918" s="3">
        <v>363.6</v>
      </c>
      <c r="R918" s="3">
        <f t="shared" ref="R918:R919" si="576">Q918*3000</f>
        <v>1090800</v>
      </c>
      <c r="S918" s="3">
        <v>0</v>
      </c>
      <c r="T918" s="3">
        <v>0</v>
      </c>
      <c r="U918" s="3">
        <v>100000</v>
      </c>
      <c r="V918" s="6">
        <f t="shared" ref="V918:V919" si="577">N918/M918</f>
        <v>5500</v>
      </c>
    </row>
    <row r="919" spans="1:22" ht="21.95" customHeight="1" x14ac:dyDescent="0.25">
      <c r="A919" s="37" t="s">
        <v>1115</v>
      </c>
      <c r="B919" s="22" t="s">
        <v>1573</v>
      </c>
      <c r="C919" s="2">
        <f t="shared" si="500"/>
        <v>3711560</v>
      </c>
      <c r="D919" s="3">
        <f t="shared" si="573"/>
        <v>144760</v>
      </c>
      <c r="E919" s="3">
        <f>350*413.6</f>
        <v>144760</v>
      </c>
      <c r="F919" s="3">
        <f>1050*0</f>
        <v>0</v>
      </c>
      <c r="G919" s="3">
        <f>300*0</f>
        <v>0</v>
      </c>
      <c r="H919" s="3">
        <f>400*0</f>
        <v>0</v>
      </c>
      <c r="I919" s="3">
        <f>250*0</f>
        <v>0</v>
      </c>
      <c r="J919" s="3">
        <f t="shared" si="574"/>
        <v>0</v>
      </c>
      <c r="K919" s="4">
        <v>0</v>
      </c>
      <c r="L919" s="3">
        <v>0</v>
      </c>
      <c r="M919" s="3">
        <v>432</v>
      </c>
      <c r="N919" s="3">
        <f t="shared" si="575"/>
        <v>2376000</v>
      </c>
      <c r="O919" s="3">
        <v>0</v>
      </c>
      <c r="P919" s="3">
        <v>0</v>
      </c>
      <c r="Q919" s="3">
        <v>363.6</v>
      </c>
      <c r="R919" s="3">
        <f t="shared" si="576"/>
        <v>1090800</v>
      </c>
      <c r="S919" s="3">
        <v>0</v>
      </c>
      <c r="T919" s="3">
        <v>0</v>
      </c>
      <c r="U919" s="3">
        <v>100000</v>
      </c>
      <c r="V919" s="6">
        <f t="shared" si="577"/>
        <v>5500</v>
      </c>
    </row>
    <row r="920" spans="1:22" ht="45" customHeight="1" x14ac:dyDescent="0.25">
      <c r="A920" s="56" t="s">
        <v>278</v>
      </c>
      <c r="B920" s="56"/>
      <c r="C920" s="2">
        <f>SUM(C921:C922)</f>
        <v>7485000</v>
      </c>
      <c r="D920" s="2">
        <f t="shared" ref="D920:U920" si="578">SUM(D921:D922)</f>
        <v>351400</v>
      </c>
      <c r="E920" s="2">
        <f t="shared" si="578"/>
        <v>351400</v>
      </c>
      <c r="F920" s="2">
        <f t="shared" si="578"/>
        <v>0</v>
      </c>
      <c r="G920" s="2">
        <f t="shared" si="578"/>
        <v>0</v>
      </c>
      <c r="H920" s="2">
        <f t="shared" si="578"/>
        <v>0</v>
      </c>
      <c r="I920" s="2">
        <f t="shared" si="578"/>
        <v>0</v>
      </c>
      <c r="J920" s="2">
        <f t="shared" si="578"/>
        <v>0</v>
      </c>
      <c r="K920" s="14">
        <f t="shared" si="578"/>
        <v>0</v>
      </c>
      <c r="L920" s="2">
        <f t="shared" si="578"/>
        <v>0</v>
      </c>
      <c r="M920" s="2">
        <f t="shared" si="578"/>
        <v>864</v>
      </c>
      <c r="N920" s="2">
        <f t="shared" si="578"/>
        <v>4752000</v>
      </c>
      <c r="O920" s="2">
        <f t="shared" si="578"/>
        <v>0</v>
      </c>
      <c r="P920" s="2">
        <f t="shared" si="578"/>
        <v>0</v>
      </c>
      <c r="Q920" s="2">
        <f t="shared" si="578"/>
        <v>727.2</v>
      </c>
      <c r="R920" s="2">
        <f t="shared" si="578"/>
        <v>2181600</v>
      </c>
      <c r="S920" s="2">
        <f t="shared" si="578"/>
        <v>0</v>
      </c>
      <c r="T920" s="2">
        <f t="shared" si="578"/>
        <v>0</v>
      </c>
      <c r="U920" s="2">
        <f t="shared" si="578"/>
        <v>200000</v>
      </c>
      <c r="V920" s="18">
        <f>C920</f>
        <v>7485000</v>
      </c>
    </row>
    <row r="921" spans="1:22" ht="21.95" customHeight="1" x14ac:dyDescent="0.25">
      <c r="A921" s="37" t="s">
        <v>1116</v>
      </c>
      <c r="B921" s="22" t="s">
        <v>279</v>
      </c>
      <c r="C921" s="2">
        <f t="shared" si="500"/>
        <v>3742500</v>
      </c>
      <c r="D921" s="3">
        <f t="shared" ref="D921:D922" si="579">SUM(E921:J921)</f>
        <v>175700</v>
      </c>
      <c r="E921" s="3">
        <f>350*502</f>
        <v>175700</v>
      </c>
      <c r="F921" s="3">
        <f>1050*0</f>
        <v>0</v>
      </c>
      <c r="G921" s="3">
        <f>300*0</f>
        <v>0</v>
      </c>
      <c r="H921" s="3">
        <f>400*0</f>
        <v>0</v>
      </c>
      <c r="I921" s="3">
        <f>250*0</f>
        <v>0</v>
      </c>
      <c r="J921" s="3">
        <v>0</v>
      </c>
      <c r="K921" s="4">
        <v>0</v>
      </c>
      <c r="L921" s="3">
        <v>0</v>
      </c>
      <c r="M921" s="3">
        <v>432</v>
      </c>
      <c r="N921" s="3">
        <f t="shared" ref="N921:N922" si="580">M921*5500</f>
        <v>2376000</v>
      </c>
      <c r="O921" s="3">
        <v>0</v>
      </c>
      <c r="P921" s="3">
        <v>0</v>
      </c>
      <c r="Q921" s="3">
        <v>363.6</v>
      </c>
      <c r="R921" s="3">
        <f t="shared" ref="R921:R922" si="581">Q921*3000</f>
        <v>1090800</v>
      </c>
      <c r="S921" s="3">
        <v>0</v>
      </c>
      <c r="T921" s="3">
        <v>0</v>
      </c>
      <c r="U921" s="3">
        <v>100000</v>
      </c>
      <c r="V921" s="6">
        <f t="shared" ref="V921:V922" si="582">N921/M921</f>
        <v>5500</v>
      </c>
    </row>
    <row r="922" spans="1:22" ht="21.95" customHeight="1" x14ac:dyDescent="0.25">
      <c r="A922" s="37" t="s">
        <v>1117</v>
      </c>
      <c r="B922" s="22" t="s">
        <v>280</v>
      </c>
      <c r="C922" s="2">
        <f t="shared" si="500"/>
        <v>3742500</v>
      </c>
      <c r="D922" s="3">
        <f t="shared" si="579"/>
        <v>175700</v>
      </c>
      <c r="E922" s="3">
        <f>350*502</f>
        <v>175700</v>
      </c>
      <c r="F922" s="3">
        <f>1050*0</f>
        <v>0</v>
      </c>
      <c r="G922" s="3">
        <f>300*0</f>
        <v>0</v>
      </c>
      <c r="H922" s="3">
        <f>400*0</f>
        <v>0</v>
      </c>
      <c r="I922" s="3">
        <f>250*0</f>
        <v>0</v>
      </c>
      <c r="J922" s="3">
        <v>0</v>
      </c>
      <c r="K922" s="4">
        <v>0</v>
      </c>
      <c r="L922" s="3">
        <v>0</v>
      </c>
      <c r="M922" s="3">
        <v>432</v>
      </c>
      <c r="N922" s="3">
        <f t="shared" si="580"/>
        <v>2376000</v>
      </c>
      <c r="O922" s="3">
        <v>0</v>
      </c>
      <c r="P922" s="3">
        <v>0</v>
      </c>
      <c r="Q922" s="3">
        <v>363.6</v>
      </c>
      <c r="R922" s="3">
        <f t="shared" si="581"/>
        <v>1090800</v>
      </c>
      <c r="S922" s="3">
        <v>0</v>
      </c>
      <c r="T922" s="3">
        <v>0</v>
      </c>
      <c r="U922" s="3">
        <v>100000</v>
      </c>
      <c r="V922" s="6">
        <f t="shared" si="582"/>
        <v>5500</v>
      </c>
    </row>
    <row r="923" spans="1:22" ht="45" customHeight="1" x14ac:dyDescent="0.25">
      <c r="A923" s="56" t="s">
        <v>381</v>
      </c>
      <c r="B923" s="56"/>
      <c r="C923" s="2">
        <f>SUM(C924:C1117)</f>
        <v>790083250.29999995</v>
      </c>
      <c r="D923" s="2">
        <f t="shared" ref="D923:U923" si="583">SUM(D924:D1117)</f>
        <v>168828647.5</v>
      </c>
      <c r="E923" s="2">
        <f t="shared" si="583"/>
        <v>25451961.5</v>
      </c>
      <c r="F923" s="2">
        <f t="shared" si="583"/>
        <v>75258137.5</v>
      </c>
      <c r="G923" s="2">
        <f t="shared" si="583"/>
        <v>21815967</v>
      </c>
      <c r="H923" s="2">
        <f t="shared" si="583"/>
        <v>27861948</v>
      </c>
      <c r="I923" s="2">
        <f t="shared" si="583"/>
        <v>18440633.5</v>
      </c>
      <c r="J923" s="2">
        <f t="shared" si="583"/>
        <v>0</v>
      </c>
      <c r="K923" s="14">
        <f t="shared" si="583"/>
        <v>4</v>
      </c>
      <c r="L923" s="2">
        <f t="shared" si="583"/>
        <v>8600000</v>
      </c>
      <c r="M923" s="2">
        <f t="shared" si="583"/>
        <v>94292.97</v>
      </c>
      <c r="N923" s="2">
        <f t="shared" si="583"/>
        <v>504675802.80000001</v>
      </c>
      <c r="O923" s="2">
        <f t="shared" si="583"/>
        <v>438</v>
      </c>
      <c r="P923" s="2">
        <f t="shared" si="583"/>
        <v>525600</v>
      </c>
      <c r="Q923" s="2">
        <f t="shared" si="583"/>
        <v>33760.400000000001</v>
      </c>
      <c r="R923" s="2">
        <f t="shared" si="583"/>
        <v>101281200</v>
      </c>
      <c r="S923" s="2">
        <f t="shared" si="583"/>
        <v>472000</v>
      </c>
      <c r="T923" s="2">
        <f t="shared" si="583"/>
        <v>0</v>
      </c>
      <c r="U923" s="2">
        <f t="shared" si="583"/>
        <v>5700000</v>
      </c>
    </row>
    <row r="924" spans="1:22" ht="21.95" customHeight="1" x14ac:dyDescent="0.25">
      <c r="A924" s="53" t="s">
        <v>1118</v>
      </c>
      <c r="B924" s="8" t="s">
        <v>767</v>
      </c>
      <c r="C924" s="2">
        <f t="shared" si="500"/>
        <v>2695000</v>
      </c>
      <c r="D924" s="3">
        <f t="shared" ref="D924:D998" si="584">SUM(E924:J924)</f>
        <v>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11">
        <v>0</v>
      </c>
      <c r="L924" s="5">
        <v>0</v>
      </c>
      <c r="M924" s="5">
        <v>490</v>
      </c>
      <c r="N924" s="3">
        <f t="shared" ref="N924" si="585">M924*5500</f>
        <v>2695000</v>
      </c>
      <c r="O924" s="5">
        <v>0</v>
      </c>
      <c r="P924" s="5">
        <v>0</v>
      </c>
      <c r="Q924" s="5">
        <v>0</v>
      </c>
      <c r="R924" s="3">
        <f t="shared" ref="R924:R995" si="586">Q924*3000</f>
        <v>0</v>
      </c>
      <c r="S924" s="5">
        <v>0</v>
      </c>
      <c r="T924" s="5">
        <v>0</v>
      </c>
      <c r="U924" s="5">
        <v>0</v>
      </c>
      <c r="V924" s="6">
        <f t="shared" ref="V924:V995" si="587">N924/M924</f>
        <v>5500</v>
      </c>
    </row>
    <row r="925" spans="1:22" ht="21.95" customHeight="1" x14ac:dyDescent="0.25">
      <c r="A925" s="53" t="s">
        <v>1119</v>
      </c>
      <c r="B925" s="8" t="s">
        <v>1356</v>
      </c>
      <c r="C925" s="2">
        <f t="shared" si="500"/>
        <v>1740000</v>
      </c>
      <c r="D925" s="3">
        <f t="shared" si="584"/>
        <v>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11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580</v>
      </c>
      <c r="R925" s="3">
        <f t="shared" si="586"/>
        <v>1740000</v>
      </c>
      <c r="S925" s="5">
        <v>0</v>
      </c>
      <c r="T925" s="5">
        <v>0</v>
      </c>
      <c r="U925" s="5">
        <v>0</v>
      </c>
      <c r="V925" s="6" t="e">
        <f t="shared" si="587"/>
        <v>#DIV/0!</v>
      </c>
    </row>
    <row r="926" spans="1:22" ht="21.95" customHeight="1" x14ac:dyDescent="0.25">
      <c r="A926" s="53" t="s">
        <v>1120</v>
      </c>
      <c r="B926" s="23" t="s">
        <v>768</v>
      </c>
      <c r="C926" s="2">
        <f t="shared" si="500"/>
        <v>1417350</v>
      </c>
      <c r="D926" s="3">
        <f t="shared" si="584"/>
        <v>0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4">
        <v>0</v>
      </c>
      <c r="L926" s="3">
        <v>0</v>
      </c>
      <c r="M926" s="3">
        <v>257.7</v>
      </c>
      <c r="N926" s="3">
        <f t="shared" ref="N926:N931" si="588">M926*5500</f>
        <v>1417350</v>
      </c>
      <c r="O926" s="3">
        <v>0</v>
      </c>
      <c r="P926" s="3">
        <v>0</v>
      </c>
      <c r="Q926" s="3">
        <v>0</v>
      </c>
      <c r="R926" s="3">
        <f t="shared" si="586"/>
        <v>0</v>
      </c>
      <c r="S926" s="3">
        <v>0</v>
      </c>
      <c r="T926" s="3">
        <v>0</v>
      </c>
      <c r="U926" s="3">
        <v>0</v>
      </c>
      <c r="V926" s="6">
        <f t="shared" si="587"/>
        <v>5500</v>
      </c>
    </row>
    <row r="927" spans="1:22" ht="21.95" customHeight="1" x14ac:dyDescent="0.25">
      <c r="A927" s="53" t="s">
        <v>1121</v>
      </c>
      <c r="B927" s="23" t="s">
        <v>769</v>
      </c>
      <c r="C927" s="2">
        <f t="shared" ref="C927:C1000" si="589">D927+L927+N927+P927+R927+S927+T927+U927</f>
        <v>2319900</v>
      </c>
      <c r="D927" s="3">
        <f t="shared" si="584"/>
        <v>0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4">
        <v>0</v>
      </c>
      <c r="L927" s="3">
        <v>0</v>
      </c>
      <c r="M927" s="3">
        <v>421.8</v>
      </c>
      <c r="N927" s="3">
        <f t="shared" si="588"/>
        <v>2319900</v>
      </c>
      <c r="O927" s="3">
        <v>0</v>
      </c>
      <c r="P927" s="3">
        <v>0</v>
      </c>
      <c r="Q927" s="3">
        <v>0</v>
      </c>
      <c r="R927" s="3">
        <f t="shared" si="586"/>
        <v>0</v>
      </c>
      <c r="S927" s="3">
        <v>0</v>
      </c>
      <c r="T927" s="3">
        <v>0</v>
      </c>
      <c r="U927" s="3">
        <v>0</v>
      </c>
      <c r="V927" s="6">
        <f t="shared" si="587"/>
        <v>5500</v>
      </c>
    </row>
    <row r="928" spans="1:22" ht="21.95" customHeight="1" x14ac:dyDescent="0.25">
      <c r="A928" s="53" t="s">
        <v>1122</v>
      </c>
      <c r="B928" s="23" t="s">
        <v>770</v>
      </c>
      <c r="C928" s="2">
        <f t="shared" si="589"/>
        <v>1399750</v>
      </c>
      <c r="D928" s="3">
        <f t="shared" si="584"/>
        <v>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4">
        <v>0</v>
      </c>
      <c r="L928" s="3">
        <v>0</v>
      </c>
      <c r="M928" s="3">
        <v>254.5</v>
      </c>
      <c r="N928" s="3">
        <f t="shared" si="588"/>
        <v>1399750</v>
      </c>
      <c r="O928" s="3">
        <v>0</v>
      </c>
      <c r="P928" s="3">
        <v>0</v>
      </c>
      <c r="Q928" s="3">
        <v>0</v>
      </c>
      <c r="R928" s="3">
        <f t="shared" si="586"/>
        <v>0</v>
      </c>
      <c r="S928" s="3">
        <v>0</v>
      </c>
      <c r="T928" s="3">
        <v>0</v>
      </c>
      <c r="U928" s="3">
        <v>0</v>
      </c>
      <c r="V928" s="6">
        <f t="shared" si="587"/>
        <v>5500</v>
      </c>
    </row>
    <row r="929" spans="1:258" s="27" customFormat="1" ht="21.95" customHeight="1" x14ac:dyDescent="0.25">
      <c r="A929" s="53" t="s">
        <v>1123</v>
      </c>
      <c r="B929" s="8" t="s">
        <v>771</v>
      </c>
      <c r="C929" s="2">
        <f t="shared" si="589"/>
        <v>2747250</v>
      </c>
      <c r="D929" s="3">
        <f t="shared" si="584"/>
        <v>0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4">
        <v>0</v>
      </c>
      <c r="L929" s="3">
        <v>0</v>
      </c>
      <c r="M929" s="3">
        <v>499.5</v>
      </c>
      <c r="N929" s="3">
        <f t="shared" si="588"/>
        <v>2747250</v>
      </c>
      <c r="O929" s="3">
        <v>0</v>
      </c>
      <c r="P929" s="3">
        <v>0</v>
      </c>
      <c r="Q929" s="3">
        <v>0</v>
      </c>
      <c r="R929" s="3">
        <f t="shared" si="586"/>
        <v>0</v>
      </c>
      <c r="S929" s="3">
        <v>0</v>
      </c>
      <c r="T929" s="3">
        <v>0</v>
      </c>
      <c r="U929" s="3">
        <v>0</v>
      </c>
      <c r="V929" s="6">
        <f t="shared" si="587"/>
        <v>5500</v>
      </c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  <c r="CU929" s="7"/>
      <c r="CV929" s="7"/>
      <c r="CW929" s="7"/>
      <c r="CX929" s="7"/>
      <c r="CY929" s="7"/>
      <c r="CZ929" s="7"/>
      <c r="DA929" s="7"/>
      <c r="DB929" s="7"/>
      <c r="DC929" s="7"/>
      <c r="DD929" s="7"/>
      <c r="DE929" s="7"/>
      <c r="DF929" s="7"/>
      <c r="DG929" s="7"/>
      <c r="DH929" s="7"/>
      <c r="DI929" s="7"/>
      <c r="DJ929" s="7"/>
      <c r="DK929" s="7"/>
      <c r="DL929" s="7"/>
      <c r="DM929" s="7"/>
      <c r="DN929" s="7"/>
      <c r="DO929" s="7"/>
      <c r="DP929" s="7"/>
      <c r="DQ929" s="7"/>
      <c r="DR929" s="7"/>
      <c r="DS929" s="7"/>
      <c r="DT929" s="7"/>
      <c r="DU929" s="7"/>
      <c r="DV929" s="7"/>
      <c r="DW929" s="7"/>
      <c r="DX929" s="7"/>
      <c r="DY929" s="7"/>
      <c r="DZ929" s="7"/>
      <c r="EA929" s="7"/>
      <c r="EB929" s="7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  <c r="GA929" s="7"/>
      <c r="GB929" s="7"/>
      <c r="GC929" s="7"/>
      <c r="GD929" s="7"/>
      <c r="GE929" s="7"/>
      <c r="GF929" s="7"/>
      <c r="GG929" s="7"/>
      <c r="GH929" s="7"/>
      <c r="GI929" s="7"/>
      <c r="GJ929" s="7"/>
      <c r="GK929" s="7"/>
      <c r="GL929" s="7"/>
      <c r="GM929" s="7"/>
      <c r="GN929" s="7"/>
      <c r="GO929" s="7"/>
      <c r="GP929" s="7"/>
      <c r="GQ929" s="7"/>
      <c r="GR929" s="7"/>
      <c r="GS929" s="7"/>
      <c r="GT929" s="7"/>
      <c r="GU929" s="7"/>
      <c r="GV929" s="7"/>
      <c r="GW929" s="7"/>
      <c r="GX929" s="7"/>
      <c r="GY929" s="7"/>
      <c r="GZ929" s="7"/>
      <c r="HA929" s="7"/>
      <c r="HB929" s="7"/>
      <c r="HC929" s="7"/>
      <c r="HD929" s="7"/>
      <c r="HE929" s="7"/>
      <c r="HF929" s="7"/>
      <c r="HG929" s="7"/>
      <c r="HH929" s="7"/>
      <c r="HI929" s="7"/>
      <c r="HJ929" s="7"/>
      <c r="HK929" s="7"/>
      <c r="HL929" s="7"/>
      <c r="HM929" s="7"/>
      <c r="HN929" s="7"/>
      <c r="HO929" s="7"/>
      <c r="HP929" s="7"/>
      <c r="HQ929" s="7"/>
      <c r="HR929" s="7"/>
      <c r="HS929" s="7"/>
      <c r="HT929" s="7"/>
      <c r="HU929" s="7"/>
      <c r="HV929" s="7"/>
      <c r="HW929" s="7"/>
      <c r="HX929" s="7"/>
      <c r="HY929" s="7"/>
      <c r="HZ929" s="7"/>
      <c r="IA929" s="7"/>
      <c r="IB929" s="7"/>
      <c r="IC929" s="7"/>
      <c r="ID929" s="7"/>
      <c r="IE929" s="7"/>
      <c r="IF929" s="7"/>
      <c r="IG929" s="7"/>
      <c r="IH929" s="7"/>
      <c r="II929" s="7"/>
      <c r="IJ929" s="7"/>
      <c r="IK929" s="7"/>
      <c r="IL929" s="7"/>
      <c r="IM929" s="7"/>
      <c r="IN929" s="7"/>
      <c r="IO929" s="7"/>
      <c r="IP929" s="7"/>
      <c r="IQ929" s="7"/>
      <c r="IR929" s="7"/>
      <c r="IS929" s="7"/>
      <c r="IT929" s="7"/>
      <c r="IU929" s="7"/>
      <c r="IV929" s="7"/>
      <c r="IW929" s="7"/>
      <c r="IX929" s="7"/>
    </row>
    <row r="930" spans="1:258" ht="21.95" customHeight="1" x14ac:dyDescent="0.25">
      <c r="A930" s="53" t="s">
        <v>1124</v>
      </c>
      <c r="B930" s="8" t="s">
        <v>585</v>
      </c>
      <c r="C930" s="2">
        <f t="shared" si="589"/>
        <v>1438800.0000000002</v>
      </c>
      <c r="D930" s="3">
        <f t="shared" ref="D930" si="590">SUM(E930:J930)</f>
        <v>0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11">
        <v>0</v>
      </c>
      <c r="L930" s="5">
        <v>0</v>
      </c>
      <c r="M930" s="5">
        <v>261.60000000000002</v>
      </c>
      <c r="N930" s="3">
        <f t="shared" si="588"/>
        <v>1438800.0000000002</v>
      </c>
      <c r="O930" s="5">
        <v>0</v>
      </c>
      <c r="P930" s="5">
        <v>0</v>
      </c>
      <c r="Q930" s="5">
        <v>0</v>
      </c>
      <c r="R930" s="3">
        <f t="shared" si="586"/>
        <v>0</v>
      </c>
      <c r="S930" s="5">
        <v>0</v>
      </c>
      <c r="T930" s="5">
        <v>0</v>
      </c>
      <c r="U930" s="5">
        <v>0</v>
      </c>
      <c r="V930" s="6">
        <f t="shared" si="587"/>
        <v>5500</v>
      </c>
    </row>
    <row r="931" spans="1:258" s="17" customFormat="1" ht="21.95" customHeight="1" x14ac:dyDescent="0.25">
      <c r="A931" s="53" t="s">
        <v>1125</v>
      </c>
      <c r="B931" s="8" t="s">
        <v>680</v>
      </c>
      <c r="C931" s="2">
        <f t="shared" si="589"/>
        <v>1499300.0000000002</v>
      </c>
      <c r="D931" s="3">
        <f t="shared" si="584"/>
        <v>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4">
        <v>0</v>
      </c>
      <c r="L931" s="3">
        <v>0</v>
      </c>
      <c r="M931" s="3">
        <v>272.60000000000002</v>
      </c>
      <c r="N931" s="3">
        <f t="shared" si="588"/>
        <v>1499300.0000000002</v>
      </c>
      <c r="O931" s="3">
        <v>0</v>
      </c>
      <c r="P931" s="3">
        <v>0</v>
      </c>
      <c r="Q931" s="3">
        <v>0</v>
      </c>
      <c r="R931" s="3">
        <f t="shared" si="586"/>
        <v>0</v>
      </c>
      <c r="S931" s="3">
        <v>0</v>
      </c>
      <c r="T931" s="3">
        <v>0</v>
      </c>
      <c r="U931" s="3">
        <v>0</v>
      </c>
      <c r="V931" s="6">
        <f t="shared" si="587"/>
        <v>5500</v>
      </c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  <c r="CU931" s="7"/>
      <c r="CV931" s="7"/>
      <c r="CW931" s="7"/>
      <c r="CX931" s="7"/>
      <c r="CY931" s="7"/>
      <c r="CZ931" s="7"/>
      <c r="DA931" s="7"/>
      <c r="DB931" s="7"/>
      <c r="DC931" s="7"/>
      <c r="DD931" s="7"/>
      <c r="DE931" s="7"/>
      <c r="DF931" s="7"/>
      <c r="DG931" s="7"/>
      <c r="DH931" s="7"/>
      <c r="DI931" s="7"/>
      <c r="DJ931" s="7"/>
      <c r="DK931" s="7"/>
      <c r="DL931" s="7"/>
      <c r="DM931" s="7"/>
      <c r="DN931" s="7"/>
      <c r="DO931" s="7"/>
      <c r="DP931" s="7"/>
      <c r="DQ931" s="7"/>
      <c r="DR931" s="7"/>
      <c r="DS931" s="7"/>
      <c r="DT931" s="7"/>
      <c r="DU931" s="7"/>
      <c r="DV931" s="7"/>
      <c r="DW931" s="7"/>
      <c r="DX931" s="7"/>
      <c r="DY931" s="7"/>
      <c r="DZ931" s="7"/>
      <c r="EA931" s="7"/>
      <c r="EB931" s="7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  <c r="GA931" s="7"/>
      <c r="GB931" s="7"/>
      <c r="GC931" s="7"/>
      <c r="GD931" s="7"/>
      <c r="GE931" s="7"/>
      <c r="GF931" s="7"/>
      <c r="GG931" s="7"/>
      <c r="GH931" s="7"/>
      <c r="GI931" s="7"/>
      <c r="GJ931" s="7"/>
      <c r="GK931" s="7"/>
      <c r="GL931" s="7"/>
      <c r="GM931" s="7"/>
      <c r="GN931" s="7"/>
      <c r="GO931" s="7"/>
      <c r="GP931" s="7"/>
      <c r="GQ931" s="7"/>
      <c r="GR931" s="7"/>
      <c r="GS931" s="7"/>
      <c r="GT931" s="7"/>
      <c r="GU931" s="7"/>
      <c r="GV931" s="7"/>
      <c r="GW931" s="7"/>
      <c r="GX931" s="7"/>
      <c r="GY931" s="7"/>
      <c r="GZ931" s="7"/>
      <c r="HA931" s="7"/>
      <c r="HB931" s="7"/>
      <c r="HC931" s="7"/>
      <c r="HD931" s="7"/>
      <c r="HE931" s="7"/>
      <c r="HF931" s="7"/>
      <c r="HG931" s="7"/>
      <c r="HH931" s="7"/>
      <c r="HI931" s="7"/>
      <c r="HJ931" s="7"/>
      <c r="HK931" s="7"/>
      <c r="HL931" s="7"/>
      <c r="HM931" s="7"/>
      <c r="HN931" s="7"/>
      <c r="HO931" s="7"/>
      <c r="HP931" s="7"/>
      <c r="HQ931" s="7"/>
      <c r="HR931" s="7"/>
      <c r="HS931" s="7"/>
      <c r="HT931" s="7"/>
      <c r="HU931" s="7"/>
      <c r="HV931" s="7"/>
      <c r="HW931" s="7"/>
      <c r="HX931" s="7"/>
      <c r="HY931" s="7"/>
      <c r="HZ931" s="7"/>
      <c r="IA931" s="7"/>
      <c r="IB931" s="7"/>
      <c r="IC931" s="7"/>
      <c r="ID931" s="7"/>
      <c r="IE931" s="7"/>
      <c r="IF931" s="7"/>
      <c r="IG931" s="7"/>
      <c r="IH931" s="7"/>
      <c r="II931" s="7"/>
      <c r="IJ931" s="7"/>
      <c r="IK931" s="7"/>
      <c r="IL931" s="7"/>
      <c r="IM931" s="7"/>
      <c r="IN931" s="7"/>
      <c r="IO931" s="7"/>
      <c r="IP931" s="7"/>
      <c r="IQ931" s="7"/>
      <c r="IR931" s="7"/>
      <c r="IS931" s="7"/>
      <c r="IT931" s="7"/>
      <c r="IU931" s="7"/>
      <c r="IV931" s="7"/>
      <c r="IW931" s="7"/>
      <c r="IX931" s="7"/>
    </row>
    <row r="932" spans="1:258" ht="21.95" customHeight="1" x14ac:dyDescent="0.25">
      <c r="A932" s="53" t="s">
        <v>1126</v>
      </c>
      <c r="B932" s="8" t="s">
        <v>772</v>
      </c>
      <c r="C932" s="2">
        <f t="shared" si="589"/>
        <v>10716908.5</v>
      </c>
      <c r="D932" s="3">
        <f t="shared" si="584"/>
        <v>4802908.5</v>
      </c>
      <c r="E932" s="3">
        <f>350*2463.03</f>
        <v>862060.50000000012</v>
      </c>
      <c r="F932" s="3">
        <f>1050*2463.03</f>
        <v>2586181.5</v>
      </c>
      <c r="G932" s="3">
        <f>300*2463.03</f>
        <v>738909.00000000012</v>
      </c>
      <c r="H932" s="3">
        <f>400*0</f>
        <v>0</v>
      </c>
      <c r="I932" s="3">
        <f>250*2463.03</f>
        <v>615757.5</v>
      </c>
      <c r="J932" s="3">
        <v>0</v>
      </c>
      <c r="K932" s="4">
        <v>0</v>
      </c>
      <c r="L932" s="3">
        <v>0</v>
      </c>
      <c r="M932" s="3">
        <v>0</v>
      </c>
      <c r="N932" s="3">
        <v>0</v>
      </c>
      <c r="O932" s="3">
        <v>0</v>
      </c>
      <c r="P932" s="3">
        <v>0</v>
      </c>
      <c r="Q932" s="3">
        <v>1938</v>
      </c>
      <c r="R932" s="3">
        <f t="shared" si="586"/>
        <v>5814000</v>
      </c>
      <c r="S932" s="3">
        <v>0</v>
      </c>
      <c r="T932" s="3">
        <v>0</v>
      </c>
      <c r="U932" s="3">
        <v>100000</v>
      </c>
      <c r="V932" s="6" t="e">
        <f t="shared" si="587"/>
        <v>#DIV/0!</v>
      </c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17"/>
      <c r="AS932" s="17"/>
      <c r="AT932" s="17"/>
      <c r="AU932" s="17"/>
      <c r="AV932" s="17"/>
      <c r="AW932" s="17"/>
      <c r="AX932" s="17"/>
      <c r="AY932" s="17"/>
      <c r="AZ932" s="17"/>
      <c r="BA932" s="17"/>
      <c r="BB932" s="17"/>
      <c r="BC932" s="17"/>
      <c r="BD932" s="17"/>
      <c r="BE932" s="17"/>
      <c r="BF932" s="17"/>
      <c r="BG932" s="17"/>
      <c r="BH932" s="17"/>
      <c r="BI932" s="17"/>
      <c r="BJ932" s="17"/>
      <c r="BK932" s="17"/>
      <c r="BL932" s="17"/>
      <c r="BM932" s="17"/>
      <c r="BN932" s="17"/>
      <c r="BO932" s="17"/>
      <c r="BP932" s="17"/>
      <c r="BQ932" s="17"/>
      <c r="BR932" s="17"/>
      <c r="BS932" s="17"/>
      <c r="BT932" s="17"/>
      <c r="BU932" s="17"/>
      <c r="BV932" s="17"/>
      <c r="BW932" s="17"/>
      <c r="BX932" s="17"/>
      <c r="BY932" s="17"/>
      <c r="BZ932" s="17"/>
      <c r="CA932" s="17"/>
      <c r="CB932" s="17"/>
      <c r="CC932" s="17"/>
      <c r="CD932" s="17"/>
      <c r="CE932" s="17"/>
      <c r="CF932" s="17"/>
      <c r="CG932" s="17"/>
      <c r="CH932" s="17"/>
      <c r="CI932" s="17"/>
      <c r="CJ932" s="17"/>
      <c r="CK932" s="17"/>
      <c r="CL932" s="17"/>
      <c r="CM932" s="17"/>
      <c r="CN932" s="17"/>
      <c r="CO932" s="17"/>
      <c r="CP932" s="17"/>
      <c r="CQ932" s="17"/>
      <c r="CR932" s="17"/>
      <c r="CS932" s="17"/>
      <c r="CT932" s="17"/>
      <c r="CU932" s="17"/>
      <c r="CV932" s="17"/>
      <c r="CW932" s="17"/>
      <c r="CX932" s="17"/>
      <c r="CY932" s="17"/>
      <c r="CZ932" s="17"/>
      <c r="DA932" s="17"/>
      <c r="DB932" s="17"/>
      <c r="DC932" s="17"/>
      <c r="DD932" s="17"/>
      <c r="DE932" s="17"/>
      <c r="DF932" s="17"/>
      <c r="DG932" s="17"/>
      <c r="DH932" s="17"/>
      <c r="DI932" s="17"/>
      <c r="DJ932" s="17"/>
      <c r="DK932" s="17"/>
      <c r="DL932" s="17"/>
      <c r="DM932" s="17"/>
      <c r="DN932" s="17"/>
      <c r="DO932" s="17"/>
      <c r="DP932" s="17"/>
      <c r="DQ932" s="17"/>
      <c r="DR932" s="17"/>
      <c r="DS932" s="17"/>
      <c r="DT932" s="17"/>
      <c r="DU932" s="17"/>
      <c r="DV932" s="17"/>
      <c r="DW932" s="17"/>
      <c r="DX932" s="17"/>
      <c r="DY932" s="17"/>
      <c r="DZ932" s="17"/>
      <c r="EA932" s="17"/>
      <c r="EB932" s="17"/>
      <c r="EC932" s="17"/>
      <c r="ED932" s="17"/>
      <c r="EE932" s="17"/>
      <c r="EF932" s="17"/>
      <c r="EG932" s="17"/>
      <c r="EH932" s="17"/>
      <c r="EI932" s="17"/>
      <c r="EJ932" s="17"/>
      <c r="EK932" s="17"/>
      <c r="EL932" s="17"/>
      <c r="EM932" s="17"/>
      <c r="EN932" s="17"/>
      <c r="EO932" s="17"/>
      <c r="EP932" s="17"/>
      <c r="EQ932" s="17"/>
      <c r="ER932" s="17"/>
      <c r="ES932" s="17"/>
      <c r="ET932" s="17"/>
      <c r="EU932" s="17"/>
      <c r="EV932" s="17"/>
      <c r="EW932" s="17"/>
      <c r="EX932" s="17"/>
      <c r="EY932" s="17"/>
      <c r="EZ932" s="17"/>
      <c r="FA932" s="17"/>
      <c r="FB932" s="17"/>
      <c r="FC932" s="17"/>
      <c r="FD932" s="17"/>
      <c r="FE932" s="17"/>
      <c r="FF932" s="17"/>
      <c r="FG932" s="17"/>
      <c r="FH932" s="17"/>
      <c r="FI932" s="17"/>
      <c r="FJ932" s="17"/>
      <c r="FK932" s="17"/>
      <c r="FL932" s="17"/>
      <c r="FM932" s="17"/>
      <c r="FN932" s="17"/>
      <c r="FO932" s="17"/>
      <c r="FP932" s="17"/>
      <c r="FQ932" s="17"/>
      <c r="FR932" s="17"/>
      <c r="FS932" s="17"/>
      <c r="FT932" s="17"/>
      <c r="FU932" s="17"/>
      <c r="FV932" s="17"/>
      <c r="FW932" s="17"/>
      <c r="FX932" s="17"/>
      <c r="FY932" s="17"/>
      <c r="FZ932" s="17"/>
      <c r="GA932" s="17"/>
      <c r="GB932" s="17"/>
      <c r="GC932" s="17"/>
      <c r="GD932" s="17"/>
      <c r="GE932" s="17"/>
      <c r="GF932" s="17"/>
      <c r="GG932" s="17"/>
      <c r="GH932" s="17"/>
      <c r="GI932" s="17"/>
      <c r="GJ932" s="17"/>
      <c r="GK932" s="17"/>
      <c r="GL932" s="17"/>
      <c r="GM932" s="17"/>
      <c r="GN932" s="17"/>
      <c r="GO932" s="17"/>
      <c r="GP932" s="17"/>
      <c r="GQ932" s="17"/>
      <c r="GR932" s="17"/>
      <c r="GS932" s="17"/>
      <c r="GT932" s="17"/>
      <c r="GU932" s="17"/>
      <c r="GV932" s="17"/>
      <c r="GW932" s="17"/>
      <c r="GX932" s="17"/>
      <c r="GY932" s="17"/>
      <c r="GZ932" s="17"/>
      <c r="HA932" s="17"/>
      <c r="HB932" s="17"/>
      <c r="HC932" s="17"/>
      <c r="HD932" s="17"/>
      <c r="HE932" s="17"/>
      <c r="HF932" s="17"/>
      <c r="HG932" s="17"/>
      <c r="HH932" s="17"/>
      <c r="HI932" s="17"/>
      <c r="HJ932" s="17"/>
      <c r="HK932" s="17"/>
      <c r="HL932" s="17"/>
      <c r="HM932" s="17"/>
      <c r="HN932" s="17"/>
      <c r="HO932" s="17"/>
      <c r="HP932" s="17"/>
      <c r="HQ932" s="17"/>
      <c r="HR932" s="17"/>
      <c r="HS932" s="17"/>
      <c r="HT932" s="17"/>
      <c r="HU932" s="17"/>
      <c r="HV932" s="17"/>
      <c r="HW932" s="17"/>
      <c r="HX932" s="17"/>
      <c r="HY932" s="17"/>
      <c r="HZ932" s="17"/>
      <c r="IA932" s="17"/>
      <c r="IB932" s="17"/>
      <c r="IC932" s="17"/>
      <c r="ID932" s="17"/>
      <c r="IE932" s="17"/>
      <c r="IF932" s="17"/>
      <c r="IG932" s="17"/>
      <c r="IH932" s="17"/>
      <c r="II932" s="17"/>
      <c r="IJ932" s="17"/>
      <c r="IK932" s="17"/>
      <c r="IL932" s="17"/>
      <c r="IM932" s="17"/>
      <c r="IN932" s="17"/>
      <c r="IO932" s="17"/>
      <c r="IP932" s="17"/>
      <c r="IQ932" s="17"/>
      <c r="IR932" s="17"/>
      <c r="IS932" s="17"/>
      <c r="IT932" s="17"/>
      <c r="IU932" s="17"/>
      <c r="IV932" s="17"/>
      <c r="IW932" s="17"/>
      <c r="IX932" s="17"/>
    </row>
    <row r="933" spans="1:258" ht="21.95" customHeight="1" x14ac:dyDescent="0.25">
      <c r="A933" s="53" t="s">
        <v>1127</v>
      </c>
      <c r="B933" s="8" t="s">
        <v>773</v>
      </c>
      <c r="C933" s="2">
        <f t="shared" si="589"/>
        <v>4780050</v>
      </c>
      <c r="D933" s="3">
        <f t="shared" si="584"/>
        <v>0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4">
        <v>0</v>
      </c>
      <c r="L933" s="3">
        <v>0</v>
      </c>
      <c r="M933" s="3">
        <v>869.1</v>
      </c>
      <c r="N933" s="3">
        <f t="shared" ref="N933:N937" si="591">M933*5500</f>
        <v>4780050</v>
      </c>
      <c r="O933" s="3">
        <v>0</v>
      </c>
      <c r="P933" s="3">
        <v>0</v>
      </c>
      <c r="Q933" s="3">
        <v>0</v>
      </c>
      <c r="R933" s="3">
        <f t="shared" si="586"/>
        <v>0</v>
      </c>
      <c r="S933" s="3">
        <v>0</v>
      </c>
      <c r="T933" s="3">
        <v>0</v>
      </c>
      <c r="U933" s="3">
        <v>0</v>
      </c>
      <c r="V933" s="6">
        <f t="shared" si="587"/>
        <v>5500</v>
      </c>
    </row>
    <row r="934" spans="1:258" ht="21.95" customHeight="1" x14ac:dyDescent="0.25">
      <c r="A934" s="53" t="s">
        <v>1128</v>
      </c>
      <c r="B934" s="8" t="s">
        <v>400</v>
      </c>
      <c r="C934" s="2">
        <f>D934+L934+N934+P934+R934+S934+T934+U934</f>
        <v>5991710</v>
      </c>
      <c r="D934" s="3">
        <f>SUM(E934:J934)</f>
        <v>2135210</v>
      </c>
      <c r="E934" s="3">
        <f>350*908.6</f>
        <v>318010</v>
      </c>
      <c r="F934" s="3">
        <f>908.6*800</f>
        <v>726880</v>
      </c>
      <c r="G934" s="3">
        <f>908.6*300</f>
        <v>272580</v>
      </c>
      <c r="H934" s="3">
        <f>908.6*500</f>
        <v>454300</v>
      </c>
      <c r="I934" s="3">
        <f>908.6*400</f>
        <v>363440</v>
      </c>
      <c r="J934" s="3">
        <f>350*0</f>
        <v>0</v>
      </c>
      <c r="K934" s="4">
        <v>0</v>
      </c>
      <c r="L934" s="3">
        <v>0</v>
      </c>
      <c r="M934" s="3">
        <v>683</v>
      </c>
      <c r="N934" s="3">
        <f>M934*5500</f>
        <v>3756500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100000</v>
      </c>
      <c r="V934" s="6">
        <f>N934/M934</f>
        <v>5500</v>
      </c>
    </row>
    <row r="935" spans="1:258" ht="21.95" customHeight="1" x14ac:dyDescent="0.25">
      <c r="A935" s="53" t="s">
        <v>1129</v>
      </c>
      <c r="B935" s="8" t="s">
        <v>774</v>
      </c>
      <c r="C935" s="2">
        <f t="shared" si="589"/>
        <v>4862000</v>
      </c>
      <c r="D935" s="3">
        <f t="shared" si="584"/>
        <v>0</v>
      </c>
      <c r="E935" s="3">
        <v>0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11">
        <v>0</v>
      </c>
      <c r="L935" s="5">
        <v>0</v>
      </c>
      <c r="M935" s="5">
        <v>884</v>
      </c>
      <c r="N935" s="3">
        <f t="shared" si="591"/>
        <v>4862000</v>
      </c>
      <c r="O935" s="5">
        <v>0</v>
      </c>
      <c r="P935" s="5">
        <v>0</v>
      </c>
      <c r="Q935" s="5">
        <v>0</v>
      </c>
      <c r="R935" s="3">
        <f t="shared" si="586"/>
        <v>0</v>
      </c>
      <c r="S935" s="5">
        <v>0</v>
      </c>
      <c r="T935" s="5">
        <v>0</v>
      </c>
      <c r="U935" s="5">
        <v>0</v>
      </c>
      <c r="V935" s="6">
        <f t="shared" si="587"/>
        <v>5500</v>
      </c>
    </row>
    <row r="936" spans="1:258" ht="21.95" customHeight="1" x14ac:dyDescent="0.25">
      <c r="A936" s="53" t="s">
        <v>1130</v>
      </c>
      <c r="B936" s="8" t="s">
        <v>681</v>
      </c>
      <c r="C936" s="2">
        <f t="shared" si="589"/>
        <v>3071200</v>
      </c>
      <c r="D936" s="3">
        <f t="shared" si="584"/>
        <v>0</v>
      </c>
      <c r="E936" s="3">
        <v>0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4">
        <v>0</v>
      </c>
      <c r="L936" s="3">
        <v>0</v>
      </c>
      <c r="M936" s="3">
        <v>558.4</v>
      </c>
      <c r="N936" s="3">
        <f t="shared" si="591"/>
        <v>3071200</v>
      </c>
      <c r="O936" s="3">
        <v>0</v>
      </c>
      <c r="P936" s="3">
        <v>0</v>
      </c>
      <c r="Q936" s="3">
        <v>0</v>
      </c>
      <c r="R936" s="3">
        <f t="shared" si="586"/>
        <v>0</v>
      </c>
      <c r="S936" s="3">
        <v>0</v>
      </c>
      <c r="T936" s="5">
        <v>0</v>
      </c>
      <c r="U936" s="5">
        <v>0</v>
      </c>
      <c r="V936" s="6">
        <f t="shared" si="587"/>
        <v>5500</v>
      </c>
    </row>
    <row r="937" spans="1:258" ht="21.95" customHeight="1" x14ac:dyDescent="0.25">
      <c r="A937" s="53" t="s">
        <v>1131</v>
      </c>
      <c r="B937" s="8" t="s">
        <v>775</v>
      </c>
      <c r="C937" s="2">
        <f t="shared" si="589"/>
        <v>3126695</v>
      </c>
      <c r="D937" s="3">
        <f t="shared" si="584"/>
        <v>0</v>
      </c>
      <c r="E937" s="3">
        <v>0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4">
        <v>0</v>
      </c>
      <c r="L937" s="3">
        <v>0</v>
      </c>
      <c r="M937" s="3">
        <v>568.49</v>
      </c>
      <c r="N937" s="3">
        <f t="shared" si="591"/>
        <v>3126695</v>
      </c>
      <c r="O937" s="3">
        <v>0</v>
      </c>
      <c r="P937" s="3">
        <v>0</v>
      </c>
      <c r="Q937" s="3">
        <v>0</v>
      </c>
      <c r="R937" s="3">
        <f t="shared" si="586"/>
        <v>0</v>
      </c>
      <c r="S937" s="3">
        <v>0</v>
      </c>
      <c r="T937" s="5">
        <v>0</v>
      </c>
      <c r="U937" s="5">
        <v>0</v>
      </c>
      <c r="V937" s="6">
        <f t="shared" si="587"/>
        <v>5500</v>
      </c>
    </row>
    <row r="938" spans="1:258" ht="21.95" customHeight="1" x14ac:dyDescent="0.25">
      <c r="A938" s="53" t="s">
        <v>1132</v>
      </c>
      <c r="B938" s="8" t="s">
        <v>776</v>
      </c>
      <c r="C938" s="2">
        <f t="shared" si="589"/>
        <v>1419550.0000000002</v>
      </c>
      <c r="D938" s="3">
        <f t="shared" si="584"/>
        <v>0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11">
        <v>0</v>
      </c>
      <c r="L938" s="5">
        <v>0</v>
      </c>
      <c r="M938" s="5">
        <v>258.10000000000002</v>
      </c>
      <c r="N938" s="3">
        <f t="shared" ref="N938:N947" si="592">M938*5500</f>
        <v>1419550.0000000002</v>
      </c>
      <c r="O938" s="5">
        <v>0</v>
      </c>
      <c r="P938" s="5">
        <v>0</v>
      </c>
      <c r="Q938" s="5">
        <v>0</v>
      </c>
      <c r="R938" s="3">
        <f t="shared" si="586"/>
        <v>0</v>
      </c>
      <c r="S938" s="5">
        <v>0</v>
      </c>
      <c r="T938" s="5">
        <v>0</v>
      </c>
      <c r="U938" s="5">
        <v>0</v>
      </c>
      <c r="V938" s="6">
        <f t="shared" si="587"/>
        <v>5500</v>
      </c>
    </row>
    <row r="939" spans="1:258" ht="21.95" customHeight="1" x14ac:dyDescent="0.25">
      <c r="A939" s="53" t="s">
        <v>1133</v>
      </c>
      <c r="B939" s="8" t="s">
        <v>682</v>
      </c>
      <c r="C939" s="2">
        <f t="shared" si="589"/>
        <v>3058000</v>
      </c>
      <c r="D939" s="3">
        <f t="shared" si="584"/>
        <v>0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11">
        <v>0</v>
      </c>
      <c r="L939" s="5">
        <v>0</v>
      </c>
      <c r="M939" s="3">
        <v>556</v>
      </c>
      <c r="N939" s="3">
        <f t="shared" si="592"/>
        <v>3058000</v>
      </c>
      <c r="O939" s="5">
        <v>0</v>
      </c>
      <c r="P939" s="5">
        <v>0</v>
      </c>
      <c r="Q939" s="5">
        <v>0</v>
      </c>
      <c r="R939" s="3">
        <f t="shared" si="586"/>
        <v>0</v>
      </c>
      <c r="S939" s="5">
        <v>0</v>
      </c>
      <c r="T939" s="5">
        <v>0</v>
      </c>
      <c r="U939" s="5">
        <v>0</v>
      </c>
      <c r="V939" s="6">
        <f t="shared" si="587"/>
        <v>5500</v>
      </c>
    </row>
    <row r="940" spans="1:258" ht="21.95" customHeight="1" x14ac:dyDescent="0.25">
      <c r="A940" s="53" t="s">
        <v>1134</v>
      </c>
      <c r="B940" s="8" t="s">
        <v>1183</v>
      </c>
      <c r="C940" s="2">
        <f t="shared" si="589"/>
        <v>2850000</v>
      </c>
      <c r="D940" s="3">
        <f t="shared" si="584"/>
        <v>0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11">
        <v>0</v>
      </c>
      <c r="L940" s="5">
        <v>0</v>
      </c>
      <c r="M940" s="3">
        <v>300</v>
      </c>
      <c r="N940" s="3">
        <f t="shared" si="592"/>
        <v>1650000</v>
      </c>
      <c r="O940" s="5">
        <v>0</v>
      </c>
      <c r="P940" s="5">
        <v>0</v>
      </c>
      <c r="Q940" s="5">
        <v>400</v>
      </c>
      <c r="R940" s="3">
        <f t="shared" si="586"/>
        <v>1200000</v>
      </c>
      <c r="S940" s="5">
        <v>0</v>
      </c>
      <c r="T940" s="5">
        <v>0</v>
      </c>
      <c r="U940" s="5">
        <v>0</v>
      </c>
      <c r="V940" s="6">
        <f t="shared" si="587"/>
        <v>5500</v>
      </c>
    </row>
    <row r="941" spans="1:258" ht="21.95" customHeight="1" x14ac:dyDescent="0.25">
      <c r="A941" s="53" t="s">
        <v>1135</v>
      </c>
      <c r="B941" s="8" t="s">
        <v>777</v>
      </c>
      <c r="C941" s="2">
        <f t="shared" si="589"/>
        <v>3619000</v>
      </c>
      <c r="D941" s="3">
        <f t="shared" si="584"/>
        <v>0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4">
        <v>0</v>
      </c>
      <c r="L941" s="3">
        <v>0</v>
      </c>
      <c r="M941" s="3">
        <v>658</v>
      </c>
      <c r="N941" s="3">
        <f t="shared" si="592"/>
        <v>3619000</v>
      </c>
      <c r="O941" s="5">
        <v>0</v>
      </c>
      <c r="P941" s="5">
        <v>0</v>
      </c>
      <c r="Q941" s="5">
        <v>0</v>
      </c>
      <c r="R941" s="3">
        <f t="shared" si="586"/>
        <v>0</v>
      </c>
      <c r="S941" s="5">
        <v>0</v>
      </c>
      <c r="T941" s="5">
        <v>0</v>
      </c>
      <c r="U941" s="5">
        <v>0</v>
      </c>
      <c r="V941" s="6">
        <f t="shared" si="587"/>
        <v>5500</v>
      </c>
    </row>
    <row r="942" spans="1:258" ht="21.95" customHeight="1" x14ac:dyDescent="0.25">
      <c r="A942" s="53" t="s">
        <v>1136</v>
      </c>
      <c r="B942" s="8" t="s">
        <v>778</v>
      </c>
      <c r="C942" s="2">
        <f t="shared" si="589"/>
        <v>3536500</v>
      </c>
      <c r="D942" s="3">
        <f t="shared" si="584"/>
        <v>0</v>
      </c>
      <c r="E942" s="3">
        <v>0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4">
        <v>0</v>
      </c>
      <c r="L942" s="3">
        <v>0</v>
      </c>
      <c r="M942" s="5">
        <v>643</v>
      </c>
      <c r="N942" s="3">
        <f t="shared" si="592"/>
        <v>3536500</v>
      </c>
      <c r="O942" s="5">
        <v>0</v>
      </c>
      <c r="P942" s="5">
        <v>0</v>
      </c>
      <c r="Q942" s="5">
        <v>0</v>
      </c>
      <c r="R942" s="3">
        <f t="shared" si="586"/>
        <v>0</v>
      </c>
      <c r="S942" s="5">
        <v>0</v>
      </c>
      <c r="T942" s="5">
        <v>0</v>
      </c>
      <c r="U942" s="5">
        <v>0</v>
      </c>
      <c r="V942" s="6">
        <f t="shared" si="587"/>
        <v>5500</v>
      </c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  <c r="AG942" s="17"/>
      <c r="AH942" s="17"/>
      <c r="AI942" s="17"/>
      <c r="AJ942" s="17"/>
      <c r="AK942" s="17"/>
      <c r="AL942" s="17"/>
      <c r="AM942" s="17"/>
      <c r="AN942" s="17"/>
      <c r="AO942" s="17"/>
      <c r="AP942" s="17"/>
      <c r="AQ942" s="17"/>
      <c r="AR942" s="17"/>
      <c r="AS942" s="17"/>
      <c r="AT942" s="17"/>
      <c r="AU942" s="17"/>
      <c r="AV942" s="17"/>
      <c r="AW942" s="17"/>
      <c r="AX942" s="17"/>
      <c r="AY942" s="17"/>
      <c r="AZ942" s="17"/>
      <c r="BA942" s="17"/>
      <c r="BB942" s="17"/>
      <c r="BC942" s="17"/>
      <c r="BD942" s="17"/>
      <c r="BE942" s="17"/>
      <c r="BF942" s="17"/>
      <c r="BG942" s="17"/>
      <c r="BH942" s="17"/>
      <c r="BI942" s="17"/>
      <c r="BJ942" s="17"/>
      <c r="BK942" s="17"/>
      <c r="BL942" s="17"/>
      <c r="BM942" s="17"/>
      <c r="BN942" s="17"/>
      <c r="BO942" s="17"/>
      <c r="BP942" s="17"/>
      <c r="BQ942" s="17"/>
      <c r="BR942" s="17"/>
      <c r="BS942" s="17"/>
      <c r="BT942" s="17"/>
      <c r="BU942" s="17"/>
      <c r="BV942" s="17"/>
      <c r="BW942" s="17"/>
      <c r="BX942" s="17"/>
      <c r="BY942" s="17"/>
      <c r="BZ942" s="17"/>
      <c r="CA942" s="17"/>
      <c r="CB942" s="17"/>
      <c r="CC942" s="17"/>
      <c r="CD942" s="17"/>
      <c r="CE942" s="17"/>
      <c r="CF942" s="17"/>
      <c r="CG942" s="17"/>
      <c r="CH942" s="17"/>
      <c r="CI942" s="17"/>
      <c r="CJ942" s="17"/>
      <c r="CK942" s="17"/>
      <c r="CL942" s="17"/>
      <c r="CM942" s="17"/>
      <c r="CN942" s="17"/>
      <c r="CO942" s="17"/>
      <c r="CP942" s="17"/>
      <c r="CQ942" s="17"/>
      <c r="CR942" s="17"/>
      <c r="CS942" s="17"/>
      <c r="CT942" s="17"/>
      <c r="CU942" s="17"/>
      <c r="CV942" s="17"/>
      <c r="CW942" s="17"/>
      <c r="CX942" s="17"/>
      <c r="CY942" s="17"/>
      <c r="CZ942" s="17"/>
      <c r="DA942" s="17"/>
      <c r="DB942" s="17"/>
      <c r="DC942" s="17"/>
      <c r="DD942" s="17"/>
      <c r="DE942" s="17"/>
      <c r="DF942" s="17"/>
      <c r="DG942" s="17"/>
      <c r="DH942" s="17"/>
      <c r="DI942" s="17"/>
      <c r="DJ942" s="17"/>
      <c r="DK942" s="17"/>
      <c r="DL942" s="17"/>
      <c r="DM942" s="17"/>
      <c r="DN942" s="17"/>
      <c r="DO942" s="17"/>
      <c r="DP942" s="17"/>
      <c r="DQ942" s="17"/>
      <c r="DR942" s="17"/>
      <c r="DS942" s="17"/>
      <c r="DT942" s="17"/>
      <c r="DU942" s="17"/>
      <c r="DV942" s="17"/>
      <c r="DW942" s="17"/>
      <c r="DX942" s="17"/>
      <c r="DY942" s="17"/>
      <c r="DZ942" s="17"/>
      <c r="EA942" s="17"/>
      <c r="EB942" s="17"/>
      <c r="EC942" s="17"/>
      <c r="ED942" s="17"/>
      <c r="EE942" s="17"/>
      <c r="EF942" s="17"/>
      <c r="EG942" s="17"/>
      <c r="EH942" s="17"/>
      <c r="EI942" s="17"/>
      <c r="EJ942" s="17"/>
      <c r="EK942" s="17"/>
      <c r="EL942" s="17"/>
      <c r="EM942" s="17"/>
      <c r="EN942" s="17"/>
      <c r="EO942" s="17"/>
      <c r="EP942" s="17"/>
      <c r="EQ942" s="17"/>
      <c r="ER942" s="17"/>
      <c r="ES942" s="17"/>
      <c r="ET942" s="17"/>
      <c r="EU942" s="17"/>
      <c r="EV942" s="17"/>
      <c r="EW942" s="17"/>
      <c r="EX942" s="17"/>
      <c r="EY942" s="17"/>
      <c r="EZ942" s="17"/>
      <c r="FA942" s="17"/>
      <c r="FB942" s="17"/>
      <c r="FC942" s="17"/>
      <c r="FD942" s="17"/>
      <c r="FE942" s="17"/>
      <c r="FF942" s="17"/>
      <c r="FG942" s="17"/>
      <c r="FH942" s="17"/>
      <c r="FI942" s="17"/>
      <c r="FJ942" s="17"/>
      <c r="FK942" s="17"/>
      <c r="FL942" s="17"/>
      <c r="FM942" s="17"/>
      <c r="FN942" s="17"/>
      <c r="FO942" s="17"/>
      <c r="FP942" s="17"/>
      <c r="FQ942" s="17"/>
      <c r="FR942" s="17"/>
      <c r="FS942" s="17"/>
      <c r="FT942" s="17"/>
      <c r="FU942" s="17"/>
      <c r="FV942" s="17"/>
      <c r="FW942" s="17"/>
      <c r="FX942" s="17"/>
      <c r="FY942" s="17"/>
      <c r="FZ942" s="17"/>
      <c r="GA942" s="17"/>
      <c r="GB942" s="17"/>
      <c r="GC942" s="17"/>
      <c r="GD942" s="17"/>
      <c r="GE942" s="17"/>
      <c r="GF942" s="17"/>
      <c r="GG942" s="17"/>
      <c r="GH942" s="17"/>
      <c r="GI942" s="17"/>
      <c r="GJ942" s="17"/>
      <c r="GK942" s="17"/>
      <c r="GL942" s="17"/>
      <c r="GM942" s="17"/>
      <c r="GN942" s="17"/>
      <c r="GO942" s="17"/>
      <c r="GP942" s="17"/>
      <c r="GQ942" s="17"/>
      <c r="GR942" s="17"/>
      <c r="GS942" s="17"/>
      <c r="GT942" s="17"/>
      <c r="GU942" s="17"/>
      <c r="GV942" s="17"/>
      <c r="GW942" s="17"/>
      <c r="GX942" s="17"/>
      <c r="GY942" s="17"/>
      <c r="GZ942" s="17"/>
      <c r="HA942" s="17"/>
      <c r="HB942" s="17"/>
      <c r="HC942" s="17"/>
      <c r="HD942" s="17"/>
      <c r="HE942" s="17"/>
      <c r="HF942" s="17"/>
      <c r="HG942" s="17"/>
      <c r="HH942" s="17"/>
      <c r="HI942" s="17"/>
      <c r="HJ942" s="17"/>
      <c r="HK942" s="17"/>
      <c r="HL942" s="17"/>
      <c r="HM942" s="17"/>
      <c r="HN942" s="17"/>
      <c r="HO942" s="17"/>
      <c r="HP942" s="17"/>
      <c r="HQ942" s="17"/>
      <c r="HR942" s="17"/>
      <c r="HS942" s="17"/>
      <c r="HT942" s="17"/>
      <c r="HU942" s="17"/>
      <c r="HV942" s="17"/>
      <c r="HW942" s="17"/>
      <c r="HX942" s="17"/>
      <c r="HY942" s="17"/>
      <c r="HZ942" s="17"/>
      <c r="IA942" s="17"/>
      <c r="IB942" s="17"/>
      <c r="IC942" s="17"/>
      <c r="ID942" s="17"/>
      <c r="IE942" s="17"/>
      <c r="IF942" s="17"/>
      <c r="IG942" s="17"/>
      <c r="IH942" s="17"/>
      <c r="II942" s="17"/>
      <c r="IJ942" s="17"/>
      <c r="IK942" s="17"/>
      <c r="IL942" s="17"/>
      <c r="IM942" s="17"/>
      <c r="IN942" s="17"/>
      <c r="IO942" s="17"/>
      <c r="IP942" s="17"/>
      <c r="IQ942" s="17"/>
      <c r="IR942" s="17"/>
      <c r="IS942" s="17"/>
      <c r="IT942" s="17"/>
      <c r="IU942" s="17"/>
      <c r="IV942" s="17"/>
      <c r="IW942" s="17"/>
      <c r="IX942" s="17"/>
    </row>
    <row r="943" spans="1:258" ht="21.95" customHeight="1" x14ac:dyDescent="0.25">
      <c r="A943" s="53" t="s">
        <v>1137</v>
      </c>
      <c r="B943" s="8" t="s">
        <v>779</v>
      </c>
      <c r="C943" s="2">
        <f t="shared" si="589"/>
        <v>1640100</v>
      </c>
      <c r="D943" s="3">
        <f t="shared" si="584"/>
        <v>0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4">
        <v>0</v>
      </c>
      <c r="L943" s="3">
        <v>0</v>
      </c>
      <c r="M943" s="3">
        <v>298.2</v>
      </c>
      <c r="N943" s="3">
        <f t="shared" si="592"/>
        <v>1640100</v>
      </c>
      <c r="O943" s="5">
        <v>0</v>
      </c>
      <c r="P943" s="5">
        <v>0</v>
      </c>
      <c r="Q943" s="5">
        <v>0</v>
      </c>
      <c r="R943" s="3">
        <f t="shared" si="586"/>
        <v>0</v>
      </c>
      <c r="S943" s="5">
        <v>0</v>
      </c>
      <c r="T943" s="5">
        <v>0</v>
      </c>
      <c r="U943" s="5">
        <v>0</v>
      </c>
      <c r="V943" s="6">
        <f t="shared" si="587"/>
        <v>5500</v>
      </c>
    </row>
    <row r="944" spans="1:258" ht="21.95" customHeight="1" x14ac:dyDescent="0.25">
      <c r="A944" s="53" t="s">
        <v>1138</v>
      </c>
      <c r="B944" s="8" t="s">
        <v>780</v>
      </c>
      <c r="C944" s="2">
        <f t="shared" si="589"/>
        <v>1188000</v>
      </c>
      <c r="D944" s="3">
        <f t="shared" si="584"/>
        <v>0</v>
      </c>
      <c r="E944" s="3">
        <v>0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4">
        <v>0</v>
      </c>
      <c r="L944" s="3">
        <v>0</v>
      </c>
      <c r="M944" s="5">
        <v>216</v>
      </c>
      <c r="N944" s="3">
        <f t="shared" si="592"/>
        <v>1188000</v>
      </c>
      <c r="O944" s="5">
        <v>0</v>
      </c>
      <c r="P944" s="5">
        <v>0</v>
      </c>
      <c r="Q944" s="5">
        <v>0</v>
      </c>
      <c r="R944" s="3">
        <f t="shared" si="586"/>
        <v>0</v>
      </c>
      <c r="S944" s="5">
        <v>0</v>
      </c>
      <c r="T944" s="5">
        <v>0</v>
      </c>
      <c r="U944" s="5">
        <v>0</v>
      </c>
      <c r="V944" s="6">
        <f t="shared" si="587"/>
        <v>5500</v>
      </c>
    </row>
    <row r="945" spans="1:258" s="6" customFormat="1" ht="21.95" customHeight="1" x14ac:dyDescent="0.25">
      <c r="A945" s="53" t="s">
        <v>1139</v>
      </c>
      <c r="B945" s="8" t="s">
        <v>683</v>
      </c>
      <c r="C945" s="2">
        <f t="shared" si="589"/>
        <v>2007500</v>
      </c>
      <c r="D945" s="3">
        <f t="shared" si="584"/>
        <v>0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4">
        <v>0</v>
      </c>
      <c r="L945" s="3">
        <v>0</v>
      </c>
      <c r="M945" s="3">
        <v>365</v>
      </c>
      <c r="N945" s="3">
        <f t="shared" si="592"/>
        <v>2007500</v>
      </c>
      <c r="O945" s="5">
        <v>0</v>
      </c>
      <c r="P945" s="5">
        <v>0</v>
      </c>
      <c r="Q945" s="5">
        <v>0</v>
      </c>
      <c r="R945" s="3">
        <f t="shared" si="586"/>
        <v>0</v>
      </c>
      <c r="S945" s="5">
        <v>0</v>
      </c>
      <c r="T945" s="5">
        <v>0</v>
      </c>
      <c r="U945" s="5">
        <v>0</v>
      </c>
      <c r="V945" s="6">
        <f t="shared" si="587"/>
        <v>5500</v>
      </c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  <c r="CU945" s="7"/>
      <c r="CV945" s="7"/>
      <c r="CW945" s="7"/>
      <c r="CX945" s="7"/>
      <c r="CY945" s="7"/>
      <c r="CZ945" s="7"/>
      <c r="DA945" s="7"/>
      <c r="DB945" s="7"/>
      <c r="DC945" s="7"/>
      <c r="DD945" s="7"/>
      <c r="DE945" s="7"/>
      <c r="DF945" s="7"/>
      <c r="DG945" s="7"/>
      <c r="DH945" s="7"/>
      <c r="DI945" s="7"/>
      <c r="DJ945" s="7"/>
      <c r="DK945" s="7"/>
      <c r="DL945" s="7"/>
      <c r="DM945" s="7"/>
      <c r="DN945" s="7"/>
      <c r="DO945" s="7"/>
      <c r="DP945" s="7"/>
      <c r="DQ945" s="7"/>
      <c r="DR945" s="7"/>
      <c r="DS945" s="7"/>
      <c r="DT945" s="7"/>
      <c r="DU945" s="7"/>
      <c r="DV945" s="7"/>
      <c r="DW945" s="7"/>
      <c r="DX945" s="7"/>
      <c r="DY945" s="7"/>
      <c r="DZ945" s="7"/>
      <c r="EA945" s="7"/>
      <c r="EB945" s="7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  <c r="GJ945" s="7"/>
      <c r="GK945" s="7"/>
      <c r="GL945" s="7"/>
      <c r="GM945" s="7"/>
      <c r="GN945" s="7"/>
      <c r="GO945" s="7"/>
      <c r="GP945" s="7"/>
      <c r="GQ945" s="7"/>
      <c r="GR945" s="7"/>
      <c r="GS945" s="7"/>
      <c r="GT945" s="7"/>
      <c r="GU945" s="7"/>
      <c r="GV945" s="7"/>
      <c r="GW945" s="7"/>
      <c r="GX945" s="7"/>
      <c r="GY945" s="7"/>
      <c r="GZ945" s="7"/>
      <c r="HA945" s="7"/>
      <c r="HB945" s="7"/>
      <c r="HC945" s="7"/>
      <c r="HD945" s="7"/>
      <c r="HE945" s="7"/>
      <c r="HF945" s="7"/>
      <c r="HG945" s="7"/>
      <c r="HH945" s="7"/>
      <c r="HI945" s="7"/>
      <c r="HJ945" s="7"/>
      <c r="HK945" s="7"/>
      <c r="HL945" s="7"/>
      <c r="HM945" s="7"/>
      <c r="HN945" s="7"/>
      <c r="HO945" s="7"/>
      <c r="HP945" s="7"/>
      <c r="HQ945" s="7"/>
      <c r="HR945" s="7"/>
      <c r="HS945" s="7"/>
      <c r="HT945" s="7"/>
      <c r="HU945" s="7"/>
      <c r="HV945" s="7"/>
      <c r="HW945" s="7"/>
      <c r="HX945" s="7"/>
      <c r="HY945" s="7"/>
      <c r="HZ945" s="7"/>
      <c r="IA945" s="7"/>
      <c r="IB945" s="7"/>
      <c r="IC945" s="7"/>
      <c r="ID945" s="7"/>
      <c r="IE945" s="7"/>
      <c r="IF945" s="7"/>
      <c r="IG945" s="7"/>
      <c r="IH945" s="7"/>
      <c r="II945" s="7"/>
      <c r="IJ945" s="7"/>
      <c r="IK945" s="7"/>
      <c r="IL945" s="7"/>
      <c r="IM945" s="7"/>
      <c r="IN945" s="7"/>
      <c r="IO945" s="7"/>
      <c r="IP945" s="7"/>
      <c r="IQ945" s="7"/>
      <c r="IR945" s="7"/>
      <c r="IS945" s="7"/>
      <c r="IT945" s="7"/>
      <c r="IU945" s="7"/>
      <c r="IV945" s="7"/>
      <c r="IW945" s="7"/>
      <c r="IX945" s="7"/>
    </row>
    <row r="946" spans="1:258" ht="21.95" customHeight="1" x14ac:dyDescent="0.25">
      <c r="A946" s="53" t="s">
        <v>1140</v>
      </c>
      <c r="B946" s="8" t="s">
        <v>685</v>
      </c>
      <c r="C946" s="2">
        <f t="shared" si="589"/>
        <v>1125300</v>
      </c>
      <c r="D946" s="3">
        <f t="shared" si="584"/>
        <v>0</v>
      </c>
      <c r="E946" s="3">
        <v>0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4">
        <v>0</v>
      </c>
      <c r="L946" s="3">
        <v>0</v>
      </c>
      <c r="M946" s="5">
        <v>204.6</v>
      </c>
      <c r="N946" s="3">
        <f t="shared" si="592"/>
        <v>1125300</v>
      </c>
      <c r="O946" s="3">
        <v>0</v>
      </c>
      <c r="P946" s="3">
        <v>0</v>
      </c>
      <c r="Q946" s="3">
        <v>0</v>
      </c>
      <c r="R946" s="3">
        <f t="shared" si="586"/>
        <v>0</v>
      </c>
      <c r="S946" s="3">
        <v>0</v>
      </c>
      <c r="T946" s="5">
        <v>0</v>
      </c>
      <c r="U946" s="3">
        <v>0</v>
      </c>
      <c r="V946" s="6">
        <f t="shared" si="587"/>
        <v>5500</v>
      </c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  <c r="CA946" s="6"/>
      <c r="CB946" s="6"/>
      <c r="CC946" s="6"/>
      <c r="CD946" s="6"/>
      <c r="CE946" s="6"/>
      <c r="CF946" s="6"/>
      <c r="CG946" s="6"/>
      <c r="CH946" s="6"/>
      <c r="CI946" s="6"/>
      <c r="CJ946" s="6"/>
      <c r="CK946" s="6"/>
      <c r="CL946" s="6"/>
      <c r="CM946" s="6"/>
      <c r="CN946" s="6"/>
      <c r="CO946" s="6"/>
      <c r="CP946" s="6"/>
      <c r="CQ946" s="6"/>
      <c r="CR946" s="6"/>
      <c r="CS946" s="6"/>
      <c r="CT946" s="6"/>
      <c r="CU946" s="6"/>
      <c r="CV946" s="6"/>
      <c r="CW946" s="6"/>
      <c r="CX946" s="6"/>
      <c r="CY946" s="6"/>
      <c r="CZ946" s="6"/>
      <c r="DA946" s="6"/>
      <c r="DB946" s="6"/>
      <c r="DC946" s="6"/>
      <c r="DD946" s="6"/>
      <c r="DE946" s="6"/>
      <c r="DF946" s="6"/>
      <c r="DG946" s="6"/>
      <c r="DH946" s="6"/>
      <c r="DI946" s="6"/>
      <c r="DJ946" s="6"/>
      <c r="DK946" s="6"/>
      <c r="DL946" s="6"/>
      <c r="DM946" s="6"/>
      <c r="DN946" s="6"/>
      <c r="DO946" s="6"/>
      <c r="DP946" s="6"/>
      <c r="DQ946" s="6"/>
      <c r="DR946" s="6"/>
      <c r="DS946" s="6"/>
      <c r="DT946" s="6"/>
      <c r="DU946" s="6"/>
      <c r="DV946" s="6"/>
      <c r="DW946" s="6"/>
      <c r="DX946" s="6"/>
      <c r="DY946" s="6"/>
      <c r="DZ946" s="6"/>
      <c r="EA946" s="6"/>
      <c r="EB946" s="6"/>
      <c r="EC946" s="6"/>
      <c r="ED946" s="6"/>
      <c r="EE946" s="6"/>
      <c r="EF946" s="6"/>
      <c r="EG946" s="6"/>
      <c r="EH946" s="6"/>
      <c r="EI946" s="6"/>
      <c r="EJ946" s="6"/>
      <c r="EK946" s="6"/>
      <c r="EL946" s="6"/>
      <c r="EM946" s="6"/>
      <c r="EN946" s="6"/>
      <c r="EO946" s="6"/>
      <c r="EP946" s="6"/>
      <c r="EQ946" s="6"/>
      <c r="ER946" s="6"/>
      <c r="ES946" s="6"/>
      <c r="ET946" s="6"/>
      <c r="EU946" s="6"/>
      <c r="EV946" s="6"/>
      <c r="EW946" s="6"/>
      <c r="EX946" s="6"/>
      <c r="EY946" s="6"/>
      <c r="EZ946" s="6"/>
      <c r="FA946" s="6"/>
      <c r="FB946" s="6"/>
      <c r="FC946" s="6"/>
      <c r="FD946" s="6"/>
      <c r="FE946" s="6"/>
      <c r="FF946" s="6"/>
      <c r="FG946" s="6"/>
      <c r="FH946" s="6"/>
      <c r="FI946" s="6"/>
      <c r="FJ946" s="6"/>
      <c r="FK946" s="6"/>
      <c r="FL946" s="6"/>
      <c r="FM946" s="6"/>
      <c r="FN946" s="6"/>
      <c r="FO946" s="6"/>
      <c r="FP946" s="6"/>
      <c r="FQ946" s="6"/>
      <c r="FR946" s="6"/>
      <c r="FS946" s="6"/>
      <c r="FT946" s="6"/>
      <c r="FU946" s="6"/>
      <c r="FV946" s="6"/>
      <c r="FW946" s="6"/>
      <c r="FX946" s="6"/>
      <c r="FY946" s="6"/>
      <c r="FZ946" s="6"/>
      <c r="GA946" s="6"/>
      <c r="GB946" s="6"/>
      <c r="GC946" s="6"/>
      <c r="GD946" s="6"/>
      <c r="GE946" s="6"/>
      <c r="GF946" s="6"/>
      <c r="GG946" s="6"/>
      <c r="GH946" s="6"/>
      <c r="GI946" s="6"/>
      <c r="GJ946" s="6"/>
      <c r="GK946" s="6"/>
      <c r="GL946" s="6"/>
      <c r="GM946" s="6"/>
      <c r="GN946" s="6"/>
      <c r="GO946" s="6"/>
      <c r="GP946" s="6"/>
      <c r="GQ946" s="6"/>
      <c r="GR946" s="6"/>
      <c r="GS946" s="6"/>
      <c r="GT946" s="6"/>
      <c r="GU946" s="6"/>
      <c r="GV946" s="6"/>
      <c r="GW946" s="6"/>
      <c r="GX946" s="6"/>
      <c r="GY946" s="6"/>
      <c r="GZ946" s="6"/>
      <c r="HA946" s="6"/>
      <c r="HB946" s="6"/>
      <c r="HC946" s="6"/>
      <c r="HD946" s="6"/>
      <c r="HE946" s="6"/>
      <c r="HF946" s="6"/>
      <c r="HG946" s="6"/>
      <c r="HH946" s="6"/>
      <c r="HI946" s="6"/>
      <c r="HJ946" s="6"/>
      <c r="HK946" s="6"/>
      <c r="HL946" s="6"/>
      <c r="HM946" s="6"/>
      <c r="HN946" s="6"/>
      <c r="HO946" s="6"/>
      <c r="HP946" s="6"/>
      <c r="HQ946" s="6"/>
      <c r="HR946" s="6"/>
      <c r="HS946" s="6"/>
      <c r="HT946" s="6"/>
      <c r="HU946" s="6"/>
      <c r="HV946" s="6"/>
      <c r="HW946" s="6"/>
      <c r="HX946" s="6"/>
      <c r="HY946" s="6"/>
      <c r="HZ946" s="6"/>
      <c r="IA946" s="6"/>
      <c r="IB946" s="6"/>
      <c r="IC946" s="6"/>
      <c r="ID946" s="6"/>
      <c r="IE946" s="6"/>
      <c r="IF946" s="6"/>
      <c r="IG946" s="6"/>
      <c r="IH946" s="6"/>
      <c r="II946" s="6"/>
      <c r="IJ946" s="6"/>
      <c r="IK946" s="6"/>
      <c r="IL946" s="6"/>
      <c r="IM946" s="6"/>
      <c r="IN946" s="6"/>
      <c r="IO946" s="6"/>
      <c r="IP946" s="6"/>
      <c r="IQ946" s="6"/>
      <c r="IR946" s="6"/>
      <c r="IS946" s="6"/>
      <c r="IT946" s="6"/>
      <c r="IU946" s="6"/>
      <c r="IV946" s="6"/>
      <c r="IW946" s="6"/>
      <c r="IX946" s="6"/>
    </row>
    <row r="947" spans="1:258" ht="21.95" customHeight="1" x14ac:dyDescent="0.25">
      <c r="A947" s="53" t="s">
        <v>1141</v>
      </c>
      <c r="B947" s="8" t="s">
        <v>781</v>
      </c>
      <c r="C947" s="2">
        <f t="shared" si="589"/>
        <v>1193280</v>
      </c>
      <c r="D947" s="3">
        <f t="shared" si="584"/>
        <v>0</v>
      </c>
      <c r="E947" s="3">
        <v>0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4">
        <v>0</v>
      </c>
      <c r="L947" s="3">
        <v>0</v>
      </c>
      <c r="M947" s="5">
        <v>216.96</v>
      </c>
      <c r="N947" s="3">
        <f t="shared" si="592"/>
        <v>1193280</v>
      </c>
      <c r="O947" s="3">
        <v>0</v>
      </c>
      <c r="P947" s="3">
        <v>0</v>
      </c>
      <c r="Q947" s="3">
        <v>0</v>
      </c>
      <c r="R947" s="3">
        <f t="shared" si="586"/>
        <v>0</v>
      </c>
      <c r="S947" s="3">
        <v>0</v>
      </c>
      <c r="T947" s="5">
        <v>0</v>
      </c>
      <c r="U947" s="3">
        <v>0</v>
      </c>
      <c r="V947" s="6">
        <f t="shared" si="587"/>
        <v>5500</v>
      </c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  <c r="BR947" s="26"/>
      <c r="BS947" s="26"/>
      <c r="BT947" s="26"/>
      <c r="BU947" s="26"/>
      <c r="BV947" s="26"/>
      <c r="BW947" s="26"/>
      <c r="BX947" s="26"/>
      <c r="BY947" s="26"/>
      <c r="BZ947" s="26"/>
      <c r="CA947" s="26"/>
      <c r="CB947" s="26"/>
      <c r="CC947" s="26"/>
      <c r="CD947" s="26"/>
      <c r="CE947" s="26"/>
      <c r="CF947" s="26"/>
      <c r="CG947" s="26"/>
      <c r="CH947" s="26"/>
      <c r="CI947" s="26"/>
      <c r="CJ947" s="26"/>
      <c r="CK947" s="26"/>
      <c r="CL947" s="26"/>
      <c r="CM947" s="26"/>
      <c r="CN947" s="26"/>
      <c r="CO947" s="26"/>
      <c r="CP947" s="26"/>
      <c r="CQ947" s="26"/>
      <c r="CR947" s="26"/>
      <c r="CS947" s="26"/>
      <c r="CT947" s="26"/>
      <c r="CU947" s="26"/>
      <c r="CV947" s="26"/>
      <c r="CW947" s="26"/>
      <c r="CX947" s="26"/>
      <c r="CY947" s="26"/>
      <c r="CZ947" s="26"/>
      <c r="DA947" s="26"/>
      <c r="DB947" s="26"/>
      <c r="DC947" s="26"/>
      <c r="DD947" s="26"/>
      <c r="DE947" s="26"/>
      <c r="DF947" s="26"/>
      <c r="DG947" s="26"/>
      <c r="DH947" s="26"/>
      <c r="DI947" s="26"/>
      <c r="DJ947" s="26"/>
      <c r="DK947" s="26"/>
      <c r="DL947" s="26"/>
      <c r="DM947" s="26"/>
      <c r="DN947" s="26"/>
      <c r="DO947" s="26"/>
      <c r="DP947" s="26"/>
      <c r="DQ947" s="26"/>
      <c r="DR947" s="26"/>
      <c r="DS947" s="26"/>
      <c r="DT947" s="26"/>
      <c r="DU947" s="26"/>
      <c r="DV947" s="26"/>
      <c r="DW947" s="26"/>
      <c r="DX947" s="26"/>
      <c r="DY947" s="26"/>
      <c r="DZ947" s="26"/>
      <c r="EA947" s="26"/>
      <c r="EB947" s="26"/>
      <c r="EC947" s="26"/>
      <c r="ED947" s="26"/>
      <c r="EE947" s="26"/>
      <c r="EF947" s="26"/>
      <c r="EG947" s="26"/>
      <c r="EH947" s="26"/>
      <c r="EI947" s="26"/>
      <c r="EJ947" s="26"/>
      <c r="EK947" s="26"/>
      <c r="EL947" s="26"/>
      <c r="EM947" s="26"/>
      <c r="EN947" s="26"/>
      <c r="EO947" s="26"/>
      <c r="EP947" s="26"/>
      <c r="EQ947" s="26"/>
      <c r="ER947" s="26"/>
      <c r="ES947" s="26"/>
      <c r="ET947" s="26"/>
      <c r="EU947" s="26"/>
      <c r="EV947" s="26"/>
      <c r="EW947" s="26"/>
      <c r="EX947" s="26"/>
      <c r="EY947" s="26"/>
      <c r="EZ947" s="26"/>
      <c r="FA947" s="26"/>
      <c r="FB947" s="26"/>
      <c r="FC947" s="26"/>
      <c r="FD947" s="26"/>
      <c r="FE947" s="26"/>
      <c r="FF947" s="26"/>
      <c r="FG947" s="26"/>
      <c r="FH947" s="26"/>
      <c r="FI947" s="26"/>
      <c r="FJ947" s="26"/>
      <c r="FK947" s="26"/>
      <c r="FL947" s="26"/>
      <c r="FM947" s="26"/>
      <c r="FN947" s="26"/>
      <c r="FO947" s="26"/>
      <c r="FP947" s="26"/>
      <c r="FQ947" s="26"/>
      <c r="FR947" s="26"/>
      <c r="FS947" s="26"/>
      <c r="FT947" s="26"/>
      <c r="FU947" s="26"/>
      <c r="FV947" s="26"/>
      <c r="FW947" s="26"/>
      <c r="FX947" s="26"/>
      <c r="FY947" s="26"/>
      <c r="FZ947" s="26"/>
      <c r="GA947" s="26"/>
      <c r="GB947" s="26"/>
      <c r="GC947" s="26"/>
      <c r="GD947" s="26"/>
      <c r="GE947" s="26"/>
      <c r="GF947" s="26"/>
      <c r="GG947" s="26"/>
      <c r="GH947" s="26"/>
      <c r="GI947" s="26"/>
      <c r="GJ947" s="26"/>
      <c r="GK947" s="26"/>
      <c r="GL947" s="26"/>
      <c r="GM947" s="26"/>
      <c r="GN947" s="26"/>
      <c r="GO947" s="26"/>
      <c r="GP947" s="26"/>
      <c r="GQ947" s="26"/>
      <c r="GR947" s="26"/>
      <c r="GS947" s="26"/>
      <c r="GT947" s="26"/>
      <c r="GU947" s="26"/>
      <c r="GV947" s="26"/>
      <c r="GW947" s="26"/>
      <c r="GX947" s="26"/>
      <c r="GY947" s="26"/>
      <c r="GZ947" s="26"/>
      <c r="HA947" s="26"/>
      <c r="HB947" s="26"/>
      <c r="HC947" s="26"/>
      <c r="HD947" s="26"/>
      <c r="HE947" s="26"/>
      <c r="HF947" s="26"/>
      <c r="HG947" s="26"/>
      <c r="HH947" s="26"/>
      <c r="HI947" s="26"/>
      <c r="HJ947" s="26"/>
      <c r="HK947" s="26"/>
      <c r="HL947" s="26"/>
      <c r="HM947" s="26"/>
      <c r="HN947" s="26"/>
      <c r="HO947" s="26"/>
      <c r="HP947" s="26"/>
      <c r="HQ947" s="26"/>
      <c r="HR947" s="26"/>
      <c r="HS947" s="26"/>
      <c r="HT947" s="26"/>
      <c r="HU947" s="26"/>
      <c r="HV947" s="26"/>
      <c r="HW947" s="26"/>
      <c r="HX947" s="26"/>
      <c r="HY947" s="26"/>
      <c r="HZ947" s="26"/>
      <c r="IA947" s="26"/>
      <c r="IB947" s="26"/>
      <c r="IC947" s="26"/>
      <c r="ID947" s="26"/>
      <c r="IE947" s="26"/>
      <c r="IF947" s="26"/>
      <c r="IG947" s="26"/>
      <c r="IH947" s="26"/>
      <c r="II947" s="26"/>
      <c r="IJ947" s="26"/>
      <c r="IK947" s="26"/>
      <c r="IL947" s="26"/>
      <c r="IM947" s="26"/>
      <c r="IN947" s="26"/>
      <c r="IO947" s="26"/>
      <c r="IP947" s="26"/>
      <c r="IQ947" s="26"/>
      <c r="IR947" s="26"/>
      <c r="IS947" s="26"/>
      <c r="IT947" s="26"/>
      <c r="IU947" s="26"/>
      <c r="IV947" s="26"/>
      <c r="IW947" s="26"/>
      <c r="IX947" s="26"/>
    </row>
    <row r="948" spans="1:258" ht="21.95" customHeight="1" x14ac:dyDescent="0.25">
      <c r="A948" s="53" t="s">
        <v>1142</v>
      </c>
      <c r="B948" s="23" t="s">
        <v>592</v>
      </c>
      <c r="C948" s="2">
        <f>D948+L948+N948+P948+R948+S948+T948+U948</f>
        <v>1851925</v>
      </c>
      <c r="D948" s="3">
        <f>SUM(E948:J948)</f>
        <v>1751925</v>
      </c>
      <c r="E948" s="3">
        <f>350*745.5</f>
        <v>260925</v>
      </c>
      <c r="F948" s="3">
        <f>1050*745.5</f>
        <v>782775</v>
      </c>
      <c r="G948" s="3">
        <f>300*745.5</f>
        <v>223650</v>
      </c>
      <c r="H948" s="3">
        <f>400*745.5</f>
        <v>298200</v>
      </c>
      <c r="I948" s="3">
        <f>250*745.5</f>
        <v>186375</v>
      </c>
      <c r="J948" s="3">
        <f>350*0</f>
        <v>0</v>
      </c>
      <c r="K948" s="11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3">
        <f>Q948*3000</f>
        <v>0</v>
      </c>
      <c r="S948" s="5">
        <v>0</v>
      </c>
      <c r="T948" s="5">
        <v>0</v>
      </c>
      <c r="U948" s="5">
        <v>100000</v>
      </c>
      <c r="V948" s="6" t="e">
        <f>N948/M948</f>
        <v>#DIV/0!</v>
      </c>
      <c r="W948" s="7" t="s">
        <v>1644</v>
      </c>
    </row>
    <row r="949" spans="1:258" ht="21.95" customHeight="1" x14ac:dyDescent="0.25">
      <c r="A949" s="53" t="s">
        <v>1143</v>
      </c>
      <c r="B949" s="8" t="s">
        <v>686</v>
      </c>
      <c r="C949" s="2">
        <f t="shared" si="589"/>
        <v>5936578</v>
      </c>
      <c r="D949" s="3">
        <f t="shared" si="584"/>
        <v>1310078</v>
      </c>
      <c r="E949" s="3">
        <f>350*557.48</f>
        <v>195118</v>
      </c>
      <c r="F949" s="3">
        <f>1050*557.48</f>
        <v>585354</v>
      </c>
      <c r="G949" s="3">
        <f>300*557.48</f>
        <v>167244</v>
      </c>
      <c r="H949" s="3">
        <f>400*557.48</f>
        <v>222992</v>
      </c>
      <c r="I949" s="3">
        <f>250*557.48</f>
        <v>139370</v>
      </c>
      <c r="J949" s="3">
        <v>0</v>
      </c>
      <c r="K949" s="4">
        <v>0</v>
      </c>
      <c r="L949" s="3">
        <v>0</v>
      </c>
      <c r="M949" s="3">
        <v>519.4</v>
      </c>
      <c r="N949" s="3">
        <f t="shared" ref="N949:N958" si="593">M949*5500</f>
        <v>2856700</v>
      </c>
      <c r="O949" s="3">
        <v>0</v>
      </c>
      <c r="P949" s="3">
        <v>0</v>
      </c>
      <c r="Q949" s="3">
        <v>556.6</v>
      </c>
      <c r="R949" s="3">
        <f t="shared" si="586"/>
        <v>1669800</v>
      </c>
      <c r="S949" s="3">
        <v>0</v>
      </c>
      <c r="T949" s="5">
        <v>0</v>
      </c>
      <c r="U949" s="3">
        <v>100000</v>
      </c>
      <c r="V949" s="6">
        <f t="shared" si="587"/>
        <v>5500</v>
      </c>
    </row>
    <row r="950" spans="1:258" ht="21.95" customHeight="1" x14ac:dyDescent="0.25">
      <c r="A950" s="53" t="s">
        <v>1144</v>
      </c>
      <c r="B950" s="8" t="s">
        <v>687</v>
      </c>
      <c r="C950" s="2">
        <f t="shared" si="589"/>
        <v>1663395</v>
      </c>
      <c r="D950" s="3">
        <f t="shared" si="584"/>
        <v>0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4">
        <v>0</v>
      </c>
      <c r="L950" s="3">
        <v>0</v>
      </c>
      <c r="M950" s="5">
        <v>247.89</v>
      </c>
      <c r="N950" s="3">
        <f t="shared" si="593"/>
        <v>1363395</v>
      </c>
      <c r="O950" s="3">
        <v>0</v>
      </c>
      <c r="P950" s="3">
        <v>0</v>
      </c>
      <c r="Q950" s="3">
        <v>0</v>
      </c>
      <c r="R950" s="3">
        <f t="shared" si="586"/>
        <v>0</v>
      </c>
      <c r="S950" s="3">
        <v>0</v>
      </c>
      <c r="T950" s="5">
        <v>0</v>
      </c>
      <c r="U950" s="3">
        <v>300000</v>
      </c>
      <c r="V950" s="6">
        <f t="shared" si="587"/>
        <v>5500</v>
      </c>
    </row>
    <row r="951" spans="1:258" ht="21.95" customHeight="1" x14ac:dyDescent="0.25">
      <c r="A951" s="53" t="s">
        <v>1145</v>
      </c>
      <c r="B951" s="23" t="s">
        <v>1182</v>
      </c>
      <c r="C951" s="2">
        <f t="shared" si="589"/>
        <v>3480500</v>
      </c>
      <c r="D951" s="3">
        <f t="shared" ref="D951:D952" si="594">SUM(E951:J951)</f>
        <v>0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11">
        <v>0</v>
      </c>
      <c r="L951" s="5">
        <v>0</v>
      </c>
      <c r="M951" s="5">
        <v>371</v>
      </c>
      <c r="N951" s="3">
        <f t="shared" si="593"/>
        <v>2040500</v>
      </c>
      <c r="O951" s="5">
        <v>0</v>
      </c>
      <c r="P951" s="5">
        <v>0</v>
      </c>
      <c r="Q951" s="5">
        <v>480</v>
      </c>
      <c r="R951" s="3">
        <f t="shared" si="586"/>
        <v>1440000</v>
      </c>
      <c r="S951" s="5">
        <v>0</v>
      </c>
      <c r="T951" s="5">
        <v>0</v>
      </c>
      <c r="U951" s="5">
        <v>0</v>
      </c>
      <c r="V951" s="6">
        <f t="shared" si="587"/>
        <v>5500</v>
      </c>
    </row>
    <row r="952" spans="1:258" ht="21.95" customHeight="1" x14ac:dyDescent="0.25">
      <c r="A952" s="53" t="s">
        <v>1146</v>
      </c>
      <c r="B952" s="23" t="s">
        <v>513</v>
      </c>
      <c r="C952" s="2">
        <f t="shared" si="589"/>
        <v>2612500</v>
      </c>
      <c r="D952" s="3">
        <f t="shared" si="594"/>
        <v>0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11">
        <v>0</v>
      </c>
      <c r="L952" s="5">
        <v>0</v>
      </c>
      <c r="M952" s="5">
        <v>475</v>
      </c>
      <c r="N952" s="3">
        <f t="shared" si="593"/>
        <v>2612500</v>
      </c>
      <c r="O952" s="5">
        <v>0</v>
      </c>
      <c r="P952" s="5">
        <v>0</v>
      </c>
      <c r="Q952" s="5">
        <v>0</v>
      </c>
      <c r="R952" s="3">
        <f t="shared" si="586"/>
        <v>0</v>
      </c>
      <c r="S952" s="5">
        <v>0</v>
      </c>
      <c r="T952" s="5">
        <v>0</v>
      </c>
      <c r="U952" s="5">
        <v>0</v>
      </c>
      <c r="V952" s="6">
        <f t="shared" si="587"/>
        <v>5500</v>
      </c>
    </row>
    <row r="953" spans="1:258" ht="21.95" customHeight="1" x14ac:dyDescent="0.25">
      <c r="A953" s="53" t="s">
        <v>1147</v>
      </c>
      <c r="B953" s="23" t="s">
        <v>688</v>
      </c>
      <c r="C953" s="2">
        <f t="shared" si="589"/>
        <v>2335000</v>
      </c>
      <c r="D953" s="3">
        <f t="shared" si="584"/>
        <v>0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4">
        <v>0</v>
      </c>
      <c r="L953" s="3">
        <v>0</v>
      </c>
      <c r="M953" s="3">
        <v>370</v>
      </c>
      <c r="N953" s="3">
        <f t="shared" si="593"/>
        <v>2035000</v>
      </c>
      <c r="O953" s="3">
        <v>0</v>
      </c>
      <c r="P953" s="3">
        <v>0</v>
      </c>
      <c r="Q953" s="3">
        <v>0</v>
      </c>
      <c r="R953" s="3">
        <f t="shared" si="586"/>
        <v>0</v>
      </c>
      <c r="S953" s="3">
        <v>0</v>
      </c>
      <c r="T953" s="5">
        <v>0</v>
      </c>
      <c r="U953" s="3">
        <v>300000</v>
      </c>
      <c r="V953" s="6">
        <f t="shared" si="587"/>
        <v>5500</v>
      </c>
    </row>
    <row r="954" spans="1:258" ht="21.95" customHeight="1" x14ac:dyDescent="0.25">
      <c r="A954" s="53" t="s">
        <v>1148</v>
      </c>
      <c r="B954" s="8" t="s">
        <v>689</v>
      </c>
      <c r="C954" s="2">
        <f t="shared" si="589"/>
        <v>3070649.9999999995</v>
      </c>
      <c r="D954" s="3">
        <f t="shared" si="584"/>
        <v>0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  <c r="K954" s="4">
        <v>0</v>
      </c>
      <c r="L954" s="3">
        <v>0</v>
      </c>
      <c r="M954" s="5">
        <v>558.29999999999995</v>
      </c>
      <c r="N954" s="3">
        <f t="shared" si="593"/>
        <v>3070649.9999999995</v>
      </c>
      <c r="O954" s="3">
        <v>0</v>
      </c>
      <c r="P954" s="3">
        <v>0</v>
      </c>
      <c r="Q954" s="3">
        <v>0</v>
      </c>
      <c r="R954" s="3">
        <f t="shared" si="586"/>
        <v>0</v>
      </c>
      <c r="S954" s="3">
        <v>0</v>
      </c>
      <c r="T954" s="5">
        <v>0</v>
      </c>
      <c r="U954" s="3">
        <v>0</v>
      </c>
      <c r="V954" s="6">
        <f t="shared" si="587"/>
        <v>5500</v>
      </c>
    </row>
    <row r="955" spans="1:258" ht="21.95" customHeight="1" x14ac:dyDescent="0.25">
      <c r="A955" s="53" t="s">
        <v>1149</v>
      </c>
      <c r="B955" s="8" t="s">
        <v>690</v>
      </c>
      <c r="C955" s="2">
        <f t="shared" si="589"/>
        <v>1447600</v>
      </c>
      <c r="D955" s="3">
        <f t="shared" si="584"/>
        <v>0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  <c r="K955" s="11">
        <v>0</v>
      </c>
      <c r="L955" s="3">
        <v>0</v>
      </c>
      <c r="M955" s="3">
        <v>263.2</v>
      </c>
      <c r="N955" s="3">
        <f t="shared" si="593"/>
        <v>1447600</v>
      </c>
      <c r="O955" s="3">
        <v>0</v>
      </c>
      <c r="P955" s="3">
        <v>0</v>
      </c>
      <c r="Q955" s="3">
        <v>0</v>
      </c>
      <c r="R955" s="3">
        <f t="shared" si="586"/>
        <v>0</v>
      </c>
      <c r="S955" s="3">
        <v>0</v>
      </c>
      <c r="T955" s="5">
        <v>0</v>
      </c>
      <c r="U955" s="3">
        <v>0</v>
      </c>
      <c r="V955" s="6">
        <f t="shared" si="587"/>
        <v>5500</v>
      </c>
    </row>
    <row r="956" spans="1:258" s="17" customFormat="1" ht="21.95" customHeight="1" x14ac:dyDescent="0.25">
      <c r="A956" s="53" t="s">
        <v>1150</v>
      </c>
      <c r="B956" s="8" t="s">
        <v>691</v>
      </c>
      <c r="C956" s="2">
        <f t="shared" si="589"/>
        <v>1958000</v>
      </c>
      <c r="D956" s="3">
        <f t="shared" si="584"/>
        <v>0</v>
      </c>
      <c r="E956" s="3">
        <v>0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11">
        <v>0</v>
      </c>
      <c r="L956" s="3">
        <v>0</v>
      </c>
      <c r="M956" s="3">
        <v>356</v>
      </c>
      <c r="N956" s="3">
        <f t="shared" si="593"/>
        <v>1958000</v>
      </c>
      <c r="O956" s="3">
        <v>0</v>
      </c>
      <c r="P956" s="3">
        <v>0</v>
      </c>
      <c r="Q956" s="3">
        <v>0</v>
      </c>
      <c r="R956" s="3">
        <f t="shared" si="586"/>
        <v>0</v>
      </c>
      <c r="S956" s="3">
        <v>0</v>
      </c>
      <c r="T956" s="5">
        <v>0</v>
      </c>
      <c r="U956" s="3">
        <v>0</v>
      </c>
      <c r="V956" s="6">
        <f t="shared" si="587"/>
        <v>5500</v>
      </c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  <c r="CU956" s="7"/>
      <c r="CV956" s="7"/>
      <c r="CW956" s="7"/>
      <c r="CX956" s="7"/>
      <c r="CY956" s="7"/>
      <c r="CZ956" s="7"/>
      <c r="DA956" s="7"/>
      <c r="DB956" s="7"/>
      <c r="DC956" s="7"/>
      <c r="DD956" s="7"/>
      <c r="DE956" s="7"/>
      <c r="DF956" s="7"/>
      <c r="DG956" s="7"/>
      <c r="DH956" s="7"/>
      <c r="DI956" s="7"/>
      <c r="DJ956" s="7"/>
      <c r="DK956" s="7"/>
      <c r="DL956" s="7"/>
      <c r="DM956" s="7"/>
      <c r="DN956" s="7"/>
      <c r="DO956" s="7"/>
      <c r="DP956" s="7"/>
      <c r="DQ956" s="7"/>
      <c r="DR956" s="7"/>
      <c r="DS956" s="7"/>
      <c r="DT956" s="7"/>
      <c r="DU956" s="7"/>
      <c r="DV956" s="7"/>
      <c r="DW956" s="7"/>
      <c r="DX956" s="7"/>
      <c r="DY956" s="7"/>
      <c r="DZ956" s="7"/>
      <c r="EA956" s="7"/>
      <c r="EB956" s="7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  <c r="GJ956" s="7"/>
      <c r="GK956" s="7"/>
      <c r="GL956" s="7"/>
      <c r="GM956" s="7"/>
      <c r="GN956" s="7"/>
      <c r="GO956" s="7"/>
      <c r="GP956" s="7"/>
      <c r="GQ956" s="7"/>
      <c r="GR956" s="7"/>
      <c r="GS956" s="7"/>
      <c r="GT956" s="7"/>
      <c r="GU956" s="7"/>
      <c r="GV956" s="7"/>
      <c r="GW956" s="7"/>
      <c r="GX956" s="7"/>
      <c r="GY956" s="7"/>
      <c r="GZ956" s="7"/>
      <c r="HA956" s="7"/>
      <c r="HB956" s="7"/>
      <c r="HC956" s="7"/>
      <c r="HD956" s="7"/>
      <c r="HE956" s="7"/>
      <c r="HF956" s="7"/>
      <c r="HG956" s="7"/>
      <c r="HH956" s="7"/>
      <c r="HI956" s="7"/>
      <c r="HJ956" s="7"/>
      <c r="HK956" s="7"/>
      <c r="HL956" s="7"/>
      <c r="HM956" s="7"/>
      <c r="HN956" s="7"/>
      <c r="HO956" s="7"/>
      <c r="HP956" s="7"/>
      <c r="HQ956" s="7"/>
      <c r="HR956" s="7"/>
      <c r="HS956" s="7"/>
      <c r="HT956" s="7"/>
      <c r="HU956" s="7"/>
      <c r="HV956" s="7"/>
      <c r="HW956" s="7"/>
      <c r="HX956" s="7"/>
      <c r="HY956" s="7"/>
      <c r="HZ956" s="7"/>
      <c r="IA956" s="7"/>
      <c r="IB956" s="7"/>
      <c r="IC956" s="7"/>
      <c r="ID956" s="7"/>
      <c r="IE956" s="7"/>
      <c r="IF956" s="7"/>
      <c r="IG956" s="7"/>
      <c r="IH956" s="7"/>
      <c r="II956" s="7"/>
      <c r="IJ956" s="7"/>
      <c r="IK956" s="7"/>
      <c r="IL956" s="7"/>
      <c r="IM956" s="7"/>
      <c r="IN956" s="7"/>
      <c r="IO956" s="7"/>
      <c r="IP956" s="7"/>
      <c r="IQ956" s="7"/>
      <c r="IR956" s="7"/>
      <c r="IS956" s="7"/>
      <c r="IT956" s="7"/>
      <c r="IU956" s="7"/>
      <c r="IV956" s="7"/>
      <c r="IW956" s="7"/>
      <c r="IX956" s="7"/>
    </row>
    <row r="957" spans="1:258" ht="21.95" customHeight="1" x14ac:dyDescent="0.25">
      <c r="A957" s="53" t="s">
        <v>1151</v>
      </c>
      <c r="B957" s="8" t="s">
        <v>782</v>
      </c>
      <c r="C957" s="2">
        <f t="shared" si="589"/>
        <v>1837000</v>
      </c>
      <c r="D957" s="3">
        <f t="shared" si="584"/>
        <v>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11">
        <v>0</v>
      </c>
      <c r="L957" s="3">
        <v>0</v>
      </c>
      <c r="M957" s="3">
        <v>334</v>
      </c>
      <c r="N957" s="3">
        <f t="shared" si="593"/>
        <v>1837000</v>
      </c>
      <c r="O957" s="3">
        <v>0</v>
      </c>
      <c r="P957" s="3">
        <v>0</v>
      </c>
      <c r="Q957" s="3">
        <v>0</v>
      </c>
      <c r="R957" s="3">
        <f t="shared" si="586"/>
        <v>0</v>
      </c>
      <c r="S957" s="3">
        <v>0</v>
      </c>
      <c r="T957" s="5">
        <v>0</v>
      </c>
      <c r="U957" s="3">
        <v>0</v>
      </c>
      <c r="V957" s="6">
        <f t="shared" si="587"/>
        <v>5500</v>
      </c>
    </row>
    <row r="958" spans="1:258" ht="21.95" customHeight="1" x14ac:dyDescent="0.25">
      <c r="A958" s="53" t="s">
        <v>1152</v>
      </c>
      <c r="B958" s="8" t="s">
        <v>514</v>
      </c>
      <c r="C958" s="2">
        <f t="shared" si="589"/>
        <v>1270500</v>
      </c>
      <c r="D958" s="3">
        <f t="shared" ref="D958" si="595">SUM(E958:J958)</f>
        <v>0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11">
        <v>0</v>
      </c>
      <c r="L958" s="5">
        <v>0</v>
      </c>
      <c r="M958" s="5">
        <v>231</v>
      </c>
      <c r="N958" s="3">
        <f t="shared" si="593"/>
        <v>1270500</v>
      </c>
      <c r="O958" s="5">
        <v>0</v>
      </c>
      <c r="P958" s="5">
        <v>0</v>
      </c>
      <c r="Q958" s="5">
        <v>0</v>
      </c>
      <c r="R958" s="3">
        <f t="shared" si="586"/>
        <v>0</v>
      </c>
      <c r="S958" s="5">
        <v>0</v>
      </c>
      <c r="T958" s="5">
        <v>0</v>
      </c>
      <c r="U958" s="5">
        <v>0</v>
      </c>
      <c r="V958" s="6">
        <f t="shared" si="587"/>
        <v>5500</v>
      </c>
    </row>
    <row r="959" spans="1:258" s="26" customFormat="1" ht="21.95" customHeight="1" x14ac:dyDescent="0.25">
      <c r="A959" s="53" t="s">
        <v>1153</v>
      </c>
      <c r="B959" s="23" t="s">
        <v>783</v>
      </c>
      <c r="C959" s="2">
        <f t="shared" si="589"/>
        <v>4168866</v>
      </c>
      <c r="D959" s="3">
        <f t="shared" si="584"/>
        <v>0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11">
        <v>0</v>
      </c>
      <c r="L959" s="3">
        <v>0</v>
      </c>
      <c r="M959" s="3">
        <v>1131</v>
      </c>
      <c r="N959" s="3">
        <f>M959*3686</f>
        <v>4168866</v>
      </c>
      <c r="O959" s="3">
        <v>0</v>
      </c>
      <c r="P959" s="3">
        <v>0</v>
      </c>
      <c r="Q959" s="3">
        <v>0</v>
      </c>
      <c r="R959" s="3">
        <f t="shared" si="586"/>
        <v>0</v>
      </c>
      <c r="S959" s="3">
        <v>0</v>
      </c>
      <c r="T959" s="5">
        <v>0</v>
      </c>
      <c r="U959" s="3">
        <v>0</v>
      </c>
      <c r="V959" s="6">
        <f t="shared" si="587"/>
        <v>3686</v>
      </c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  <c r="CU959" s="7"/>
      <c r="CV959" s="7"/>
      <c r="CW959" s="7"/>
      <c r="CX959" s="7"/>
      <c r="CY959" s="7"/>
      <c r="CZ959" s="7"/>
      <c r="DA959" s="7"/>
      <c r="DB959" s="7"/>
      <c r="DC959" s="7"/>
      <c r="DD959" s="7"/>
      <c r="DE959" s="7"/>
      <c r="DF959" s="7"/>
      <c r="DG959" s="7"/>
      <c r="DH959" s="7"/>
      <c r="DI959" s="7"/>
      <c r="DJ959" s="7"/>
      <c r="DK959" s="7"/>
      <c r="DL959" s="7"/>
      <c r="DM959" s="7"/>
      <c r="DN959" s="7"/>
      <c r="DO959" s="7"/>
      <c r="DP959" s="7"/>
      <c r="DQ959" s="7"/>
      <c r="DR959" s="7"/>
      <c r="DS959" s="7"/>
      <c r="DT959" s="7"/>
      <c r="DU959" s="7"/>
      <c r="DV959" s="7"/>
      <c r="DW959" s="7"/>
      <c r="DX959" s="7"/>
      <c r="DY959" s="7"/>
      <c r="DZ959" s="7"/>
      <c r="EA959" s="7"/>
      <c r="EB959" s="7"/>
      <c r="EC959" s="7"/>
      <c r="ED959" s="7"/>
      <c r="EE959" s="7"/>
      <c r="EF959" s="7"/>
      <c r="EG959" s="7"/>
      <c r="EH959" s="7"/>
      <c r="EI959" s="7"/>
      <c r="EJ959" s="7"/>
      <c r="EK959" s="7"/>
      <c r="EL959" s="7"/>
      <c r="EM959" s="7"/>
      <c r="EN959" s="7"/>
      <c r="EO959" s="7"/>
      <c r="EP959" s="7"/>
      <c r="EQ959" s="7"/>
      <c r="ER959" s="7"/>
      <c r="ES959" s="7"/>
      <c r="ET959" s="7"/>
      <c r="EU959" s="7"/>
      <c r="EV959" s="7"/>
      <c r="EW959" s="7"/>
      <c r="EX959" s="7"/>
      <c r="EY959" s="7"/>
      <c r="EZ959" s="7"/>
      <c r="FA959" s="7"/>
      <c r="FB959" s="7"/>
      <c r="FC959" s="7"/>
      <c r="FD959" s="7"/>
      <c r="FE959" s="7"/>
      <c r="FF959" s="7"/>
      <c r="FG959" s="7"/>
      <c r="FH959" s="7"/>
      <c r="FI959" s="7"/>
      <c r="FJ959" s="7"/>
      <c r="FK959" s="7"/>
      <c r="FL959" s="7"/>
      <c r="FM959" s="7"/>
      <c r="FN959" s="7"/>
      <c r="FO959" s="7"/>
      <c r="FP959" s="7"/>
      <c r="FQ959" s="7"/>
      <c r="FR959" s="7"/>
      <c r="FS959" s="7"/>
      <c r="FT959" s="7"/>
      <c r="FU959" s="7"/>
      <c r="FV959" s="7"/>
      <c r="FW959" s="7"/>
      <c r="FX959" s="7"/>
      <c r="FY959" s="7"/>
      <c r="FZ959" s="7"/>
      <c r="GA959" s="7"/>
      <c r="GB959" s="7"/>
      <c r="GC959" s="7"/>
      <c r="GD959" s="7"/>
      <c r="GE959" s="7"/>
      <c r="GF959" s="7"/>
      <c r="GG959" s="7"/>
      <c r="GH959" s="7"/>
      <c r="GI959" s="7"/>
      <c r="GJ959" s="7"/>
      <c r="GK959" s="7"/>
      <c r="GL959" s="7"/>
      <c r="GM959" s="7"/>
      <c r="GN959" s="7"/>
      <c r="GO959" s="7"/>
      <c r="GP959" s="7"/>
      <c r="GQ959" s="7"/>
      <c r="GR959" s="7"/>
      <c r="GS959" s="7"/>
      <c r="GT959" s="7"/>
      <c r="GU959" s="7"/>
      <c r="GV959" s="7"/>
      <c r="GW959" s="7"/>
      <c r="GX959" s="7"/>
      <c r="GY959" s="7"/>
      <c r="GZ959" s="7"/>
      <c r="HA959" s="7"/>
      <c r="HB959" s="7"/>
      <c r="HC959" s="7"/>
      <c r="HD959" s="7"/>
      <c r="HE959" s="7"/>
      <c r="HF959" s="7"/>
      <c r="HG959" s="7"/>
      <c r="HH959" s="7"/>
      <c r="HI959" s="7"/>
      <c r="HJ959" s="7"/>
      <c r="HK959" s="7"/>
      <c r="HL959" s="7"/>
      <c r="HM959" s="7"/>
      <c r="HN959" s="7"/>
      <c r="HO959" s="7"/>
      <c r="HP959" s="7"/>
      <c r="HQ959" s="7"/>
      <c r="HR959" s="7"/>
      <c r="HS959" s="7"/>
      <c r="HT959" s="7"/>
      <c r="HU959" s="7"/>
      <c r="HV959" s="7"/>
      <c r="HW959" s="7"/>
      <c r="HX959" s="7"/>
      <c r="HY959" s="7"/>
      <c r="HZ959" s="7"/>
      <c r="IA959" s="7"/>
      <c r="IB959" s="7"/>
      <c r="IC959" s="7"/>
      <c r="ID959" s="7"/>
      <c r="IE959" s="7"/>
      <c r="IF959" s="7"/>
      <c r="IG959" s="7"/>
      <c r="IH959" s="7"/>
      <c r="II959" s="7"/>
      <c r="IJ959" s="7"/>
      <c r="IK959" s="7"/>
      <c r="IL959" s="7"/>
      <c r="IM959" s="7"/>
      <c r="IN959" s="7"/>
      <c r="IO959" s="7"/>
      <c r="IP959" s="7"/>
      <c r="IQ959" s="7"/>
      <c r="IR959" s="7"/>
      <c r="IS959" s="7"/>
      <c r="IT959" s="7"/>
      <c r="IU959" s="7"/>
      <c r="IV959" s="7"/>
      <c r="IW959" s="7"/>
      <c r="IX959" s="7"/>
    </row>
    <row r="960" spans="1:258" s="26" customFormat="1" ht="21.95" customHeight="1" x14ac:dyDescent="0.25">
      <c r="A960" s="53" t="s">
        <v>1154</v>
      </c>
      <c r="B960" s="23" t="s">
        <v>830</v>
      </c>
      <c r="C960" s="2">
        <f t="shared" si="589"/>
        <v>26493260.5</v>
      </c>
      <c r="D960" s="3">
        <f t="shared" si="584"/>
        <v>10684110.5</v>
      </c>
      <c r="E960" s="3">
        <f>350*4546.43</f>
        <v>1591250.5</v>
      </c>
      <c r="F960" s="3">
        <f>1050*4546.43</f>
        <v>4773751.5</v>
      </c>
      <c r="G960" s="3">
        <f>300*4546.43</f>
        <v>1363929</v>
      </c>
      <c r="H960" s="3">
        <f>400*4546.43</f>
        <v>1818572</v>
      </c>
      <c r="I960" s="3">
        <f>250*4546.43</f>
        <v>1136607.5</v>
      </c>
      <c r="J960" s="3">
        <v>0</v>
      </c>
      <c r="K960" s="4">
        <v>0</v>
      </c>
      <c r="L960" s="3">
        <v>0</v>
      </c>
      <c r="M960" s="5">
        <v>1234</v>
      </c>
      <c r="N960" s="3">
        <f t="shared" ref="N960:N962" si="596">M960*5500</f>
        <v>6787000</v>
      </c>
      <c r="O960" s="3">
        <v>0</v>
      </c>
      <c r="P960" s="3">
        <v>0</v>
      </c>
      <c r="Q960" s="3">
        <v>2974.05</v>
      </c>
      <c r="R960" s="3">
        <f t="shared" si="586"/>
        <v>8922150</v>
      </c>
      <c r="S960" s="3">
        <v>0</v>
      </c>
      <c r="T960" s="5">
        <v>0</v>
      </c>
      <c r="U960" s="3">
        <v>100000</v>
      </c>
      <c r="V960" s="6">
        <f t="shared" si="587"/>
        <v>5500</v>
      </c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  <c r="CU960" s="7"/>
      <c r="CV960" s="7"/>
      <c r="CW960" s="7"/>
      <c r="CX960" s="7"/>
      <c r="CY960" s="7"/>
      <c r="CZ960" s="7"/>
      <c r="DA960" s="7"/>
      <c r="DB960" s="7"/>
      <c r="DC960" s="7"/>
      <c r="DD960" s="7"/>
      <c r="DE960" s="7"/>
      <c r="DF960" s="7"/>
      <c r="DG960" s="7"/>
      <c r="DH960" s="7"/>
      <c r="DI960" s="7"/>
      <c r="DJ960" s="7"/>
      <c r="DK960" s="7"/>
      <c r="DL960" s="7"/>
      <c r="DM960" s="7"/>
      <c r="DN960" s="7"/>
      <c r="DO960" s="7"/>
      <c r="DP960" s="7"/>
      <c r="DQ960" s="7"/>
      <c r="DR960" s="7"/>
      <c r="DS960" s="7"/>
      <c r="DT960" s="7"/>
      <c r="DU960" s="7"/>
      <c r="DV960" s="7"/>
      <c r="DW960" s="7"/>
      <c r="DX960" s="7"/>
      <c r="DY960" s="7"/>
      <c r="DZ960" s="7"/>
      <c r="EA960" s="7"/>
      <c r="EB960" s="7"/>
      <c r="EC960" s="7"/>
      <c r="ED960" s="7"/>
      <c r="EE960" s="7"/>
      <c r="EF960" s="7"/>
      <c r="EG960" s="7"/>
      <c r="EH960" s="7"/>
      <c r="EI960" s="7"/>
      <c r="EJ960" s="7"/>
      <c r="EK960" s="7"/>
      <c r="EL960" s="7"/>
      <c r="EM960" s="7"/>
      <c r="EN960" s="7"/>
      <c r="EO960" s="7"/>
      <c r="EP960" s="7"/>
      <c r="EQ960" s="7"/>
      <c r="ER960" s="7"/>
      <c r="ES960" s="7"/>
      <c r="ET960" s="7"/>
      <c r="EU960" s="7"/>
      <c r="EV960" s="7"/>
      <c r="EW960" s="7"/>
      <c r="EX960" s="7"/>
      <c r="EY960" s="7"/>
      <c r="EZ960" s="7"/>
      <c r="FA960" s="7"/>
      <c r="FB960" s="7"/>
      <c r="FC960" s="7"/>
      <c r="FD960" s="7"/>
      <c r="FE960" s="7"/>
      <c r="FF960" s="7"/>
      <c r="FG960" s="7"/>
      <c r="FH960" s="7"/>
      <c r="FI960" s="7"/>
      <c r="FJ960" s="7"/>
      <c r="FK960" s="7"/>
      <c r="FL960" s="7"/>
      <c r="FM960" s="7"/>
      <c r="FN960" s="7"/>
      <c r="FO960" s="7"/>
      <c r="FP960" s="7"/>
      <c r="FQ960" s="7"/>
      <c r="FR960" s="7"/>
      <c r="FS960" s="7"/>
      <c r="FT960" s="7"/>
      <c r="FU960" s="7"/>
      <c r="FV960" s="7"/>
      <c r="FW960" s="7"/>
      <c r="FX960" s="7"/>
      <c r="FY960" s="7"/>
      <c r="FZ960" s="7"/>
      <c r="GA960" s="7"/>
      <c r="GB960" s="7"/>
      <c r="GC960" s="7"/>
      <c r="GD960" s="7"/>
      <c r="GE960" s="7"/>
      <c r="GF960" s="7"/>
      <c r="GG960" s="7"/>
      <c r="GH960" s="7"/>
      <c r="GI960" s="7"/>
      <c r="GJ960" s="7"/>
      <c r="GK960" s="7"/>
      <c r="GL960" s="7"/>
      <c r="GM960" s="7"/>
      <c r="GN960" s="7"/>
      <c r="GO960" s="7"/>
      <c r="GP960" s="7"/>
      <c r="GQ960" s="7"/>
      <c r="GR960" s="7"/>
      <c r="GS960" s="7"/>
      <c r="GT960" s="7"/>
      <c r="GU960" s="7"/>
      <c r="GV960" s="7"/>
      <c r="GW960" s="7"/>
      <c r="GX960" s="7"/>
      <c r="GY960" s="7"/>
      <c r="GZ960" s="7"/>
      <c r="HA960" s="7"/>
      <c r="HB960" s="7"/>
      <c r="HC960" s="7"/>
      <c r="HD960" s="7"/>
      <c r="HE960" s="7"/>
      <c r="HF960" s="7"/>
      <c r="HG960" s="7"/>
      <c r="HH960" s="7"/>
      <c r="HI960" s="7"/>
      <c r="HJ960" s="7"/>
      <c r="HK960" s="7"/>
      <c r="HL960" s="7"/>
      <c r="HM960" s="7"/>
      <c r="HN960" s="7"/>
      <c r="HO960" s="7"/>
      <c r="HP960" s="7"/>
      <c r="HQ960" s="7"/>
      <c r="HR960" s="7"/>
      <c r="HS960" s="7"/>
      <c r="HT960" s="7"/>
      <c r="HU960" s="7"/>
      <c r="HV960" s="7"/>
      <c r="HW960" s="7"/>
      <c r="HX960" s="7"/>
      <c r="HY960" s="7"/>
      <c r="HZ960" s="7"/>
      <c r="IA960" s="7"/>
      <c r="IB960" s="7"/>
      <c r="IC960" s="7"/>
      <c r="ID960" s="7"/>
      <c r="IE960" s="7"/>
      <c r="IF960" s="7"/>
      <c r="IG960" s="7"/>
      <c r="IH960" s="7"/>
      <c r="II960" s="7"/>
      <c r="IJ960" s="7"/>
      <c r="IK960" s="7"/>
      <c r="IL960" s="7"/>
      <c r="IM960" s="7"/>
      <c r="IN960" s="7"/>
      <c r="IO960" s="7"/>
      <c r="IP960" s="7"/>
      <c r="IQ960" s="7"/>
      <c r="IR960" s="7"/>
      <c r="IS960" s="7"/>
      <c r="IT960" s="7"/>
      <c r="IU960" s="7"/>
      <c r="IV960" s="7"/>
      <c r="IW960" s="7"/>
      <c r="IX960" s="7"/>
    </row>
    <row r="961" spans="1:258" ht="21.95" customHeight="1" x14ac:dyDescent="0.25">
      <c r="A961" s="53" t="s">
        <v>1155</v>
      </c>
      <c r="B961" s="8" t="s">
        <v>693</v>
      </c>
      <c r="C961" s="2">
        <f t="shared" si="589"/>
        <v>1595000</v>
      </c>
      <c r="D961" s="3">
        <f t="shared" si="584"/>
        <v>0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4">
        <v>0</v>
      </c>
      <c r="L961" s="3">
        <v>0</v>
      </c>
      <c r="M961" s="3">
        <v>290</v>
      </c>
      <c r="N961" s="3">
        <f t="shared" si="596"/>
        <v>1595000</v>
      </c>
      <c r="O961" s="3">
        <v>0</v>
      </c>
      <c r="P961" s="3">
        <v>0</v>
      </c>
      <c r="Q961" s="3">
        <v>0</v>
      </c>
      <c r="R961" s="3">
        <f t="shared" si="586"/>
        <v>0</v>
      </c>
      <c r="S961" s="3">
        <v>0</v>
      </c>
      <c r="T961" s="5">
        <v>0</v>
      </c>
      <c r="U961" s="3">
        <v>0</v>
      </c>
      <c r="V961" s="6">
        <f t="shared" si="587"/>
        <v>5500</v>
      </c>
    </row>
    <row r="962" spans="1:258" ht="21.95" customHeight="1" x14ac:dyDescent="0.25">
      <c r="A962" s="53" t="s">
        <v>1156</v>
      </c>
      <c r="B962" s="8" t="s">
        <v>694</v>
      </c>
      <c r="C962" s="2">
        <f t="shared" si="589"/>
        <v>1611500</v>
      </c>
      <c r="D962" s="3">
        <f t="shared" si="584"/>
        <v>0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  <c r="K962" s="4">
        <v>0</v>
      </c>
      <c r="L962" s="3">
        <v>0</v>
      </c>
      <c r="M962" s="3">
        <v>293</v>
      </c>
      <c r="N962" s="3">
        <f t="shared" si="596"/>
        <v>1611500</v>
      </c>
      <c r="O962" s="3">
        <v>0</v>
      </c>
      <c r="P962" s="3">
        <v>0</v>
      </c>
      <c r="Q962" s="3">
        <v>0</v>
      </c>
      <c r="R962" s="3">
        <f t="shared" si="586"/>
        <v>0</v>
      </c>
      <c r="S962" s="3">
        <v>0</v>
      </c>
      <c r="T962" s="5">
        <v>0</v>
      </c>
      <c r="U962" s="3">
        <v>0</v>
      </c>
      <c r="V962" s="6">
        <f t="shared" si="587"/>
        <v>5500</v>
      </c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17"/>
      <c r="AS962" s="17"/>
      <c r="AT962" s="17"/>
      <c r="AU962" s="17"/>
      <c r="AV962" s="17"/>
      <c r="AW962" s="17"/>
      <c r="AX962" s="17"/>
      <c r="AY962" s="17"/>
      <c r="AZ962" s="17"/>
      <c r="BA962" s="17"/>
      <c r="BB962" s="17"/>
      <c r="BC962" s="17"/>
      <c r="BD962" s="17"/>
      <c r="BE962" s="17"/>
      <c r="BF962" s="17"/>
      <c r="BG962" s="17"/>
      <c r="BH962" s="17"/>
      <c r="BI962" s="17"/>
      <c r="BJ962" s="17"/>
      <c r="BK962" s="17"/>
      <c r="BL962" s="17"/>
      <c r="BM962" s="17"/>
      <c r="BN962" s="17"/>
      <c r="BO962" s="17"/>
      <c r="BP962" s="17"/>
      <c r="BQ962" s="17"/>
      <c r="BR962" s="17"/>
      <c r="BS962" s="17"/>
      <c r="BT962" s="17"/>
      <c r="BU962" s="17"/>
      <c r="BV962" s="17"/>
      <c r="BW962" s="17"/>
      <c r="BX962" s="17"/>
      <c r="BY962" s="17"/>
      <c r="BZ962" s="17"/>
      <c r="CA962" s="17"/>
      <c r="CB962" s="17"/>
      <c r="CC962" s="17"/>
      <c r="CD962" s="17"/>
      <c r="CE962" s="17"/>
      <c r="CF962" s="17"/>
      <c r="CG962" s="17"/>
      <c r="CH962" s="17"/>
      <c r="CI962" s="17"/>
      <c r="CJ962" s="17"/>
      <c r="CK962" s="17"/>
      <c r="CL962" s="17"/>
      <c r="CM962" s="17"/>
      <c r="CN962" s="17"/>
      <c r="CO962" s="17"/>
      <c r="CP962" s="17"/>
      <c r="CQ962" s="17"/>
      <c r="CR962" s="17"/>
      <c r="CS962" s="17"/>
      <c r="CT962" s="17"/>
      <c r="CU962" s="17"/>
      <c r="CV962" s="17"/>
      <c r="CW962" s="17"/>
      <c r="CX962" s="17"/>
      <c r="CY962" s="17"/>
      <c r="CZ962" s="17"/>
      <c r="DA962" s="17"/>
      <c r="DB962" s="17"/>
      <c r="DC962" s="17"/>
      <c r="DD962" s="17"/>
      <c r="DE962" s="17"/>
      <c r="DF962" s="17"/>
      <c r="DG962" s="17"/>
      <c r="DH962" s="17"/>
      <c r="DI962" s="17"/>
      <c r="DJ962" s="17"/>
      <c r="DK962" s="17"/>
      <c r="DL962" s="17"/>
      <c r="DM962" s="17"/>
      <c r="DN962" s="17"/>
      <c r="DO962" s="17"/>
      <c r="DP962" s="17"/>
      <c r="DQ962" s="17"/>
      <c r="DR962" s="17"/>
      <c r="DS962" s="17"/>
      <c r="DT962" s="17"/>
      <c r="DU962" s="17"/>
      <c r="DV962" s="17"/>
      <c r="DW962" s="17"/>
      <c r="DX962" s="17"/>
      <c r="DY962" s="17"/>
      <c r="DZ962" s="17"/>
      <c r="EA962" s="17"/>
      <c r="EB962" s="17"/>
      <c r="EC962" s="17"/>
      <c r="ED962" s="17"/>
      <c r="EE962" s="17"/>
      <c r="EF962" s="17"/>
      <c r="EG962" s="17"/>
      <c r="EH962" s="17"/>
      <c r="EI962" s="17"/>
      <c r="EJ962" s="17"/>
      <c r="EK962" s="17"/>
      <c r="EL962" s="17"/>
      <c r="EM962" s="17"/>
      <c r="EN962" s="17"/>
      <c r="EO962" s="17"/>
      <c r="EP962" s="17"/>
      <c r="EQ962" s="17"/>
      <c r="ER962" s="17"/>
      <c r="ES962" s="17"/>
      <c r="ET962" s="17"/>
      <c r="EU962" s="17"/>
      <c r="EV962" s="17"/>
      <c r="EW962" s="17"/>
      <c r="EX962" s="17"/>
      <c r="EY962" s="17"/>
      <c r="EZ962" s="17"/>
      <c r="FA962" s="17"/>
      <c r="FB962" s="17"/>
      <c r="FC962" s="17"/>
      <c r="FD962" s="17"/>
      <c r="FE962" s="17"/>
      <c r="FF962" s="17"/>
      <c r="FG962" s="17"/>
      <c r="FH962" s="17"/>
      <c r="FI962" s="17"/>
      <c r="FJ962" s="17"/>
      <c r="FK962" s="17"/>
      <c r="FL962" s="17"/>
      <c r="FM962" s="17"/>
      <c r="FN962" s="17"/>
      <c r="FO962" s="17"/>
      <c r="FP962" s="17"/>
      <c r="FQ962" s="17"/>
      <c r="FR962" s="17"/>
      <c r="FS962" s="17"/>
      <c r="FT962" s="17"/>
      <c r="FU962" s="17"/>
      <c r="FV962" s="17"/>
      <c r="FW962" s="17"/>
      <c r="FX962" s="17"/>
      <c r="FY962" s="17"/>
      <c r="FZ962" s="17"/>
      <c r="GA962" s="17"/>
      <c r="GB962" s="17"/>
      <c r="GC962" s="17"/>
      <c r="GD962" s="17"/>
      <c r="GE962" s="17"/>
      <c r="GF962" s="17"/>
      <c r="GG962" s="17"/>
      <c r="GH962" s="17"/>
      <c r="GI962" s="17"/>
      <c r="GJ962" s="17"/>
      <c r="GK962" s="17"/>
      <c r="GL962" s="17"/>
      <c r="GM962" s="17"/>
      <c r="GN962" s="17"/>
      <c r="GO962" s="17"/>
      <c r="GP962" s="17"/>
      <c r="GQ962" s="17"/>
      <c r="GR962" s="17"/>
      <c r="GS962" s="17"/>
      <c r="GT962" s="17"/>
      <c r="GU962" s="17"/>
      <c r="GV962" s="17"/>
      <c r="GW962" s="17"/>
      <c r="GX962" s="17"/>
      <c r="GY962" s="17"/>
      <c r="GZ962" s="17"/>
      <c r="HA962" s="17"/>
      <c r="HB962" s="17"/>
      <c r="HC962" s="17"/>
      <c r="HD962" s="17"/>
      <c r="HE962" s="17"/>
      <c r="HF962" s="17"/>
      <c r="HG962" s="17"/>
      <c r="HH962" s="17"/>
      <c r="HI962" s="17"/>
      <c r="HJ962" s="17"/>
      <c r="HK962" s="17"/>
      <c r="HL962" s="17"/>
      <c r="HM962" s="17"/>
      <c r="HN962" s="17"/>
      <c r="HO962" s="17"/>
      <c r="HP962" s="17"/>
      <c r="HQ962" s="17"/>
      <c r="HR962" s="17"/>
      <c r="HS962" s="17"/>
      <c r="HT962" s="17"/>
      <c r="HU962" s="17"/>
      <c r="HV962" s="17"/>
      <c r="HW962" s="17"/>
      <c r="HX962" s="17"/>
      <c r="HY962" s="17"/>
      <c r="HZ962" s="17"/>
      <c r="IA962" s="17"/>
      <c r="IB962" s="17"/>
      <c r="IC962" s="17"/>
      <c r="ID962" s="17"/>
      <c r="IE962" s="17"/>
      <c r="IF962" s="17"/>
      <c r="IG962" s="17"/>
      <c r="IH962" s="17"/>
      <c r="II962" s="17"/>
      <c r="IJ962" s="17"/>
      <c r="IK962" s="17"/>
      <c r="IL962" s="17"/>
      <c r="IM962" s="17"/>
      <c r="IN962" s="17"/>
      <c r="IO962" s="17"/>
      <c r="IP962" s="17"/>
      <c r="IQ962" s="17"/>
      <c r="IR962" s="17"/>
      <c r="IS962" s="17"/>
      <c r="IT962" s="17"/>
      <c r="IU962" s="17"/>
      <c r="IV962" s="17"/>
      <c r="IW962" s="17"/>
      <c r="IX962" s="17"/>
    </row>
    <row r="963" spans="1:258" s="17" customFormat="1" ht="21.95" customHeight="1" x14ac:dyDescent="0.25">
      <c r="A963" s="53" t="s">
        <v>1157</v>
      </c>
      <c r="B963" s="8" t="s">
        <v>695</v>
      </c>
      <c r="C963" s="2">
        <f t="shared" si="589"/>
        <v>1611500</v>
      </c>
      <c r="D963" s="3">
        <f t="shared" si="584"/>
        <v>0</v>
      </c>
      <c r="E963" s="3">
        <v>0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4">
        <v>0</v>
      </c>
      <c r="L963" s="3">
        <v>0</v>
      </c>
      <c r="M963" s="3">
        <v>293</v>
      </c>
      <c r="N963" s="3">
        <f t="shared" ref="N963:N977" si="597">M963*5500</f>
        <v>1611500</v>
      </c>
      <c r="O963" s="3">
        <v>0</v>
      </c>
      <c r="P963" s="3">
        <v>0</v>
      </c>
      <c r="Q963" s="3">
        <v>0</v>
      </c>
      <c r="R963" s="3">
        <f t="shared" si="586"/>
        <v>0</v>
      </c>
      <c r="S963" s="3">
        <v>0</v>
      </c>
      <c r="T963" s="5">
        <v>0</v>
      </c>
      <c r="U963" s="3">
        <v>0</v>
      </c>
      <c r="V963" s="6">
        <f t="shared" si="587"/>
        <v>5500</v>
      </c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  <c r="CU963" s="7"/>
      <c r="CV963" s="7"/>
      <c r="CW963" s="7"/>
      <c r="CX963" s="7"/>
      <c r="CY963" s="7"/>
      <c r="CZ963" s="7"/>
      <c r="DA963" s="7"/>
      <c r="DB963" s="7"/>
      <c r="DC963" s="7"/>
      <c r="DD963" s="7"/>
      <c r="DE963" s="7"/>
      <c r="DF963" s="7"/>
      <c r="DG963" s="7"/>
      <c r="DH963" s="7"/>
      <c r="DI963" s="7"/>
      <c r="DJ963" s="7"/>
      <c r="DK963" s="7"/>
      <c r="DL963" s="7"/>
      <c r="DM963" s="7"/>
      <c r="DN963" s="7"/>
      <c r="DO963" s="7"/>
      <c r="DP963" s="7"/>
      <c r="DQ963" s="7"/>
      <c r="DR963" s="7"/>
      <c r="DS963" s="7"/>
      <c r="DT963" s="7"/>
      <c r="DU963" s="7"/>
      <c r="DV963" s="7"/>
      <c r="DW963" s="7"/>
      <c r="DX963" s="7"/>
      <c r="DY963" s="7"/>
      <c r="DZ963" s="7"/>
      <c r="EA963" s="7"/>
      <c r="EB963" s="7"/>
      <c r="EC963" s="7"/>
      <c r="ED963" s="7"/>
      <c r="EE963" s="7"/>
      <c r="EF963" s="7"/>
      <c r="EG963" s="7"/>
      <c r="EH963" s="7"/>
      <c r="EI963" s="7"/>
      <c r="EJ963" s="7"/>
      <c r="EK963" s="7"/>
      <c r="EL963" s="7"/>
      <c r="EM963" s="7"/>
      <c r="EN963" s="7"/>
      <c r="EO963" s="7"/>
      <c r="EP963" s="7"/>
      <c r="EQ963" s="7"/>
      <c r="ER963" s="7"/>
      <c r="ES963" s="7"/>
      <c r="ET963" s="7"/>
      <c r="EU963" s="7"/>
      <c r="EV963" s="7"/>
      <c r="EW963" s="7"/>
      <c r="EX963" s="7"/>
      <c r="EY963" s="7"/>
      <c r="EZ963" s="7"/>
      <c r="FA963" s="7"/>
      <c r="FB963" s="7"/>
      <c r="FC963" s="7"/>
      <c r="FD963" s="7"/>
      <c r="FE963" s="7"/>
      <c r="FF963" s="7"/>
      <c r="FG963" s="7"/>
      <c r="FH963" s="7"/>
      <c r="FI963" s="7"/>
      <c r="FJ963" s="7"/>
      <c r="FK963" s="7"/>
      <c r="FL963" s="7"/>
      <c r="FM963" s="7"/>
      <c r="FN963" s="7"/>
      <c r="FO963" s="7"/>
      <c r="FP963" s="7"/>
      <c r="FQ963" s="7"/>
      <c r="FR963" s="7"/>
      <c r="FS963" s="7"/>
      <c r="FT963" s="7"/>
      <c r="FU963" s="7"/>
      <c r="FV963" s="7"/>
      <c r="FW963" s="7"/>
      <c r="FX963" s="7"/>
      <c r="FY963" s="7"/>
      <c r="FZ963" s="7"/>
      <c r="GA963" s="7"/>
      <c r="GB963" s="7"/>
      <c r="GC963" s="7"/>
      <c r="GD963" s="7"/>
      <c r="GE963" s="7"/>
      <c r="GF963" s="7"/>
      <c r="GG963" s="7"/>
      <c r="GH963" s="7"/>
      <c r="GI963" s="7"/>
      <c r="GJ963" s="7"/>
      <c r="GK963" s="7"/>
      <c r="GL963" s="7"/>
      <c r="GM963" s="7"/>
      <c r="GN963" s="7"/>
      <c r="GO963" s="7"/>
      <c r="GP963" s="7"/>
      <c r="GQ963" s="7"/>
      <c r="GR963" s="7"/>
      <c r="GS963" s="7"/>
      <c r="GT963" s="7"/>
      <c r="GU963" s="7"/>
      <c r="GV963" s="7"/>
      <c r="GW963" s="7"/>
      <c r="GX963" s="7"/>
      <c r="GY963" s="7"/>
      <c r="GZ963" s="7"/>
      <c r="HA963" s="7"/>
      <c r="HB963" s="7"/>
      <c r="HC963" s="7"/>
      <c r="HD963" s="7"/>
      <c r="HE963" s="7"/>
      <c r="HF963" s="7"/>
      <c r="HG963" s="7"/>
      <c r="HH963" s="7"/>
      <c r="HI963" s="7"/>
      <c r="HJ963" s="7"/>
      <c r="HK963" s="7"/>
      <c r="HL963" s="7"/>
      <c r="HM963" s="7"/>
      <c r="HN963" s="7"/>
      <c r="HO963" s="7"/>
      <c r="HP963" s="7"/>
      <c r="HQ963" s="7"/>
      <c r="HR963" s="7"/>
      <c r="HS963" s="7"/>
      <c r="HT963" s="7"/>
      <c r="HU963" s="7"/>
      <c r="HV963" s="7"/>
      <c r="HW963" s="7"/>
      <c r="HX963" s="7"/>
      <c r="HY963" s="7"/>
      <c r="HZ963" s="7"/>
      <c r="IA963" s="7"/>
      <c r="IB963" s="7"/>
      <c r="IC963" s="7"/>
      <c r="ID963" s="7"/>
      <c r="IE963" s="7"/>
      <c r="IF963" s="7"/>
      <c r="IG963" s="7"/>
      <c r="IH963" s="7"/>
      <c r="II963" s="7"/>
      <c r="IJ963" s="7"/>
      <c r="IK963" s="7"/>
      <c r="IL963" s="7"/>
      <c r="IM963" s="7"/>
      <c r="IN963" s="7"/>
      <c r="IO963" s="7"/>
      <c r="IP963" s="7"/>
      <c r="IQ963" s="7"/>
      <c r="IR963" s="7"/>
      <c r="IS963" s="7"/>
      <c r="IT963" s="7"/>
      <c r="IU963" s="7"/>
      <c r="IV963" s="7"/>
      <c r="IW963" s="7"/>
      <c r="IX963" s="7"/>
    </row>
    <row r="964" spans="1:258" ht="21.95" customHeight="1" x14ac:dyDescent="0.25">
      <c r="A964" s="53" t="s">
        <v>1327</v>
      </c>
      <c r="B964" s="8" t="s">
        <v>696</v>
      </c>
      <c r="C964" s="2">
        <f t="shared" si="589"/>
        <v>1617000</v>
      </c>
      <c r="D964" s="3">
        <f t="shared" si="584"/>
        <v>0</v>
      </c>
      <c r="E964" s="3">
        <v>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4">
        <v>0</v>
      </c>
      <c r="L964" s="3">
        <v>0</v>
      </c>
      <c r="M964" s="3">
        <v>294</v>
      </c>
      <c r="N964" s="3">
        <f t="shared" si="597"/>
        <v>1617000</v>
      </c>
      <c r="O964" s="3">
        <v>0</v>
      </c>
      <c r="P964" s="3">
        <v>0</v>
      </c>
      <c r="Q964" s="3">
        <v>0</v>
      </c>
      <c r="R964" s="3">
        <f t="shared" si="586"/>
        <v>0</v>
      </c>
      <c r="S964" s="3">
        <v>0</v>
      </c>
      <c r="T964" s="5">
        <v>0</v>
      </c>
      <c r="U964" s="3">
        <v>0</v>
      </c>
      <c r="V964" s="6">
        <f t="shared" si="587"/>
        <v>5500</v>
      </c>
    </row>
    <row r="965" spans="1:258" ht="21.95" customHeight="1" x14ac:dyDescent="0.25">
      <c r="A965" s="53" t="s">
        <v>1158</v>
      </c>
      <c r="B965" s="8" t="s">
        <v>697</v>
      </c>
      <c r="C965" s="2">
        <f t="shared" si="589"/>
        <v>1600500</v>
      </c>
      <c r="D965" s="3">
        <f t="shared" si="584"/>
        <v>0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  <c r="K965" s="4">
        <v>0</v>
      </c>
      <c r="L965" s="3">
        <v>0</v>
      </c>
      <c r="M965" s="3">
        <v>291</v>
      </c>
      <c r="N965" s="3">
        <f t="shared" si="597"/>
        <v>1600500</v>
      </c>
      <c r="O965" s="3">
        <v>0</v>
      </c>
      <c r="P965" s="3">
        <v>0</v>
      </c>
      <c r="Q965" s="3">
        <v>0</v>
      </c>
      <c r="R965" s="3">
        <f t="shared" si="586"/>
        <v>0</v>
      </c>
      <c r="S965" s="3">
        <v>0</v>
      </c>
      <c r="T965" s="5">
        <v>0</v>
      </c>
      <c r="U965" s="3">
        <v>0</v>
      </c>
      <c r="V965" s="6">
        <f t="shared" si="587"/>
        <v>5500</v>
      </c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  <c r="BM965" s="26"/>
      <c r="BN965" s="26"/>
      <c r="BO965" s="26"/>
      <c r="BP965" s="26"/>
      <c r="BQ965" s="26"/>
      <c r="BR965" s="26"/>
      <c r="BS965" s="26"/>
      <c r="BT965" s="26"/>
      <c r="BU965" s="26"/>
      <c r="BV965" s="26"/>
      <c r="BW965" s="26"/>
      <c r="BX965" s="26"/>
      <c r="BY965" s="26"/>
      <c r="BZ965" s="26"/>
      <c r="CA965" s="26"/>
      <c r="CB965" s="26"/>
      <c r="CC965" s="26"/>
      <c r="CD965" s="26"/>
      <c r="CE965" s="26"/>
      <c r="CF965" s="26"/>
      <c r="CG965" s="26"/>
      <c r="CH965" s="26"/>
      <c r="CI965" s="26"/>
      <c r="CJ965" s="26"/>
      <c r="CK965" s="26"/>
      <c r="CL965" s="26"/>
      <c r="CM965" s="26"/>
      <c r="CN965" s="26"/>
      <c r="CO965" s="26"/>
      <c r="CP965" s="26"/>
      <c r="CQ965" s="26"/>
      <c r="CR965" s="26"/>
      <c r="CS965" s="26"/>
      <c r="CT965" s="26"/>
      <c r="CU965" s="26"/>
      <c r="CV965" s="26"/>
      <c r="CW965" s="26"/>
      <c r="CX965" s="26"/>
      <c r="CY965" s="26"/>
      <c r="CZ965" s="26"/>
      <c r="DA965" s="26"/>
      <c r="DB965" s="26"/>
      <c r="DC965" s="26"/>
      <c r="DD965" s="26"/>
      <c r="DE965" s="26"/>
      <c r="DF965" s="26"/>
      <c r="DG965" s="26"/>
      <c r="DH965" s="26"/>
      <c r="DI965" s="26"/>
      <c r="DJ965" s="26"/>
      <c r="DK965" s="26"/>
      <c r="DL965" s="26"/>
      <c r="DM965" s="26"/>
      <c r="DN965" s="26"/>
      <c r="DO965" s="26"/>
      <c r="DP965" s="26"/>
      <c r="DQ965" s="26"/>
      <c r="DR965" s="26"/>
      <c r="DS965" s="26"/>
      <c r="DT965" s="26"/>
      <c r="DU965" s="26"/>
      <c r="DV965" s="26"/>
      <c r="DW965" s="26"/>
      <c r="DX965" s="26"/>
      <c r="DY965" s="26"/>
      <c r="DZ965" s="26"/>
      <c r="EA965" s="26"/>
      <c r="EB965" s="26"/>
      <c r="EC965" s="26"/>
      <c r="ED965" s="26"/>
      <c r="EE965" s="26"/>
      <c r="EF965" s="26"/>
      <c r="EG965" s="26"/>
      <c r="EH965" s="26"/>
      <c r="EI965" s="26"/>
      <c r="EJ965" s="26"/>
      <c r="EK965" s="26"/>
      <c r="EL965" s="26"/>
      <c r="EM965" s="26"/>
      <c r="EN965" s="26"/>
      <c r="EO965" s="26"/>
      <c r="EP965" s="26"/>
      <c r="EQ965" s="26"/>
      <c r="ER965" s="26"/>
      <c r="ES965" s="26"/>
      <c r="ET965" s="26"/>
      <c r="EU965" s="26"/>
      <c r="EV965" s="26"/>
      <c r="EW965" s="26"/>
      <c r="EX965" s="26"/>
      <c r="EY965" s="26"/>
      <c r="EZ965" s="26"/>
      <c r="FA965" s="26"/>
      <c r="FB965" s="26"/>
      <c r="FC965" s="26"/>
      <c r="FD965" s="26"/>
      <c r="FE965" s="26"/>
      <c r="FF965" s="26"/>
      <c r="FG965" s="26"/>
      <c r="FH965" s="26"/>
      <c r="FI965" s="26"/>
      <c r="FJ965" s="26"/>
      <c r="FK965" s="26"/>
      <c r="FL965" s="26"/>
      <c r="FM965" s="26"/>
      <c r="FN965" s="26"/>
      <c r="FO965" s="26"/>
      <c r="FP965" s="26"/>
      <c r="FQ965" s="26"/>
      <c r="FR965" s="26"/>
      <c r="FS965" s="26"/>
      <c r="FT965" s="26"/>
      <c r="FU965" s="26"/>
      <c r="FV965" s="26"/>
      <c r="FW965" s="26"/>
      <c r="FX965" s="26"/>
      <c r="FY965" s="26"/>
      <c r="FZ965" s="26"/>
      <c r="GA965" s="26"/>
      <c r="GB965" s="26"/>
      <c r="GC965" s="26"/>
      <c r="GD965" s="26"/>
      <c r="GE965" s="26"/>
      <c r="GF965" s="26"/>
      <c r="GG965" s="26"/>
      <c r="GH965" s="26"/>
      <c r="GI965" s="26"/>
      <c r="GJ965" s="26"/>
      <c r="GK965" s="26"/>
      <c r="GL965" s="26"/>
      <c r="GM965" s="26"/>
      <c r="GN965" s="26"/>
      <c r="GO965" s="26"/>
      <c r="GP965" s="26"/>
      <c r="GQ965" s="26"/>
      <c r="GR965" s="26"/>
      <c r="GS965" s="26"/>
      <c r="GT965" s="26"/>
      <c r="GU965" s="26"/>
      <c r="GV965" s="26"/>
      <c r="GW965" s="26"/>
      <c r="GX965" s="26"/>
      <c r="GY965" s="26"/>
      <c r="GZ965" s="26"/>
      <c r="HA965" s="26"/>
      <c r="HB965" s="26"/>
      <c r="HC965" s="26"/>
      <c r="HD965" s="26"/>
      <c r="HE965" s="26"/>
      <c r="HF965" s="26"/>
      <c r="HG965" s="26"/>
      <c r="HH965" s="26"/>
      <c r="HI965" s="26"/>
      <c r="HJ965" s="26"/>
      <c r="HK965" s="26"/>
      <c r="HL965" s="26"/>
      <c r="HM965" s="26"/>
      <c r="HN965" s="26"/>
      <c r="HO965" s="26"/>
      <c r="HP965" s="26"/>
      <c r="HQ965" s="26"/>
      <c r="HR965" s="26"/>
      <c r="HS965" s="26"/>
      <c r="HT965" s="26"/>
      <c r="HU965" s="26"/>
      <c r="HV965" s="26"/>
      <c r="HW965" s="26"/>
      <c r="HX965" s="26"/>
      <c r="HY965" s="26"/>
      <c r="HZ965" s="26"/>
      <c r="IA965" s="26"/>
      <c r="IB965" s="26"/>
      <c r="IC965" s="26"/>
      <c r="ID965" s="26"/>
      <c r="IE965" s="26"/>
      <c r="IF965" s="26"/>
      <c r="IG965" s="26"/>
      <c r="IH965" s="26"/>
      <c r="II965" s="26"/>
      <c r="IJ965" s="26"/>
      <c r="IK965" s="26"/>
      <c r="IL965" s="26"/>
      <c r="IM965" s="26"/>
      <c r="IN965" s="26"/>
      <c r="IO965" s="26"/>
      <c r="IP965" s="26"/>
      <c r="IQ965" s="26"/>
      <c r="IR965" s="26"/>
      <c r="IS965" s="26"/>
      <c r="IT965" s="26"/>
      <c r="IU965" s="26"/>
      <c r="IV965" s="26"/>
      <c r="IW965" s="26"/>
      <c r="IX965" s="26"/>
    </row>
    <row r="966" spans="1:258" ht="21.95" customHeight="1" x14ac:dyDescent="0.25">
      <c r="A966" s="53" t="s">
        <v>1161</v>
      </c>
      <c r="B966" s="8" t="s">
        <v>698</v>
      </c>
      <c r="C966" s="2">
        <f t="shared" si="589"/>
        <v>1589500</v>
      </c>
      <c r="D966" s="3">
        <f t="shared" si="584"/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4">
        <v>0</v>
      </c>
      <c r="L966" s="3">
        <v>0</v>
      </c>
      <c r="M966" s="3">
        <v>289</v>
      </c>
      <c r="N966" s="3">
        <f t="shared" si="597"/>
        <v>1589500</v>
      </c>
      <c r="O966" s="3">
        <v>0</v>
      </c>
      <c r="P966" s="3">
        <v>0</v>
      </c>
      <c r="Q966" s="3">
        <v>0</v>
      </c>
      <c r="R966" s="3">
        <f t="shared" si="586"/>
        <v>0</v>
      </c>
      <c r="S966" s="3">
        <v>0</v>
      </c>
      <c r="T966" s="5">
        <v>0</v>
      </c>
      <c r="U966" s="3">
        <v>0</v>
      </c>
      <c r="V966" s="6">
        <f t="shared" si="587"/>
        <v>5500</v>
      </c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  <c r="BL966" s="26"/>
      <c r="BM966" s="26"/>
      <c r="BN966" s="26"/>
      <c r="BO966" s="26"/>
      <c r="BP966" s="26"/>
      <c r="BQ966" s="26"/>
      <c r="BR966" s="26"/>
      <c r="BS966" s="26"/>
      <c r="BT966" s="26"/>
      <c r="BU966" s="26"/>
      <c r="BV966" s="26"/>
      <c r="BW966" s="26"/>
      <c r="BX966" s="26"/>
      <c r="BY966" s="26"/>
      <c r="BZ966" s="26"/>
      <c r="CA966" s="26"/>
      <c r="CB966" s="26"/>
      <c r="CC966" s="26"/>
      <c r="CD966" s="26"/>
      <c r="CE966" s="26"/>
      <c r="CF966" s="26"/>
      <c r="CG966" s="26"/>
      <c r="CH966" s="26"/>
      <c r="CI966" s="26"/>
      <c r="CJ966" s="26"/>
      <c r="CK966" s="26"/>
      <c r="CL966" s="26"/>
      <c r="CM966" s="26"/>
      <c r="CN966" s="26"/>
      <c r="CO966" s="26"/>
      <c r="CP966" s="26"/>
      <c r="CQ966" s="26"/>
      <c r="CR966" s="26"/>
      <c r="CS966" s="26"/>
      <c r="CT966" s="26"/>
      <c r="CU966" s="26"/>
      <c r="CV966" s="26"/>
      <c r="CW966" s="26"/>
      <c r="CX966" s="26"/>
      <c r="CY966" s="26"/>
      <c r="CZ966" s="26"/>
      <c r="DA966" s="26"/>
      <c r="DB966" s="26"/>
      <c r="DC966" s="26"/>
      <c r="DD966" s="26"/>
      <c r="DE966" s="26"/>
      <c r="DF966" s="26"/>
      <c r="DG966" s="26"/>
      <c r="DH966" s="26"/>
      <c r="DI966" s="26"/>
      <c r="DJ966" s="26"/>
      <c r="DK966" s="26"/>
      <c r="DL966" s="26"/>
      <c r="DM966" s="26"/>
      <c r="DN966" s="26"/>
      <c r="DO966" s="26"/>
      <c r="DP966" s="26"/>
      <c r="DQ966" s="26"/>
      <c r="DR966" s="26"/>
      <c r="DS966" s="26"/>
      <c r="DT966" s="26"/>
      <c r="DU966" s="26"/>
      <c r="DV966" s="26"/>
      <c r="DW966" s="26"/>
      <c r="DX966" s="26"/>
      <c r="DY966" s="26"/>
      <c r="DZ966" s="26"/>
      <c r="EA966" s="26"/>
      <c r="EB966" s="26"/>
      <c r="EC966" s="26"/>
      <c r="ED966" s="26"/>
      <c r="EE966" s="26"/>
      <c r="EF966" s="26"/>
      <c r="EG966" s="26"/>
      <c r="EH966" s="26"/>
      <c r="EI966" s="26"/>
      <c r="EJ966" s="26"/>
      <c r="EK966" s="26"/>
      <c r="EL966" s="26"/>
      <c r="EM966" s="26"/>
      <c r="EN966" s="26"/>
      <c r="EO966" s="26"/>
      <c r="EP966" s="26"/>
      <c r="EQ966" s="26"/>
      <c r="ER966" s="26"/>
      <c r="ES966" s="26"/>
      <c r="ET966" s="26"/>
      <c r="EU966" s="26"/>
      <c r="EV966" s="26"/>
      <c r="EW966" s="26"/>
      <c r="EX966" s="26"/>
      <c r="EY966" s="26"/>
      <c r="EZ966" s="26"/>
      <c r="FA966" s="26"/>
      <c r="FB966" s="26"/>
      <c r="FC966" s="26"/>
      <c r="FD966" s="26"/>
      <c r="FE966" s="26"/>
      <c r="FF966" s="26"/>
      <c r="FG966" s="26"/>
      <c r="FH966" s="26"/>
      <c r="FI966" s="26"/>
      <c r="FJ966" s="26"/>
      <c r="FK966" s="26"/>
      <c r="FL966" s="26"/>
      <c r="FM966" s="26"/>
      <c r="FN966" s="26"/>
      <c r="FO966" s="26"/>
      <c r="FP966" s="26"/>
      <c r="FQ966" s="26"/>
      <c r="FR966" s="26"/>
      <c r="FS966" s="26"/>
      <c r="FT966" s="26"/>
      <c r="FU966" s="26"/>
      <c r="FV966" s="26"/>
      <c r="FW966" s="26"/>
      <c r="FX966" s="26"/>
      <c r="FY966" s="26"/>
      <c r="FZ966" s="26"/>
      <c r="GA966" s="26"/>
      <c r="GB966" s="26"/>
      <c r="GC966" s="26"/>
      <c r="GD966" s="26"/>
      <c r="GE966" s="26"/>
      <c r="GF966" s="26"/>
      <c r="GG966" s="26"/>
      <c r="GH966" s="26"/>
      <c r="GI966" s="26"/>
      <c r="GJ966" s="26"/>
      <c r="GK966" s="26"/>
      <c r="GL966" s="26"/>
      <c r="GM966" s="26"/>
      <c r="GN966" s="26"/>
      <c r="GO966" s="26"/>
      <c r="GP966" s="26"/>
      <c r="GQ966" s="26"/>
      <c r="GR966" s="26"/>
      <c r="GS966" s="26"/>
      <c r="GT966" s="26"/>
      <c r="GU966" s="26"/>
      <c r="GV966" s="26"/>
      <c r="GW966" s="26"/>
      <c r="GX966" s="26"/>
      <c r="GY966" s="26"/>
      <c r="GZ966" s="26"/>
      <c r="HA966" s="26"/>
      <c r="HB966" s="26"/>
      <c r="HC966" s="26"/>
      <c r="HD966" s="26"/>
      <c r="HE966" s="26"/>
      <c r="HF966" s="26"/>
      <c r="HG966" s="26"/>
      <c r="HH966" s="26"/>
      <c r="HI966" s="26"/>
      <c r="HJ966" s="26"/>
      <c r="HK966" s="26"/>
      <c r="HL966" s="26"/>
      <c r="HM966" s="26"/>
      <c r="HN966" s="26"/>
      <c r="HO966" s="26"/>
      <c r="HP966" s="26"/>
      <c r="HQ966" s="26"/>
      <c r="HR966" s="26"/>
      <c r="HS966" s="26"/>
      <c r="HT966" s="26"/>
      <c r="HU966" s="26"/>
      <c r="HV966" s="26"/>
      <c r="HW966" s="26"/>
      <c r="HX966" s="26"/>
      <c r="HY966" s="26"/>
      <c r="HZ966" s="26"/>
      <c r="IA966" s="26"/>
      <c r="IB966" s="26"/>
      <c r="IC966" s="26"/>
      <c r="ID966" s="26"/>
      <c r="IE966" s="26"/>
      <c r="IF966" s="26"/>
      <c r="IG966" s="26"/>
      <c r="IH966" s="26"/>
      <c r="II966" s="26"/>
      <c r="IJ966" s="26"/>
      <c r="IK966" s="26"/>
      <c r="IL966" s="26"/>
      <c r="IM966" s="26"/>
      <c r="IN966" s="26"/>
      <c r="IO966" s="26"/>
      <c r="IP966" s="26"/>
      <c r="IQ966" s="26"/>
      <c r="IR966" s="26"/>
      <c r="IS966" s="26"/>
      <c r="IT966" s="26"/>
      <c r="IU966" s="26"/>
      <c r="IV966" s="26"/>
      <c r="IW966" s="26"/>
      <c r="IX966" s="26"/>
    </row>
    <row r="967" spans="1:258" ht="21.95" customHeight="1" x14ac:dyDescent="0.25">
      <c r="A967" s="53" t="s">
        <v>1328</v>
      </c>
      <c r="B967" s="8" t="s">
        <v>784</v>
      </c>
      <c r="C967" s="2">
        <f t="shared" si="589"/>
        <v>3432000</v>
      </c>
      <c r="D967" s="3">
        <f t="shared" si="584"/>
        <v>0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4">
        <v>0</v>
      </c>
      <c r="L967" s="3">
        <v>0</v>
      </c>
      <c r="M967" s="5">
        <v>624</v>
      </c>
      <c r="N967" s="3">
        <f t="shared" si="597"/>
        <v>3432000</v>
      </c>
      <c r="O967" s="3">
        <v>0</v>
      </c>
      <c r="P967" s="3">
        <v>0</v>
      </c>
      <c r="Q967" s="3">
        <v>0</v>
      </c>
      <c r="R967" s="3">
        <f t="shared" si="586"/>
        <v>0</v>
      </c>
      <c r="S967" s="3">
        <v>0</v>
      </c>
      <c r="T967" s="5">
        <v>0</v>
      </c>
      <c r="U967" s="3">
        <v>0</v>
      </c>
      <c r="V967" s="6">
        <f t="shared" si="587"/>
        <v>5500</v>
      </c>
    </row>
    <row r="968" spans="1:258" ht="21.95" customHeight="1" x14ac:dyDescent="0.25">
      <c r="A968" s="53" t="s">
        <v>1329</v>
      </c>
      <c r="B968" s="8" t="s">
        <v>699</v>
      </c>
      <c r="C968" s="2">
        <f t="shared" si="589"/>
        <v>1606000</v>
      </c>
      <c r="D968" s="3">
        <f t="shared" si="584"/>
        <v>0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4">
        <v>0</v>
      </c>
      <c r="L968" s="3">
        <v>0</v>
      </c>
      <c r="M968" s="3">
        <v>292</v>
      </c>
      <c r="N968" s="3">
        <f t="shared" si="597"/>
        <v>1606000</v>
      </c>
      <c r="O968" s="3">
        <v>0</v>
      </c>
      <c r="P968" s="3">
        <v>0</v>
      </c>
      <c r="Q968" s="3">
        <v>0</v>
      </c>
      <c r="R968" s="3">
        <f t="shared" si="586"/>
        <v>0</v>
      </c>
      <c r="S968" s="3">
        <v>0</v>
      </c>
      <c r="T968" s="5">
        <v>0</v>
      </c>
      <c r="U968" s="3">
        <v>0</v>
      </c>
      <c r="V968" s="6">
        <f t="shared" si="587"/>
        <v>5500</v>
      </c>
    </row>
    <row r="969" spans="1:258" ht="21.95" customHeight="1" x14ac:dyDescent="0.25">
      <c r="A969" s="53" t="s">
        <v>1330</v>
      </c>
      <c r="B969" s="8" t="s">
        <v>700</v>
      </c>
      <c r="C969" s="2">
        <f t="shared" si="589"/>
        <v>1606000</v>
      </c>
      <c r="D969" s="3">
        <f t="shared" si="584"/>
        <v>0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4">
        <v>0</v>
      </c>
      <c r="L969" s="3">
        <v>0</v>
      </c>
      <c r="M969" s="3">
        <v>292</v>
      </c>
      <c r="N969" s="3">
        <f t="shared" si="597"/>
        <v>1606000</v>
      </c>
      <c r="O969" s="3">
        <v>0</v>
      </c>
      <c r="P969" s="3">
        <v>0</v>
      </c>
      <c r="Q969" s="3">
        <v>0</v>
      </c>
      <c r="R969" s="3">
        <f t="shared" si="586"/>
        <v>0</v>
      </c>
      <c r="S969" s="3">
        <v>0</v>
      </c>
      <c r="T969" s="5">
        <v>0</v>
      </c>
      <c r="U969" s="3">
        <v>0</v>
      </c>
      <c r="V969" s="6">
        <f t="shared" si="587"/>
        <v>5500</v>
      </c>
    </row>
    <row r="970" spans="1:258" ht="21.95" customHeight="1" x14ac:dyDescent="0.25">
      <c r="A970" s="53" t="s">
        <v>1331</v>
      </c>
      <c r="B970" s="8" t="s">
        <v>701</v>
      </c>
      <c r="C970" s="2">
        <f t="shared" si="589"/>
        <v>3701500</v>
      </c>
      <c r="D970" s="3">
        <f t="shared" si="584"/>
        <v>0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4">
        <v>0</v>
      </c>
      <c r="L970" s="3">
        <v>0</v>
      </c>
      <c r="M970" s="3">
        <v>673</v>
      </c>
      <c r="N970" s="3">
        <f t="shared" si="597"/>
        <v>3701500</v>
      </c>
      <c r="O970" s="3">
        <v>0</v>
      </c>
      <c r="P970" s="3">
        <v>0</v>
      </c>
      <c r="Q970" s="3">
        <v>0</v>
      </c>
      <c r="R970" s="3">
        <f t="shared" si="586"/>
        <v>0</v>
      </c>
      <c r="S970" s="3">
        <v>0</v>
      </c>
      <c r="T970" s="5">
        <v>0</v>
      </c>
      <c r="U970" s="3">
        <v>0</v>
      </c>
      <c r="V970" s="6">
        <f t="shared" si="587"/>
        <v>5500</v>
      </c>
    </row>
    <row r="971" spans="1:258" ht="21.95" customHeight="1" x14ac:dyDescent="0.25">
      <c r="A971" s="53" t="s">
        <v>1332</v>
      </c>
      <c r="B971" s="8" t="s">
        <v>702</v>
      </c>
      <c r="C971" s="2">
        <f t="shared" si="589"/>
        <v>1633500</v>
      </c>
      <c r="D971" s="3">
        <f t="shared" si="584"/>
        <v>0</v>
      </c>
      <c r="E971" s="3">
        <v>0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4">
        <v>0</v>
      </c>
      <c r="L971" s="3">
        <v>0</v>
      </c>
      <c r="M971" s="3">
        <v>297</v>
      </c>
      <c r="N971" s="3">
        <f t="shared" si="597"/>
        <v>1633500</v>
      </c>
      <c r="O971" s="3">
        <v>0</v>
      </c>
      <c r="P971" s="3">
        <v>0</v>
      </c>
      <c r="Q971" s="3">
        <v>0</v>
      </c>
      <c r="R971" s="3">
        <f t="shared" si="586"/>
        <v>0</v>
      </c>
      <c r="S971" s="3">
        <v>0</v>
      </c>
      <c r="T971" s="5">
        <v>0</v>
      </c>
      <c r="U971" s="3">
        <v>0</v>
      </c>
      <c r="V971" s="6">
        <f t="shared" si="587"/>
        <v>5500</v>
      </c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17"/>
      <c r="AS971" s="17"/>
      <c r="AT971" s="17"/>
      <c r="AU971" s="17"/>
      <c r="AV971" s="17"/>
      <c r="AW971" s="17"/>
      <c r="AX971" s="17"/>
      <c r="AY971" s="17"/>
      <c r="AZ971" s="17"/>
      <c r="BA971" s="17"/>
      <c r="BB971" s="17"/>
      <c r="BC971" s="17"/>
      <c r="BD971" s="17"/>
      <c r="BE971" s="17"/>
      <c r="BF971" s="17"/>
      <c r="BG971" s="17"/>
      <c r="BH971" s="17"/>
      <c r="BI971" s="17"/>
      <c r="BJ971" s="17"/>
      <c r="BK971" s="17"/>
      <c r="BL971" s="17"/>
      <c r="BM971" s="17"/>
      <c r="BN971" s="17"/>
      <c r="BO971" s="17"/>
      <c r="BP971" s="17"/>
      <c r="BQ971" s="17"/>
      <c r="BR971" s="17"/>
      <c r="BS971" s="17"/>
      <c r="BT971" s="17"/>
      <c r="BU971" s="17"/>
      <c r="BV971" s="17"/>
      <c r="BW971" s="17"/>
      <c r="BX971" s="17"/>
      <c r="BY971" s="17"/>
      <c r="BZ971" s="17"/>
      <c r="CA971" s="17"/>
      <c r="CB971" s="17"/>
      <c r="CC971" s="17"/>
      <c r="CD971" s="17"/>
      <c r="CE971" s="17"/>
      <c r="CF971" s="17"/>
      <c r="CG971" s="17"/>
      <c r="CH971" s="17"/>
      <c r="CI971" s="17"/>
      <c r="CJ971" s="17"/>
      <c r="CK971" s="17"/>
      <c r="CL971" s="17"/>
      <c r="CM971" s="17"/>
      <c r="CN971" s="17"/>
      <c r="CO971" s="17"/>
      <c r="CP971" s="17"/>
      <c r="CQ971" s="17"/>
      <c r="CR971" s="17"/>
      <c r="CS971" s="17"/>
      <c r="CT971" s="17"/>
      <c r="CU971" s="17"/>
      <c r="CV971" s="17"/>
      <c r="CW971" s="17"/>
      <c r="CX971" s="17"/>
      <c r="CY971" s="17"/>
      <c r="CZ971" s="17"/>
      <c r="DA971" s="17"/>
      <c r="DB971" s="17"/>
      <c r="DC971" s="17"/>
      <c r="DD971" s="17"/>
      <c r="DE971" s="17"/>
      <c r="DF971" s="17"/>
      <c r="DG971" s="17"/>
      <c r="DH971" s="17"/>
      <c r="DI971" s="17"/>
      <c r="DJ971" s="17"/>
      <c r="DK971" s="17"/>
      <c r="DL971" s="17"/>
      <c r="DM971" s="17"/>
      <c r="DN971" s="17"/>
      <c r="DO971" s="17"/>
      <c r="DP971" s="17"/>
      <c r="DQ971" s="17"/>
      <c r="DR971" s="17"/>
      <c r="DS971" s="17"/>
      <c r="DT971" s="17"/>
      <c r="DU971" s="17"/>
      <c r="DV971" s="17"/>
      <c r="DW971" s="17"/>
      <c r="DX971" s="17"/>
      <c r="DY971" s="17"/>
      <c r="DZ971" s="17"/>
      <c r="EA971" s="17"/>
      <c r="EB971" s="17"/>
      <c r="EC971" s="17"/>
      <c r="ED971" s="17"/>
      <c r="EE971" s="17"/>
      <c r="EF971" s="17"/>
      <c r="EG971" s="17"/>
      <c r="EH971" s="17"/>
      <c r="EI971" s="17"/>
      <c r="EJ971" s="17"/>
      <c r="EK971" s="17"/>
      <c r="EL971" s="17"/>
      <c r="EM971" s="17"/>
      <c r="EN971" s="17"/>
      <c r="EO971" s="17"/>
      <c r="EP971" s="17"/>
      <c r="EQ971" s="17"/>
      <c r="ER971" s="17"/>
      <c r="ES971" s="17"/>
      <c r="ET971" s="17"/>
      <c r="EU971" s="17"/>
      <c r="EV971" s="17"/>
      <c r="EW971" s="17"/>
      <c r="EX971" s="17"/>
      <c r="EY971" s="17"/>
      <c r="EZ971" s="17"/>
      <c r="FA971" s="17"/>
      <c r="FB971" s="17"/>
      <c r="FC971" s="17"/>
      <c r="FD971" s="17"/>
      <c r="FE971" s="17"/>
      <c r="FF971" s="17"/>
      <c r="FG971" s="17"/>
      <c r="FH971" s="17"/>
      <c r="FI971" s="17"/>
      <c r="FJ971" s="17"/>
      <c r="FK971" s="17"/>
      <c r="FL971" s="17"/>
      <c r="FM971" s="17"/>
      <c r="FN971" s="17"/>
      <c r="FO971" s="17"/>
      <c r="FP971" s="17"/>
      <c r="FQ971" s="17"/>
      <c r="FR971" s="17"/>
      <c r="FS971" s="17"/>
      <c r="FT971" s="17"/>
      <c r="FU971" s="17"/>
      <c r="FV971" s="17"/>
      <c r="FW971" s="17"/>
      <c r="FX971" s="17"/>
      <c r="FY971" s="17"/>
      <c r="FZ971" s="17"/>
      <c r="GA971" s="17"/>
      <c r="GB971" s="17"/>
      <c r="GC971" s="17"/>
      <c r="GD971" s="17"/>
      <c r="GE971" s="17"/>
      <c r="GF971" s="17"/>
      <c r="GG971" s="17"/>
      <c r="GH971" s="17"/>
      <c r="GI971" s="17"/>
      <c r="GJ971" s="17"/>
      <c r="GK971" s="17"/>
      <c r="GL971" s="17"/>
      <c r="GM971" s="17"/>
      <c r="GN971" s="17"/>
      <c r="GO971" s="17"/>
      <c r="GP971" s="17"/>
      <c r="GQ971" s="17"/>
      <c r="GR971" s="17"/>
      <c r="GS971" s="17"/>
      <c r="GT971" s="17"/>
      <c r="GU971" s="17"/>
      <c r="GV971" s="17"/>
      <c r="GW971" s="17"/>
      <c r="GX971" s="17"/>
      <c r="GY971" s="17"/>
      <c r="GZ971" s="17"/>
      <c r="HA971" s="17"/>
      <c r="HB971" s="17"/>
      <c r="HC971" s="17"/>
      <c r="HD971" s="17"/>
      <c r="HE971" s="17"/>
      <c r="HF971" s="17"/>
      <c r="HG971" s="17"/>
      <c r="HH971" s="17"/>
      <c r="HI971" s="17"/>
      <c r="HJ971" s="17"/>
      <c r="HK971" s="17"/>
      <c r="HL971" s="17"/>
      <c r="HM971" s="17"/>
      <c r="HN971" s="17"/>
      <c r="HO971" s="17"/>
      <c r="HP971" s="17"/>
      <c r="HQ971" s="17"/>
      <c r="HR971" s="17"/>
      <c r="HS971" s="17"/>
      <c r="HT971" s="17"/>
      <c r="HU971" s="17"/>
      <c r="HV971" s="17"/>
      <c r="HW971" s="17"/>
      <c r="HX971" s="17"/>
      <c r="HY971" s="17"/>
      <c r="HZ971" s="17"/>
      <c r="IA971" s="17"/>
      <c r="IB971" s="17"/>
      <c r="IC971" s="17"/>
      <c r="ID971" s="17"/>
      <c r="IE971" s="17"/>
      <c r="IF971" s="17"/>
      <c r="IG971" s="17"/>
      <c r="IH971" s="17"/>
      <c r="II971" s="17"/>
      <c r="IJ971" s="17"/>
      <c r="IK971" s="17"/>
      <c r="IL971" s="17"/>
      <c r="IM971" s="17"/>
      <c r="IN971" s="17"/>
      <c r="IO971" s="17"/>
      <c r="IP971" s="17"/>
      <c r="IQ971" s="17"/>
      <c r="IR971" s="17"/>
      <c r="IS971" s="17"/>
      <c r="IT971" s="17"/>
      <c r="IU971" s="17"/>
      <c r="IV971" s="17"/>
      <c r="IW971" s="17"/>
      <c r="IX971" s="17"/>
    </row>
    <row r="972" spans="1:258" ht="21.95" customHeight="1" x14ac:dyDescent="0.25">
      <c r="A972" s="53" t="s">
        <v>1333</v>
      </c>
      <c r="B972" s="8" t="s">
        <v>692</v>
      </c>
      <c r="C972" s="2">
        <f>D972+L972+N972+P972+R972+S972+T972+U972</f>
        <v>1606000</v>
      </c>
      <c r="D972" s="3">
        <f>SUM(E972:J972)</f>
        <v>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4">
        <v>0</v>
      </c>
      <c r="L972" s="3">
        <v>0</v>
      </c>
      <c r="M972" s="3">
        <v>292</v>
      </c>
      <c r="N972" s="3">
        <f>M972*5500</f>
        <v>1606000</v>
      </c>
      <c r="O972" s="3">
        <v>0</v>
      </c>
      <c r="P972" s="3">
        <v>0</v>
      </c>
      <c r="Q972" s="3">
        <v>0</v>
      </c>
      <c r="R972" s="3">
        <f>Q972*3000</f>
        <v>0</v>
      </c>
      <c r="S972" s="3">
        <v>0</v>
      </c>
      <c r="T972" s="5">
        <v>0</v>
      </c>
      <c r="U972" s="3">
        <v>0</v>
      </c>
      <c r="V972" s="6">
        <f>N972/M972</f>
        <v>5500</v>
      </c>
    </row>
    <row r="973" spans="1:258" ht="21.95" customHeight="1" x14ac:dyDescent="0.25">
      <c r="A973" s="53" t="s">
        <v>1334</v>
      </c>
      <c r="B973" s="8" t="s">
        <v>417</v>
      </c>
      <c r="C973" s="2">
        <f>D973+L973+N973+P973+R973+S973+T973+U973</f>
        <v>1070597</v>
      </c>
      <c r="D973" s="3">
        <f>SUM(E973:J973)</f>
        <v>870597</v>
      </c>
      <c r="E973" s="3">
        <f>350*829.14</f>
        <v>290199</v>
      </c>
      <c r="F973" s="3">
        <v>0</v>
      </c>
      <c r="G973" s="3">
        <f>300*829.14</f>
        <v>248742</v>
      </c>
      <c r="H973" s="3">
        <f>500*0</f>
        <v>0</v>
      </c>
      <c r="I973" s="3">
        <f>400*829.14</f>
        <v>331656</v>
      </c>
      <c r="J973" s="3">
        <f>350*0</f>
        <v>0</v>
      </c>
      <c r="K973" s="4">
        <v>0</v>
      </c>
      <c r="L973" s="3">
        <v>0</v>
      </c>
      <c r="M973" s="3">
        <v>0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200000</v>
      </c>
      <c r="V973" s="6" t="e">
        <f>N973/M973</f>
        <v>#DIV/0!</v>
      </c>
    </row>
    <row r="974" spans="1:258" ht="21.95" customHeight="1" x14ac:dyDescent="0.25">
      <c r="A974" s="53" t="s">
        <v>1335</v>
      </c>
      <c r="B974" s="8" t="s">
        <v>785</v>
      </c>
      <c r="C974" s="2">
        <f t="shared" si="589"/>
        <v>2931500</v>
      </c>
      <c r="D974" s="3">
        <f t="shared" si="584"/>
        <v>0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  <c r="K974" s="4">
        <v>0</v>
      </c>
      <c r="L974" s="3">
        <v>0</v>
      </c>
      <c r="M974" s="5">
        <v>533</v>
      </c>
      <c r="N974" s="3">
        <f t="shared" si="597"/>
        <v>2931500</v>
      </c>
      <c r="O974" s="3">
        <v>0</v>
      </c>
      <c r="P974" s="3">
        <v>0</v>
      </c>
      <c r="Q974" s="3">
        <v>0</v>
      </c>
      <c r="R974" s="3">
        <f t="shared" si="586"/>
        <v>0</v>
      </c>
      <c r="S974" s="3">
        <v>0</v>
      </c>
      <c r="T974" s="5">
        <v>0</v>
      </c>
      <c r="U974" s="3">
        <v>0</v>
      </c>
      <c r="V974" s="6">
        <f t="shared" si="587"/>
        <v>5500</v>
      </c>
    </row>
    <row r="975" spans="1:258" ht="21.95" customHeight="1" x14ac:dyDescent="0.25">
      <c r="A975" s="53" t="s">
        <v>1336</v>
      </c>
      <c r="B975" s="8" t="s">
        <v>703</v>
      </c>
      <c r="C975" s="2">
        <f t="shared" si="589"/>
        <v>1358500</v>
      </c>
      <c r="D975" s="3">
        <f t="shared" si="584"/>
        <v>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  <c r="K975" s="4">
        <v>0</v>
      </c>
      <c r="L975" s="3">
        <v>0</v>
      </c>
      <c r="M975" s="3">
        <v>247</v>
      </c>
      <c r="N975" s="3">
        <f t="shared" si="597"/>
        <v>1358500</v>
      </c>
      <c r="O975" s="3">
        <v>0</v>
      </c>
      <c r="P975" s="3">
        <v>0</v>
      </c>
      <c r="Q975" s="3">
        <v>0</v>
      </c>
      <c r="R975" s="3">
        <f t="shared" si="586"/>
        <v>0</v>
      </c>
      <c r="S975" s="3">
        <v>0</v>
      </c>
      <c r="T975" s="5">
        <v>0</v>
      </c>
      <c r="U975" s="3">
        <v>0</v>
      </c>
      <c r="V975" s="6">
        <f t="shared" si="587"/>
        <v>5500</v>
      </c>
    </row>
    <row r="976" spans="1:258" ht="21.95" customHeight="1" x14ac:dyDescent="0.25">
      <c r="A976" s="53" t="s">
        <v>1337</v>
      </c>
      <c r="B976" s="8" t="s">
        <v>704</v>
      </c>
      <c r="C976" s="2">
        <f t="shared" si="589"/>
        <v>2755500</v>
      </c>
      <c r="D976" s="3">
        <f t="shared" si="584"/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4">
        <v>0</v>
      </c>
      <c r="L976" s="3">
        <v>0</v>
      </c>
      <c r="M976" s="3">
        <v>501</v>
      </c>
      <c r="N976" s="3">
        <f t="shared" si="597"/>
        <v>2755500</v>
      </c>
      <c r="O976" s="3">
        <v>0</v>
      </c>
      <c r="P976" s="3">
        <v>0</v>
      </c>
      <c r="Q976" s="3">
        <v>0</v>
      </c>
      <c r="R976" s="3">
        <f t="shared" si="586"/>
        <v>0</v>
      </c>
      <c r="S976" s="3">
        <v>0</v>
      </c>
      <c r="T976" s="5">
        <v>0</v>
      </c>
      <c r="U976" s="3">
        <v>0</v>
      </c>
      <c r="V976" s="6">
        <f t="shared" si="587"/>
        <v>5500</v>
      </c>
    </row>
    <row r="977" spans="1:258" ht="21.95" customHeight="1" x14ac:dyDescent="0.25">
      <c r="A977" s="53" t="s">
        <v>1338</v>
      </c>
      <c r="B977" s="8" t="s">
        <v>705</v>
      </c>
      <c r="C977" s="2">
        <f t="shared" si="589"/>
        <v>2148300</v>
      </c>
      <c r="D977" s="3">
        <f t="shared" si="584"/>
        <v>0</v>
      </c>
      <c r="E977" s="3">
        <v>0</v>
      </c>
      <c r="F977" s="3">
        <v>0</v>
      </c>
      <c r="G977" s="3">
        <v>0</v>
      </c>
      <c r="H977" s="3">
        <v>0</v>
      </c>
      <c r="I977" s="3">
        <v>0</v>
      </c>
      <c r="J977" s="3">
        <v>0</v>
      </c>
      <c r="K977" s="4">
        <v>0</v>
      </c>
      <c r="L977" s="3">
        <v>0</v>
      </c>
      <c r="M977" s="3">
        <v>390.6</v>
      </c>
      <c r="N977" s="3">
        <f t="shared" si="597"/>
        <v>2148300</v>
      </c>
      <c r="O977" s="3">
        <v>0</v>
      </c>
      <c r="P977" s="3">
        <v>0</v>
      </c>
      <c r="Q977" s="5">
        <v>0</v>
      </c>
      <c r="R977" s="3">
        <f t="shared" si="586"/>
        <v>0</v>
      </c>
      <c r="S977" s="3">
        <v>0</v>
      </c>
      <c r="T977" s="5">
        <v>0</v>
      </c>
      <c r="U977" s="3">
        <v>0</v>
      </c>
      <c r="V977" s="6">
        <f t="shared" si="587"/>
        <v>5500</v>
      </c>
    </row>
    <row r="978" spans="1:258" ht="21.95" customHeight="1" x14ac:dyDescent="0.25">
      <c r="A978" s="53" t="s">
        <v>1339</v>
      </c>
      <c r="B978" s="8" t="s">
        <v>1563</v>
      </c>
      <c r="C978" s="2">
        <f t="shared" si="589"/>
        <v>10500000</v>
      </c>
      <c r="D978" s="3">
        <f t="shared" si="584"/>
        <v>0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4">
        <v>0</v>
      </c>
      <c r="L978" s="3">
        <v>0</v>
      </c>
      <c r="M978" s="3">
        <v>0</v>
      </c>
      <c r="N978" s="3">
        <v>0</v>
      </c>
      <c r="O978" s="3">
        <v>0</v>
      </c>
      <c r="P978" s="3">
        <v>0</v>
      </c>
      <c r="Q978" s="3">
        <v>3500</v>
      </c>
      <c r="R978" s="3">
        <f t="shared" si="586"/>
        <v>10500000</v>
      </c>
      <c r="S978" s="3">
        <v>0</v>
      </c>
      <c r="T978" s="5">
        <v>0</v>
      </c>
      <c r="U978" s="3">
        <v>0</v>
      </c>
      <c r="V978" s="6" t="e">
        <f t="shared" si="587"/>
        <v>#DIV/0!</v>
      </c>
    </row>
    <row r="979" spans="1:258" ht="21.95" customHeight="1" x14ac:dyDescent="0.25">
      <c r="A979" s="53" t="s">
        <v>1421</v>
      </c>
      <c r="B979" s="8" t="s">
        <v>596</v>
      </c>
      <c r="C979" s="2">
        <f t="shared" si="589"/>
        <v>5953600</v>
      </c>
      <c r="D979" s="3">
        <f t="shared" ref="D979" si="598">SUM(E979:J979)</f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11">
        <v>0</v>
      </c>
      <c r="L979" s="5">
        <v>0</v>
      </c>
      <c r="M979" s="5">
        <v>635.20000000000005</v>
      </c>
      <c r="N979" s="3">
        <f t="shared" ref="N979" si="599">M979*5500</f>
        <v>3493600.0000000005</v>
      </c>
      <c r="O979" s="5">
        <v>0</v>
      </c>
      <c r="P979" s="5">
        <v>0</v>
      </c>
      <c r="Q979" s="5">
        <v>820</v>
      </c>
      <c r="R979" s="3">
        <f t="shared" si="586"/>
        <v>2460000</v>
      </c>
      <c r="S979" s="5">
        <v>0</v>
      </c>
      <c r="T979" s="5">
        <v>0</v>
      </c>
      <c r="U979" s="5">
        <v>0</v>
      </c>
      <c r="V979" s="6">
        <f t="shared" si="587"/>
        <v>5500</v>
      </c>
    </row>
    <row r="980" spans="1:258" ht="21.95" customHeight="1" x14ac:dyDescent="0.25">
      <c r="A980" s="53" t="s">
        <v>1422</v>
      </c>
      <c r="B980" s="8" t="s">
        <v>706</v>
      </c>
      <c r="C980" s="2">
        <f t="shared" si="589"/>
        <v>2863300</v>
      </c>
      <c r="D980" s="3">
        <f t="shared" si="584"/>
        <v>0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  <c r="K980" s="4">
        <v>0</v>
      </c>
      <c r="L980" s="3">
        <v>0</v>
      </c>
      <c r="M980" s="3">
        <v>520.6</v>
      </c>
      <c r="N980" s="3">
        <f t="shared" ref="N980:N984" si="600">M980*5500</f>
        <v>2863300</v>
      </c>
      <c r="O980" s="3">
        <v>0</v>
      </c>
      <c r="P980" s="3">
        <v>0</v>
      </c>
      <c r="Q980" s="5">
        <v>0</v>
      </c>
      <c r="R980" s="3">
        <f t="shared" si="586"/>
        <v>0</v>
      </c>
      <c r="S980" s="3">
        <v>0</v>
      </c>
      <c r="T980" s="5">
        <v>0</v>
      </c>
      <c r="U980" s="3">
        <v>0</v>
      </c>
      <c r="V980" s="6">
        <f t="shared" si="587"/>
        <v>5500</v>
      </c>
    </row>
    <row r="981" spans="1:258" ht="21.95" customHeight="1" x14ac:dyDescent="0.25">
      <c r="A981" s="53" t="s">
        <v>1423</v>
      </c>
      <c r="B981" s="8" t="s">
        <v>707</v>
      </c>
      <c r="C981" s="2">
        <f t="shared" si="589"/>
        <v>1611500</v>
      </c>
      <c r="D981" s="3">
        <f t="shared" si="584"/>
        <v>0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4">
        <v>0</v>
      </c>
      <c r="L981" s="3">
        <v>0</v>
      </c>
      <c r="M981" s="3">
        <v>293</v>
      </c>
      <c r="N981" s="3">
        <f t="shared" si="600"/>
        <v>1611500</v>
      </c>
      <c r="O981" s="3">
        <v>0</v>
      </c>
      <c r="P981" s="3">
        <v>0</v>
      </c>
      <c r="Q981" s="5">
        <v>0</v>
      </c>
      <c r="R981" s="3">
        <f t="shared" si="586"/>
        <v>0</v>
      </c>
      <c r="S981" s="3">
        <v>0</v>
      </c>
      <c r="T981" s="5">
        <v>0</v>
      </c>
      <c r="U981" s="3">
        <v>0</v>
      </c>
      <c r="V981" s="6">
        <f t="shared" si="587"/>
        <v>5500</v>
      </c>
    </row>
    <row r="982" spans="1:258" ht="21.95" customHeight="1" x14ac:dyDescent="0.25">
      <c r="A982" s="53" t="s">
        <v>1424</v>
      </c>
      <c r="B982" s="23" t="s">
        <v>827</v>
      </c>
      <c r="C982" s="2">
        <f t="shared" si="589"/>
        <v>5694087.5</v>
      </c>
      <c r="D982" s="3">
        <f t="shared" si="584"/>
        <v>1286037.5</v>
      </c>
      <c r="E982" s="3">
        <f>350*547.25</f>
        <v>191537.5</v>
      </c>
      <c r="F982" s="3">
        <f>1050*547.25</f>
        <v>574612.5</v>
      </c>
      <c r="G982" s="3">
        <f>300*547.25</f>
        <v>164175</v>
      </c>
      <c r="H982" s="3">
        <f>400*547.25</f>
        <v>218900</v>
      </c>
      <c r="I982" s="3">
        <f>250*547.25</f>
        <v>136812.5</v>
      </c>
      <c r="J982" s="3">
        <v>0</v>
      </c>
      <c r="K982" s="4">
        <v>0</v>
      </c>
      <c r="L982" s="3">
        <v>0</v>
      </c>
      <c r="M982" s="5">
        <v>493.1</v>
      </c>
      <c r="N982" s="3">
        <f t="shared" si="600"/>
        <v>2712050</v>
      </c>
      <c r="O982" s="3">
        <v>0</v>
      </c>
      <c r="P982" s="3">
        <v>0</v>
      </c>
      <c r="Q982" s="3">
        <v>532</v>
      </c>
      <c r="R982" s="3">
        <f t="shared" si="586"/>
        <v>1596000</v>
      </c>
      <c r="S982" s="3">
        <v>0</v>
      </c>
      <c r="T982" s="5">
        <v>0</v>
      </c>
      <c r="U982" s="3">
        <v>100000</v>
      </c>
      <c r="V982" s="6">
        <f t="shared" si="587"/>
        <v>5500</v>
      </c>
    </row>
    <row r="983" spans="1:258" ht="21.95" customHeight="1" x14ac:dyDescent="0.25">
      <c r="A983" s="53" t="s">
        <v>1425</v>
      </c>
      <c r="B983" s="8" t="s">
        <v>525</v>
      </c>
      <c r="C983" s="2">
        <f t="shared" si="589"/>
        <v>2741200</v>
      </c>
      <c r="D983" s="3">
        <f t="shared" ref="D983" si="601">SUM(E983:J983)</f>
        <v>0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  <c r="K983" s="11">
        <v>0</v>
      </c>
      <c r="L983" s="5">
        <v>0</v>
      </c>
      <c r="M983" s="5">
        <v>498.4</v>
      </c>
      <c r="N983" s="3">
        <f t="shared" si="600"/>
        <v>2741200</v>
      </c>
      <c r="O983" s="5">
        <v>0</v>
      </c>
      <c r="P983" s="5">
        <v>0</v>
      </c>
      <c r="Q983" s="5">
        <v>0</v>
      </c>
      <c r="R983" s="3">
        <f t="shared" si="586"/>
        <v>0</v>
      </c>
      <c r="S983" s="5">
        <v>0</v>
      </c>
      <c r="T983" s="5">
        <v>0</v>
      </c>
      <c r="U983" s="5">
        <v>0</v>
      </c>
      <c r="V983" s="6">
        <f t="shared" si="587"/>
        <v>5500</v>
      </c>
    </row>
    <row r="984" spans="1:258" ht="21.95" customHeight="1" x14ac:dyDescent="0.25">
      <c r="A984" s="53" t="s">
        <v>1426</v>
      </c>
      <c r="B984" s="8" t="s">
        <v>787</v>
      </c>
      <c r="C984" s="2">
        <f t="shared" si="589"/>
        <v>1677500</v>
      </c>
      <c r="D984" s="3">
        <f t="shared" si="584"/>
        <v>0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  <c r="K984" s="4">
        <v>0</v>
      </c>
      <c r="L984" s="3">
        <v>0</v>
      </c>
      <c r="M984" s="3">
        <v>305</v>
      </c>
      <c r="N984" s="3">
        <f t="shared" si="600"/>
        <v>1677500</v>
      </c>
      <c r="O984" s="3">
        <v>0</v>
      </c>
      <c r="P984" s="3">
        <v>0</v>
      </c>
      <c r="Q984" s="5">
        <v>0</v>
      </c>
      <c r="R984" s="3">
        <f t="shared" si="586"/>
        <v>0</v>
      </c>
      <c r="S984" s="3">
        <v>0</v>
      </c>
      <c r="T984" s="5">
        <v>0</v>
      </c>
      <c r="U984" s="3">
        <v>0</v>
      </c>
      <c r="V984" s="6">
        <f t="shared" si="587"/>
        <v>5500</v>
      </c>
    </row>
    <row r="985" spans="1:258" ht="21.95" customHeight="1" x14ac:dyDescent="0.25">
      <c r="A985" s="53" t="s">
        <v>1427</v>
      </c>
      <c r="B985" s="8" t="s">
        <v>788</v>
      </c>
      <c r="C985" s="2">
        <f t="shared" si="589"/>
        <v>1415699.9999999998</v>
      </c>
      <c r="D985" s="3">
        <f t="shared" si="584"/>
        <v>0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  <c r="K985" s="4">
        <v>0</v>
      </c>
      <c r="L985" s="3">
        <v>0</v>
      </c>
      <c r="M985" s="3">
        <v>257.39999999999998</v>
      </c>
      <c r="N985" s="3">
        <f t="shared" ref="N985:N994" si="602">M985*5500</f>
        <v>1415699.9999999998</v>
      </c>
      <c r="O985" s="3">
        <v>0</v>
      </c>
      <c r="P985" s="3">
        <v>0</v>
      </c>
      <c r="Q985" s="5">
        <v>0</v>
      </c>
      <c r="R985" s="3">
        <f t="shared" si="586"/>
        <v>0</v>
      </c>
      <c r="S985" s="3">
        <v>0</v>
      </c>
      <c r="T985" s="5">
        <v>0</v>
      </c>
      <c r="U985" s="3">
        <v>0</v>
      </c>
      <c r="V985" s="6">
        <f t="shared" si="587"/>
        <v>5500</v>
      </c>
    </row>
    <row r="986" spans="1:258" ht="21.95" customHeight="1" x14ac:dyDescent="0.25">
      <c r="A986" s="53" t="s">
        <v>1428</v>
      </c>
      <c r="B986" s="8" t="s">
        <v>789</v>
      </c>
      <c r="C986" s="2">
        <f t="shared" si="589"/>
        <v>21761490</v>
      </c>
      <c r="D986" s="3">
        <f t="shared" si="584"/>
        <v>18220490</v>
      </c>
      <c r="E986" s="3">
        <f>350*7753.4</f>
        <v>2713690</v>
      </c>
      <c r="F986" s="3">
        <f>1050*7753.4</f>
        <v>8141070</v>
      </c>
      <c r="G986" s="3">
        <f>300*7753.4</f>
        <v>2326020</v>
      </c>
      <c r="H986" s="3">
        <f>400*7753.4</f>
        <v>3101360</v>
      </c>
      <c r="I986" s="3">
        <f>250*7753.4</f>
        <v>1938350</v>
      </c>
      <c r="J986" s="3">
        <v>0</v>
      </c>
      <c r="K986" s="4">
        <v>0</v>
      </c>
      <c r="L986" s="3">
        <v>0</v>
      </c>
      <c r="M986" s="3">
        <v>438</v>
      </c>
      <c r="N986" s="3">
        <f t="shared" si="602"/>
        <v>2409000</v>
      </c>
      <c r="O986" s="3">
        <v>0</v>
      </c>
      <c r="P986" s="3">
        <v>0</v>
      </c>
      <c r="Q986" s="3">
        <v>344</v>
      </c>
      <c r="R986" s="3">
        <f t="shared" si="586"/>
        <v>1032000</v>
      </c>
      <c r="S986" s="3">
        <v>0</v>
      </c>
      <c r="T986" s="5">
        <v>0</v>
      </c>
      <c r="U986" s="3">
        <v>100000</v>
      </c>
      <c r="V986" s="6">
        <f t="shared" si="587"/>
        <v>5500</v>
      </c>
    </row>
    <row r="987" spans="1:258" ht="21.95" customHeight="1" x14ac:dyDescent="0.25">
      <c r="A987" s="53" t="s">
        <v>1429</v>
      </c>
      <c r="B987" s="8" t="s">
        <v>529</v>
      </c>
      <c r="C987" s="2">
        <f>D987+L987+N987+P987+R987+S987+T987+U987</f>
        <v>2860000</v>
      </c>
      <c r="D987" s="3">
        <f>SUM(E987:J987)</f>
        <v>0</v>
      </c>
      <c r="E987" s="3">
        <v>0</v>
      </c>
      <c r="F987" s="3">
        <v>0</v>
      </c>
      <c r="G987" s="3">
        <v>0</v>
      </c>
      <c r="H987" s="3">
        <v>0</v>
      </c>
      <c r="I987" s="3">
        <v>0</v>
      </c>
      <c r="J987" s="3">
        <v>0</v>
      </c>
      <c r="K987" s="11">
        <v>0</v>
      </c>
      <c r="L987" s="5">
        <v>0</v>
      </c>
      <c r="M987" s="5">
        <v>520</v>
      </c>
      <c r="N987" s="3">
        <f>M987*5500</f>
        <v>2860000</v>
      </c>
      <c r="O987" s="5">
        <v>0</v>
      </c>
      <c r="P987" s="5">
        <v>0</v>
      </c>
      <c r="Q987" s="5">
        <v>0</v>
      </c>
      <c r="R987" s="3">
        <f>Q987*3000</f>
        <v>0</v>
      </c>
      <c r="S987" s="5">
        <v>0</v>
      </c>
      <c r="T987" s="5">
        <v>0</v>
      </c>
      <c r="U987" s="5">
        <v>0</v>
      </c>
      <c r="V987" s="6">
        <f>N987/M987</f>
        <v>5500</v>
      </c>
    </row>
    <row r="988" spans="1:258" s="28" customFormat="1" ht="21.95" customHeight="1" x14ac:dyDescent="0.25">
      <c r="A988" s="53" t="s">
        <v>1430</v>
      </c>
      <c r="B988" s="8" t="s">
        <v>708</v>
      </c>
      <c r="C988" s="2">
        <f t="shared" si="589"/>
        <v>1418449.9999999998</v>
      </c>
      <c r="D988" s="3">
        <f t="shared" si="584"/>
        <v>0</v>
      </c>
      <c r="E988" s="3">
        <v>0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4">
        <v>0</v>
      </c>
      <c r="L988" s="3">
        <v>0</v>
      </c>
      <c r="M988" s="3">
        <v>257.89999999999998</v>
      </c>
      <c r="N988" s="3">
        <f t="shared" si="602"/>
        <v>1418449.9999999998</v>
      </c>
      <c r="O988" s="3">
        <v>0</v>
      </c>
      <c r="P988" s="3">
        <v>0</v>
      </c>
      <c r="Q988" s="5">
        <v>0</v>
      </c>
      <c r="R988" s="3">
        <f t="shared" si="586"/>
        <v>0</v>
      </c>
      <c r="S988" s="3">
        <v>0</v>
      </c>
      <c r="T988" s="5">
        <v>0</v>
      </c>
      <c r="U988" s="3">
        <v>0</v>
      </c>
      <c r="V988" s="6">
        <f t="shared" si="587"/>
        <v>5500</v>
      </c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  <c r="CU988" s="7"/>
      <c r="CV988" s="7"/>
      <c r="CW988" s="7"/>
      <c r="CX988" s="7"/>
      <c r="CY988" s="7"/>
      <c r="CZ988" s="7"/>
      <c r="DA988" s="7"/>
      <c r="DB988" s="7"/>
      <c r="DC988" s="7"/>
      <c r="DD988" s="7"/>
      <c r="DE988" s="7"/>
      <c r="DF988" s="7"/>
      <c r="DG988" s="7"/>
      <c r="DH988" s="7"/>
      <c r="DI988" s="7"/>
      <c r="DJ988" s="7"/>
      <c r="DK988" s="7"/>
      <c r="DL988" s="7"/>
      <c r="DM988" s="7"/>
      <c r="DN988" s="7"/>
      <c r="DO988" s="7"/>
      <c r="DP988" s="7"/>
      <c r="DQ988" s="7"/>
      <c r="DR988" s="7"/>
      <c r="DS988" s="7"/>
      <c r="DT988" s="7"/>
      <c r="DU988" s="7"/>
      <c r="DV988" s="7"/>
      <c r="DW988" s="7"/>
      <c r="DX988" s="7"/>
      <c r="DY988" s="7"/>
      <c r="DZ988" s="7"/>
      <c r="EA988" s="7"/>
      <c r="EB988" s="7"/>
      <c r="EC988" s="7"/>
      <c r="ED988" s="7"/>
      <c r="EE988" s="7"/>
      <c r="EF988" s="7"/>
      <c r="EG988" s="7"/>
      <c r="EH988" s="7"/>
      <c r="EI988" s="7"/>
      <c r="EJ988" s="7"/>
      <c r="EK988" s="7"/>
      <c r="EL988" s="7"/>
      <c r="EM988" s="7"/>
      <c r="EN988" s="7"/>
      <c r="EO988" s="7"/>
      <c r="EP988" s="7"/>
      <c r="EQ988" s="7"/>
      <c r="ER988" s="7"/>
      <c r="ES988" s="7"/>
      <c r="ET988" s="7"/>
      <c r="EU988" s="7"/>
      <c r="EV988" s="7"/>
      <c r="EW988" s="7"/>
      <c r="EX988" s="7"/>
      <c r="EY988" s="7"/>
      <c r="EZ988" s="7"/>
      <c r="FA988" s="7"/>
      <c r="FB988" s="7"/>
      <c r="FC988" s="7"/>
      <c r="FD988" s="7"/>
      <c r="FE988" s="7"/>
      <c r="FF988" s="7"/>
      <c r="FG988" s="7"/>
      <c r="FH988" s="7"/>
      <c r="FI988" s="7"/>
      <c r="FJ988" s="7"/>
      <c r="FK988" s="7"/>
      <c r="FL988" s="7"/>
      <c r="FM988" s="7"/>
      <c r="FN988" s="7"/>
      <c r="FO988" s="7"/>
      <c r="FP988" s="7"/>
      <c r="FQ988" s="7"/>
      <c r="FR988" s="7"/>
      <c r="FS988" s="7"/>
      <c r="FT988" s="7"/>
      <c r="FU988" s="7"/>
      <c r="FV988" s="7"/>
      <c r="FW988" s="7"/>
      <c r="FX988" s="7"/>
      <c r="FY988" s="7"/>
      <c r="FZ988" s="7"/>
      <c r="GA988" s="7"/>
      <c r="GB988" s="7"/>
      <c r="GC988" s="7"/>
      <c r="GD988" s="7"/>
      <c r="GE988" s="7"/>
      <c r="GF988" s="7"/>
      <c r="GG988" s="7"/>
      <c r="GH988" s="7"/>
      <c r="GI988" s="7"/>
      <c r="GJ988" s="7"/>
      <c r="GK988" s="7"/>
      <c r="GL988" s="7"/>
      <c r="GM988" s="7"/>
      <c r="GN988" s="7"/>
      <c r="GO988" s="7"/>
      <c r="GP988" s="7"/>
      <c r="GQ988" s="7"/>
      <c r="GR988" s="7"/>
      <c r="GS988" s="7"/>
      <c r="GT988" s="7"/>
      <c r="GU988" s="7"/>
      <c r="GV988" s="7"/>
      <c r="GW988" s="7"/>
      <c r="GX988" s="7"/>
      <c r="GY988" s="7"/>
      <c r="GZ988" s="7"/>
      <c r="HA988" s="7"/>
      <c r="HB988" s="7"/>
      <c r="HC988" s="7"/>
      <c r="HD988" s="7"/>
      <c r="HE988" s="7"/>
      <c r="HF988" s="7"/>
      <c r="HG988" s="7"/>
      <c r="HH988" s="7"/>
      <c r="HI988" s="7"/>
      <c r="HJ988" s="7"/>
      <c r="HK988" s="7"/>
      <c r="HL988" s="7"/>
      <c r="HM988" s="7"/>
      <c r="HN988" s="7"/>
      <c r="HO988" s="7"/>
      <c r="HP988" s="7"/>
      <c r="HQ988" s="7"/>
      <c r="HR988" s="7"/>
      <c r="HS988" s="7"/>
      <c r="HT988" s="7"/>
      <c r="HU988" s="7"/>
      <c r="HV988" s="7"/>
      <c r="HW988" s="7"/>
      <c r="HX988" s="7"/>
      <c r="HY988" s="7"/>
      <c r="HZ988" s="7"/>
      <c r="IA988" s="7"/>
      <c r="IB988" s="7"/>
      <c r="IC988" s="7"/>
      <c r="ID988" s="7"/>
      <c r="IE988" s="7"/>
      <c r="IF988" s="7"/>
      <c r="IG988" s="7"/>
      <c r="IH988" s="7"/>
      <c r="II988" s="7"/>
      <c r="IJ988" s="7"/>
      <c r="IK988" s="7"/>
      <c r="IL988" s="7"/>
      <c r="IM988" s="7"/>
      <c r="IN988" s="7"/>
      <c r="IO988" s="7"/>
      <c r="IP988" s="7"/>
      <c r="IQ988" s="7"/>
      <c r="IR988" s="7"/>
      <c r="IS988" s="7"/>
      <c r="IT988" s="7"/>
      <c r="IU988" s="7"/>
      <c r="IV988" s="7"/>
      <c r="IW988" s="7"/>
      <c r="IX988" s="7"/>
    </row>
    <row r="989" spans="1:258" ht="21.95" customHeight="1" x14ac:dyDescent="0.25">
      <c r="A989" s="53" t="s">
        <v>1431</v>
      </c>
      <c r="B989" s="8" t="s">
        <v>709</v>
      </c>
      <c r="C989" s="2">
        <f t="shared" si="589"/>
        <v>1408000</v>
      </c>
      <c r="D989" s="3">
        <f t="shared" si="584"/>
        <v>0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4">
        <v>0</v>
      </c>
      <c r="L989" s="3">
        <v>0</v>
      </c>
      <c r="M989" s="3">
        <v>256</v>
      </c>
      <c r="N989" s="3">
        <f t="shared" si="602"/>
        <v>1408000</v>
      </c>
      <c r="O989" s="3">
        <v>0</v>
      </c>
      <c r="P989" s="3">
        <v>0</v>
      </c>
      <c r="Q989" s="5">
        <v>0</v>
      </c>
      <c r="R989" s="3">
        <f t="shared" si="586"/>
        <v>0</v>
      </c>
      <c r="S989" s="3">
        <v>0</v>
      </c>
      <c r="T989" s="5">
        <v>0</v>
      </c>
      <c r="U989" s="3">
        <v>0</v>
      </c>
      <c r="V989" s="6">
        <f t="shared" si="587"/>
        <v>5500</v>
      </c>
    </row>
    <row r="990" spans="1:258" ht="21.95" customHeight="1" x14ac:dyDescent="0.25">
      <c r="A990" s="53" t="s">
        <v>1432</v>
      </c>
      <c r="B990" s="23" t="s">
        <v>790</v>
      </c>
      <c r="C990" s="2">
        <f t="shared" si="589"/>
        <v>2695000</v>
      </c>
      <c r="D990" s="3">
        <f t="shared" si="584"/>
        <v>0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  <c r="K990" s="4">
        <v>0</v>
      </c>
      <c r="L990" s="3">
        <v>0</v>
      </c>
      <c r="M990" s="3">
        <v>490</v>
      </c>
      <c r="N990" s="3">
        <f t="shared" si="602"/>
        <v>2695000</v>
      </c>
      <c r="O990" s="3">
        <v>0</v>
      </c>
      <c r="P990" s="3">
        <v>0</v>
      </c>
      <c r="Q990" s="5">
        <v>0</v>
      </c>
      <c r="R990" s="3">
        <f t="shared" si="586"/>
        <v>0</v>
      </c>
      <c r="S990" s="3">
        <v>0</v>
      </c>
      <c r="T990" s="5">
        <v>0</v>
      </c>
      <c r="U990" s="3">
        <v>0</v>
      </c>
      <c r="V990" s="6">
        <f t="shared" si="587"/>
        <v>5500</v>
      </c>
    </row>
    <row r="991" spans="1:258" ht="21.95" customHeight="1" x14ac:dyDescent="0.25">
      <c r="A991" s="53" t="s">
        <v>1433</v>
      </c>
      <c r="B991" s="8" t="s">
        <v>710</v>
      </c>
      <c r="C991" s="2">
        <f t="shared" si="589"/>
        <v>2881450</v>
      </c>
      <c r="D991" s="3">
        <f t="shared" si="584"/>
        <v>0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  <c r="K991" s="4">
        <v>0</v>
      </c>
      <c r="L991" s="3">
        <v>0</v>
      </c>
      <c r="M991" s="3">
        <v>523.9</v>
      </c>
      <c r="N991" s="3">
        <f t="shared" si="602"/>
        <v>2881450</v>
      </c>
      <c r="O991" s="3">
        <v>0</v>
      </c>
      <c r="P991" s="3">
        <v>0</v>
      </c>
      <c r="Q991" s="5">
        <v>0</v>
      </c>
      <c r="R991" s="3">
        <f t="shared" si="586"/>
        <v>0</v>
      </c>
      <c r="S991" s="3">
        <v>0</v>
      </c>
      <c r="T991" s="5">
        <v>0</v>
      </c>
      <c r="U991" s="3">
        <v>0</v>
      </c>
      <c r="V991" s="6">
        <f t="shared" si="587"/>
        <v>5500</v>
      </c>
    </row>
    <row r="992" spans="1:258" ht="21.95" customHeight="1" x14ac:dyDescent="0.25">
      <c r="A992" s="53" t="s">
        <v>1434</v>
      </c>
      <c r="B992" s="8" t="s">
        <v>791</v>
      </c>
      <c r="C992" s="2">
        <f t="shared" si="589"/>
        <v>3140500</v>
      </c>
      <c r="D992" s="3">
        <f t="shared" si="584"/>
        <v>0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4">
        <v>0</v>
      </c>
      <c r="L992" s="3">
        <v>0</v>
      </c>
      <c r="M992" s="3">
        <v>571</v>
      </c>
      <c r="N992" s="3">
        <f t="shared" si="602"/>
        <v>3140500</v>
      </c>
      <c r="O992" s="3">
        <v>0</v>
      </c>
      <c r="P992" s="3">
        <v>0</v>
      </c>
      <c r="Q992" s="5">
        <v>0</v>
      </c>
      <c r="R992" s="3">
        <f t="shared" si="586"/>
        <v>0</v>
      </c>
      <c r="S992" s="3">
        <v>0</v>
      </c>
      <c r="T992" s="5">
        <v>0</v>
      </c>
      <c r="U992" s="3">
        <v>0</v>
      </c>
      <c r="V992" s="6">
        <f t="shared" si="587"/>
        <v>5500</v>
      </c>
    </row>
    <row r="993" spans="1:258" s="29" customFormat="1" ht="21.95" customHeight="1" x14ac:dyDescent="0.25">
      <c r="A993" s="53" t="s">
        <v>1435</v>
      </c>
      <c r="B993" s="8" t="s">
        <v>711</v>
      </c>
      <c r="C993" s="2">
        <f t="shared" si="589"/>
        <v>2743950</v>
      </c>
      <c r="D993" s="3">
        <f t="shared" si="584"/>
        <v>0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4">
        <v>0</v>
      </c>
      <c r="L993" s="3">
        <v>0</v>
      </c>
      <c r="M993" s="3">
        <v>498.9</v>
      </c>
      <c r="N993" s="3">
        <f t="shared" si="602"/>
        <v>2743950</v>
      </c>
      <c r="O993" s="3">
        <v>0</v>
      </c>
      <c r="P993" s="3">
        <v>0</v>
      </c>
      <c r="Q993" s="5">
        <v>0</v>
      </c>
      <c r="R993" s="3">
        <f t="shared" si="586"/>
        <v>0</v>
      </c>
      <c r="S993" s="3">
        <v>0</v>
      </c>
      <c r="T993" s="5">
        <v>0</v>
      </c>
      <c r="U993" s="3">
        <v>0</v>
      </c>
      <c r="V993" s="6">
        <f t="shared" si="587"/>
        <v>5500</v>
      </c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  <c r="CU993" s="7"/>
      <c r="CV993" s="7"/>
      <c r="CW993" s="7"/>
      <c r="CX993" s="7"/>
      <c r="CY993" s="7"/>
      <c r="CZ993" s="7"/>
      <c r="DA993" s="7"/>
      <c r="DB993" s="7"/>
      <c r="DC993" s="7"/>
      <c r="DD993" s="7"/>
      <c r="DE993" s="7"/>
      <c r="DF993" s="7"/>
      <c r="DG993" s="7"/>
      <c r="DH993" s="7"/>
      <c r="DI993" s="7"/>
      <c r="DJ993" s="7"/>
      <c r="DK993" s="7"/>
      <c r="DL993" s="7"/>
      <c r="DM993" s="7"/>
      <c r="DN993" s="7"/>
      <c r="DO993" s="7"/>
      <c r="DP993" s="7"/>
      <c r="DQ993" s="7"/>
      <c r="DR993" s="7"/>
      <c r="DS993" s="7"/>
      <c r="DT993" s="7"/>
      <c r="DU993" s="7"/>
      <c r="DV993" s="7"/>
      <c r="DW993" s="7"/>
      <c r="DX993" s="7"/>
      <c r="DY993" s="7"/>
      <c r="DZ993" s="7"/>
      <c r="EA993" s="7"/>
      <c r="EB993" s="7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  <c r="GJ993" s="7"/>
      <c r="GK993" s="7"/>
      <c r="GL993" s="7"/>
      <c r="GM993" s="7"/>
      <c r="GN993" s="7"/>
      <c r="GO993" s="7"/>
      <c r="GP993" s="7"/>
      <c r="GQ993" s="7"/>
      <c r="GR993" s="7"/>
      <c r="GS993" s="7"/>
      <c r="GT993" s="7"/>
      <c r="GU993" s="7"/>
      <c r="GV993" s="7"/>
      <c r="GW993" s="7"/>
      <c r="GX993" s="7"/>
      <c r="GY993" s="7"/>
      <c r="GZ993" s="7"/>
      <c r="HA993" s="7"/>
      <c r="HB993" s="7"/>
      <c r="HC993" s="7"/>
      <c r="HD993" s="7"/>
      <c r="HE993" s="7"/>
      <c r="HF993" s="7"/>
      <c r="HG993" s="7"/>
      <c r="HH993" s="7"/>
      <c r="HI993" s="7"/>
      <c r="HJ993" s="7"/>
      <c r="HK993" s="7"/>
      <c r="HL993" s="7"/>
      <c r="HM993" s="7"/>
      <c r="HN993" s="7"/>
      <c r="HO993" s="7"/>
      <c r="HP993" s="7"/>
      <c r="HQ993" s="7"/>
      <c r="HR993" s="7"/>
      <c r="HS993" s="7"/>
      <c r="HT993" s="7"/>
      <c r="HU993" s="7"/>
      <c r="HV993" s="7"/>
      <c r="HW993" s="7"/>
      <c r="HX993" s="7"/>
      <c r="HY993" s="7"/>
      <c r="HZ993" s="7"/>
      <c r="IA993" s="7"/>
      <c r="IB993" s="7"/>
      <c r="IC993" s="7"/>
      <c r="ID993" s="7"/>
      <c r="IE993" s="7"/>
      <c r="IF993" s="7"/>
      <c r="IG993" s="7"/>
      <c r="IH993" s="7"/>
      <c r="II993" s="7"/>
      <c r="IJ993" s="7"/>
      <c r="IK993" s="7"/>
      <c r="IL993" s="7"/>
      <c r="IM993" s="7"/>
      <c r="IN993" s="7"/>
      <c r="IO993" s="7"/>
      <c r="IP993" s="7"/>
      <c r="IQ993" s="7"/>
      <c r="IR993" s="7"/>
      <c r="IS993" s="7"/>
      <c r="IT993" s="7"/>
      <c r="IU993" s="7"/>
      <c r="IV993" s="7"/>
      <c r="IW993" s="7"/>
      <c r="IX993" s="7"/>
    </row>
    <row r="994" spans="1:258" ht="21.95" customHeight="1" x14ac:dyDescent="0.25">
      <c r="A994" s="53" t="s">
        <v>1436</v>
      </c>
      <c r="B994" s="8" t="s">
        <v>712</v>
      </c>
      <c r="C994" s="2">
        <f t="shared" si="589"/>
        <v>2743950</v>
      </c>
      <c r="D994" s="3">
        <f t="shared" si="584"/>
        <v>0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  <c r="K994" s="4">
        <v>0</v>
      </c>
      <c r="L994" s="3">
        <v>0</v>
      </c>
      <c r="M994" s="3">
        <v>498.9</v>
      </c>
      <c r="N994" s="3">
        <f t="shared" si="602"/>
        <v>2743950</v>
      </c>
      <c r="O994" s="3">
        <v>0</v>
      </c>
      <c r="P994" s="3">
        <v>0</v>
      </c>
      <c r="Q994" s="5">
        <v>0</v>
      </c>
      <c r="R994" s="3">
        <f t="shared" si="586"/>
        <v>0</v>
      </c>
      <c r="S994" s="3">
        <v>0</v>
      </c>
      <c r="T994" s="5">
        <v>0</v>
      </c>
      <c r="U994" s="3">
        <v>0</v>
      </c>
      <c r="V994" s="6">
        <f t="shared" si="587"/>
        <v>5500</v>
      </c>
    </row>
    <row r="995" spans="1:258" ht="21.95" customHeight="1" x14ac:dyDescent="0.25">
      <c r="A995" s="53" t="s">
        <v>1437</v>
      </c>
      <c r="B995" s="8" t="s">
        <v>792</v>
      </c>
      <c r="C995" s="2">
        <f t="shared" si="589"/>
        <v>5720000</v>
      </c>
      <c r="D995" s="3">
        <f t="shared" si="584"/>
        <v>0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  <c r="K995" s="4">
        <v>0</v>
      </c>
      <c r="L995" s="3">
        <v>0</v>
      </c>
      <c r="M995" s="3">
        <v>1040</v>
      </c>
      <c r="N995" s="3">
        <f t="shared" ref="N995:N1002" si="603">M995*5500</f>
        <v>5720000</v>
      </c>
      <c r="O995" s="3">
        <v>0</v>
      </c>
      <c r="P995" s="3">
        <v>0</v>
      </c>
      <c r="Q995" s="5">
        <v>0</v>
      </c>
      <c r="R995" s="3">
        <f t="shared" si="586"/>
        <v>0</v>
      </c>
      <c r="S995" s="3">
        <v>0</v>
      </c>
      <c r="T995" s="5">
        <v>0</v>
      </c>
      <c r="U995" s="3">
        <v>0</v>
      </c>
      <c r="V995" s="6">
        <f t="shared" si="587"/>
        <v>5500</v>
      </c>
    </row>
    <row r="996" spans="1:258" ht="21.95" customHeight="1" x14ac:dyDescent="0.25">
      <c r="A996" s="53" t="s">
        <v>1438</v>
      </c>
      <c r="B996" s="23" t="s">
        <v>794</v>
      </c>
      <c r="C996" s="2">
        <f>D996+L996+N996+P996+R996+S996+T996+U996</f>
        <v>3371500</v>
      </c>
      <c r="D996" s="3">
        <f>SUM(E996:J996)</f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4">
        <v>0</v>
      </c>
      <c r="L996" s="3">
        <v>0</v>
      </c>
      <c r="M996" s="5">
        <v>613</v>
      </c>
      <c r="N996" s="3">
        <f>M996*5500</f>
        <v>3371500</v>
      </c>
      <c r="O996" s="3">
        <v>0</v>
      </c>
      <c r="P996" s="3">
        <v>0</v>
      </c>
      <c r="Q996" s="5">
        <v>0</v>
      </c>
      <c r="R996" s="3">
        <f>Q996*3000</f>
        <v>0</v>
      </c>
      <c r="S996" s="3">
        <v>0</v>
      </c>
      <c r="T996" s="5">
        <v>0</v>
      </c>
      <c r="U996" s="3">
        <v>0</v>
      </c>
      <c r="V996" s="6">
        <f>N996/M996</f>
        <v>5500</v>
      </c>
    </row>
    <row r="997" spans="1:258" ht="21.95" customHeight="1" x14ac:dyDescent="0.25">
      <c r="A997" s="53" t="s">
        <v>1439</v>
      </c>
      <c r="B997" s="23" t="s">
        <v>533</v>
      </c>
      <c r="C997" s="2">
        <f t="shared" ref="C997" si="604">D997+L997+N997+P997+R997+S997+T997+U997</f>
        <v>1496000</v>
      </c>
      <c r="D997" s="3">
        <f t="shared" ref="D997" si="605">SUM(E997:J997)</f>
        <v>0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  <c r="K997" s="11">
        <v>0</v>
      </c>
      <c r="L997" s="5">
        <v>0</v>
      </c>
      <c r="M997" s="5">
        <v>272</v>
      </c>
      <c r="N997" s="3">
        <f t="shared" ref="N997" si="606">M997*5500</f>
        <v>1496000</v>
      </c>
      <c r="O997" s="5">
        <v>0</v>
      </c>
      <c r="P997" s="5">
        <v>0</v>
      </c>
      <c r="Q997" s="5">
        <v>0</v>
      </c>
      <c r="R997" s="3">
        <f t="shared" ref="R997" si="607">Q997*3000</f>
        <v>0</v>
      </c>
      <c r="S997" s="5">
        <v>0</v>
      </c>
      <c r="T997" s="5">
        <v>0</v>
      </c>
      <c r="U997" s="5">
        <v>0</v>
      </c>
      <c r="V997" s="6">
        <f t="shared" ref="V997" si="608">N997/M997</f>
        <v>5500</v>
      </c>
    </row>
    <row r="998" spans="1:258" ht="21.95" customHeight="1" x14ac:dyDescent="0.25">
      <c r="A998" s="53" t="s">
        <v>1440</v>
      </c>
      <c r="B998" s="23" t="s">
        <v>793</v>
      </c>
      <c r="C998" s="2">
        <f t="shared" si="589"/>
        <v>3602500</v>
      </c>
      <c r="D998" s="3">
        <f t="shared" si="584"/>
        <v>0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  <c r="K998" s="4">
        <v>0</v>
      </c>
      <c r="L998" s="3">
        <v>0</v>
      </c>
      <c r="M998" s="5">
        <v>655</v>
      </c>
      <c r="N998" s="3">
        <f t="shared" si="603"/>
        <v>3602500</v>
      </c>
      <c r="O998" s="3">
        <v>0</v>
      </c>
      <c r="P998" s="3">
        <v>0</v>
      </c>
      <c r="Q998" s="5">
        <v>0</v>
      </c>
      <c r="R998" s="3">
        <f t="shared" ref="R998:R1067" si="609">Q998*3000</f>
        <v>0</v>
      </c>
      <c r="S998" s="3">
        <v>0</v>
      </c>
      <c r="T998" s="5">
        <v>0</v>
      </c>
      <c r="U998" s="3">
        <v>0</v>
      </c>
      <c r="V998" s="6">
        <f t="shared" ref="V998:V1067" si="610">N998/M998</f>
        <v>5500</v>
      </c>
    </row>
    <row r="999" spans="1:258" ht="21.95" customHeight="1" x14ac:dyDescent="0.25">
      <c r="A999" s="53" t="s">
        <v>1441</v>
      </c>
      <c r="B999" s="24" t="s">
        <v>1177</v>
      </c>
      <c r="C999" s="2">
        <f t="shared" si="589"/>
        <v>9162100</v>
      </c>
      <c r="D999" s="3">
        <f t="shared" ref="D999:D1068" si="611">SUM(E999:J999)</f>
        <v>0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  <c r="K999" s="4">
        <v>0</v>
      </c>
      <c r="L999" s="3">
        <v>0</v>
      </c>
      <c r="M999" s="3">
        <v>960.7</v>
      </c>
      <c r="N999" s="3">
        <f t="shared" si="603"/>
        <v>5283850</v>
      </c>
      <c r="O999" s="3">
        <v>0</v>
      </c>
      <c r="P999" s="3">
        <v>0</v>
      </c>
      <c r="Q999" s="3">
        <v>1292.75</v>
      </c>
      <c r="R999" s="3">
        <f t="shared" si="609"/>
        <v>3878250</v>
      </c>
      <c r="S999" s="3">
        <v>0</v>
      </c>
      <c r="T999" s="5">
        <v>0</v>
      </c>
      <c r="U999" s="3">
        <v>0</v>
      </c>
      <c r="V999" s="6">
        <f t="shared" si="610"/>
        <v>5500</v>
      </c>
    </row>
    <row r="1000" spans="1:258" ht="21.95" customHeight="1" x14ac:dyDescent="0.25">
      <c r="A1000" s="53" t="s">
        <v>1442</v>
      </c>
      <c r="B1000" s="8" t="s">
        <v>713</v>
      </c>
      <c r="C1000" s="2">
        <f t="shared" si="589"/>
        <v>1545500</v>
      </c>
      <c r="D1000" s="3">
        <f t="shared" si="611"/>
        <v>0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4">
        <v>0</v>
      </c>
      <c r="L1000" s="3">
        <v>0</v>
      </c>
      <c r="M1000" s="3">
        <v>281</v>
      </c>
      <c r="N1000" s="3">
        <f t="shared" si="603"/>
        <v>1545500</v>
      </c>
      <c r="O1000" s="3">
        <v>0</v>
      </c>
      <c r="P1000" s="3">
        <v>0</v>
      </c>
      <c r="Q1000" s="5">
        <v>0</v>
      </c>
      <c r="R1000" s="3">
        <f t="shared" si="609"/>
        <v>0</v>
      </c>
      <c r="S1000" s="3">
        <v>0</v>
      </c>
      <c r="T1000" s="5">
        <v>0</v>
      </c>
      <c r="U1000" s="3">
        <v>0</v>
      </c>
      <c r="V1000" s="6">
        <f t="shared" si="610"/>
        <v>5500</v>
      </c>
    </row>
    <row r="1001" spans="1:258" ht="21.95" customHeight="1" x14ac:dyDescent="0.25">
      <c r="A1001" s="53" t="s">
        <v>1443</v>
      </c>
      <c r="B1001" s="23" t="s">
        <v>714</v>
      </c>
      <c r="C1001" s="2">
        <f t="shared" ref="C1001:C1073" si="612">D1001+L1001+N1001+P1001+R1001+S1001+T1001+U1001</f>
        <v>5954299.9999999991</v>
      </c>
      <c r="D1001" s="3">
        <f t="shared" si="611"/>
        <v>0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4">
        <v>0</v>
      </c>
      <c r="L1001" s="3">
        <v>0</v>
      </c>
      <c r="M1001" s="5">
        <v>1082.5999999999999</v>
      </c>
      <c r="N1001" s="3">
        <f t="shared" si="603"/>
        <v>5954299.9999999991</v>
      </c>
      <c r="O1001" s="3">
        <v>0</v>
      </c>
      <c r="P1001" s="3">
        <v>0</v>
      </c>
      <c r="Q1001" s="5">
        <v>0</v>
      </c>
      <c r="R1001" s="3">
        <f t="shared" si="609"/>
        <v>0</v>
      </c>
      <c r="S1001" s="3">
        <v>0</v>
      </c>
      <c r="T1001" s="5">
        <v>0</v>
      </c>
      <c r="U1001" s="3">
        <v>0</v>
      </c>
      <c r="V1001" s="6">
        <f t="shared" si="610"/>
        <v>5500</v>
      </c>
    </row>
    <row r="1002" spans="1:258" ht="21.95" customHeight="1" x14ac:dyDescent="0.25">
      <c r="A1002" s="53" t="s">
        <v>1444</v>
      </c>
      <c r="B1002" s="8" t="s">
        <v>797</v>
      </c>
      <c r="C1002" s="2">
        <f t="shared" si="612"/>
        <v>2952950</v>
      </c>
      <c r="D1002" s="3">
        <f t="shared" si="611"/>
        <v>0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4">
        <v>0</v>
      </c>
      <c r="L1002" s="3">
        <v>0</v>
      </c>
      <c r="M1002" s="5">
        <v>536.9</v>
      </c>
      <c r="N1002" s="3">
        <f t="shared" si="603"/>
        <v>2952950</v>
      </c>
      <c r="O1002" s="3">
        <v>0</v>
      </c>
      <c r="P1002" s="3">
        <v>0</v>
      </c>
      <c r="Q1002" s="5">
        <v>0</v>
      </c>
      <c r="R1002" s="3">
        <f t="shared" si="609"/>
        <v>0</v>
      </c>
      <c r="S1002" s="3">
        <v>0</v>
      </c>
      <c r="T1002" s="5">
        <v>0</v>
      </c>
      <c r="U1002" s="3">
        <v>0</v>
      </c>
      <c r="V1002" s="6">
        <f t="shared" si="610"/>
        <v>5500</v>
      </c>
    </row>
    <row r="1003" spans="1:258" s="17" customFormat="1" ht="21.95" customHeight="1" x14ac:dyDescent="0.25">
      <c r="A1003" s="53" t="s">
        <v>1445</v>
      </c>
      <c r="B1003" s="8" t="s">
        <v>795</v>
      </c>
      <c r="C1003" s="2">
        <f>D1003+L1003+N1003+P1003+R1003+S1003+T1003+U1003</f>
        <v>5953200.0000000009</v>
      </c>
      <c r="D1003" s="3">
        <f>SUM(E1003:J1003)</f>
        <v>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4">
        <v>0</v>
      </c>
      <c r="L1003" s="3">
        <v>0</v>
      </c>
      <c r="M1003" s="5">
        <v>1082.4000000000001</v>
      </c>
      <c r="N1003" s="3">
        <f>M1003*5500</f>
        <v>5953200.0000000009</v>
      </c>
      <c r="O1003" s="3">
        <v>0</v>
      </c>
      <c r="P1003" s="3">
        <v>0</v>
      </c>
      <c r="Q1003" s="5">
        <v>0</v>
      </c>
      <c r="R1003" s="3">
        <f>Q1003*3000</f>
        <v>0</v>
      </c>
      <c r="S1003" s="3">
        <v>0</v>
      </c>
      <c r="T1003" s="5">
        <v>0</v>
      </c>
      <c r="U1003" s="3">
        <v>0</v>
      </c>
      <c r="V1003" s="6">
        <f>N1003/M1003</f>
        <v>5500</v>
      </c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  <c r="AZ1003" s="7"/>
      <c r="BA1003" s="7"/>
      <c r="BB1003" s="7"/>
      <c r="BC1003" s="7"/>
      <c r="BD1003" s="7"/>
      <c r="BE1003" s="7"/>
      <c r="BF1003" s="7"/>
      <c r="BG1003" s="7"/>
      <c r="BH1003" s="7"/>
      <c r="BI1003" s="7"/>
      <c r="BJ1003" s="7"/>
      <c r="BK1003" s="7"/>
      <c r="BL1003" s="7"/>
      <c r="BM1003" s="7"/>
      <c r="BN1003" s="7"/>
      <c r="BO1003" s="7"/>
      <c r="BP1003" s="7"/>
      <c r="BQ1003" s="7"/>
      <c r="BR1003" s="7"/>
      <c r="BS1003" s="7"/>
      <c r="BT1003" s="7"/>
      <c r="BU1003" s="7"/>
      <c r="BV1003" s="7"/>
      <c r="BW1003" s="7"/>
      <c r="BX1003" s="7"/>
      <c r="BY1003" s="7"/>
      <c r="BZ1003" s="7"/>
      <c r="CA1003" s="7"/>
      <c r="CB1003" s="7"/>
      <c r="CC1003" s="7"/>
      <c r="CD1003" s="7"/>
      <c r="CE1003" s="7"/>
      <c r="CF1003" s="7"/>
      <c r="CG1003" s="7"/>
      <c r="CH1003" s="7"/>
      <c r="CI1003" s="7"/>
      <c r="CJ1003" s="7"/>
      <c r="CK1003" s="7"/>
      <c r="CL1003" s="7"/>
      <c r="CM1003" s="7"/>
      <c r="CN1003" s="7"/>
      <c r="CO1003" s="7"/>
      <c r="CP1003" s="7"/>
      <c r="CQ1003" s="7"/>
      <c r="CR1003" s="7"/>
      <c r="CS1003" s="7"/>
      <c r="CT1003" s="7"/>
      <c r="CU1003" s="7"/>
      <c r="CV1003" s="7"/>
      <c r="CW1003" s="7"/>
      <c r="CX1003" s="7"/>
      <c r="CY1003" s="7"/>
      <c r="CZ1003" s="7"/>
      <c r="DA1003" s="7"/>
      <c r="DB1003" s="7"/>
      <c r="DC1003" s="7"/>
      <c r="DD1003" s="7"/>
      <c r="DE1003" s="7"/>
      <c r="DF1003" s="7"/>
      <c r="DG1003" s="7"/>
      <c r="DH1003" s="7"/>
      <c r="DI1003" s="7"/>
      <c r="DJ1003" s="7"/>
      <c r="DK1003" s="7"/>
      <c r="DL1003" s="7"/>
      <c r="DM1003" s="7"/>
      <c r="DN1003" s="7"/>
      <c r="DO1003" s="7"/>
      <c r="DP1003" s="7"/>
      <c r="DQ1003" s="7"/>
      <c r="DR1003" s="7"/>
      <c r="DS1003" s="7"/>
      <c r="DT1003" s="7"/>
      <c r="DU1003" s="7"/>
      <c r="DV1003" s="7"/>
      <c r="DW1003" s="7"/>
      <c r="DX1003" s="7"/>
      <c r="DY1003" s="7"/>
      <c r="DZ1003" s="7"/>
      <c r="EA1003" s="7"/>
      <c r="EB1003" s="7"/>
      <c r="EC1003" s="7"/>
      <c r="ED1003" s="7"/>
      <c r="EE1003" s="7"/>
      <c r="EF1003" s="7"/>
      <c r="EG1003" s="7"/>
      <c r="EH1003" s="7"/>
      <c r="EI1003" s="7"/>
      <c r="EJ1003" s="7"/>
      <c r="EK1003" s="7"/>
      <c r="EL1003" s="7"/>
      <c r="EM1003" s="7"/>
      <c r="EN1003" s="7"/>
      <c r="EO1003" s="7"/>
      <c r="EP1003" s="7"/>
      <c r="EQ1003" s="7"/>
      <c r="ER1003" s="7"/>
      <c r="ES1003" s="7"/>
      <c r="ET1003" s="7"/>
      <c r="EU1003" s="7"/>
      <c r="EV1003" s="7"/>
      <c r="EW1003" s="7"/>
      <c r="EX1003" s="7"/>
      <c r="EY1003" s="7"/>
      <c r="EZ1003" s="7"/>
      <c r="FA1003" s="7"/>
      <c r="FB1003" s="7"/>
      <c r="FC1003" s="7"/>
      <c r="FD1003" s="7"/>
      <c r="FE1003" s="7"/>
      <c r="FF1003" s="7"/>
      <c r="FG1003" s="7"/>
      <c r="FH1003" s="7"/>
      <c r="FI1003" s="7"/>
      <c r="FJ1003" s="7"/>
      <c r="FK1003" s="7"/>
      <c r="FL1003" s="7"/>
      <c r="FM1003" s="7"/>
      <c r="FN1003" s="7"/>
      <c r="FO1003" s="7"/>
      <c r="FP1003" s="7"/>
      <c r="FQ1003" s="7"/>
      <c r="FR1003" s="7"/>
      <c r="FS1003" s="7"/>
      <c r="FT1003" s="7"/>
      <c r="FU1003" s="7"/>
      <c r="FV1003" s="7"/>
      <c r="FW1003" s="7"/>
      <c r="FX1003" s="7"/>
      <c r="FY1003" s="7"/>
      <c r="FZ1003" s="7"/>
      <c r="GA1003" s="7"/>
      <c r="GB1003" s="7"/>
      <c r="GC1003" s="7"/>
      <c r="GD1003" s="7"/>
      <c r="GE1003" s="7"/>
      <c r="GF1003" s="7"/>
      <c r="GG1003" s="7"/>
      <c r="GH1003" s="7"/>
      <c r="GI1003" s="7"/>
      <c r="GJ1003" s="7"/>
      <c r="GK1003" s="7"/>
      <c r="GL1003" s="7"/>
      <c r="GM1003" s="7"/>
      <c r="GN1003" s="7"/>
      <c r="GO1003" s="7"/>
      <c r="GP1003" s="7"/>
      <c r="GQ1003" s="7"/>
      <c r="GR1003" s="7"/>
      <c r="GS1003" s="7"/>
      <c r="GT1003" s="7"/>
      <c r="GU1003" s="7"/>
      <c r="GV1003" s="7"/>
      <c r="GW1003" s="7"/>
      <c r="GX1003" s="7"/>
      <c r="GY1003" s="7"/>
      <c r="GZ1003" s="7"/>
      <c r="HA1003" s="7"/>
      <c r="HB1003" s="7"/>
      <c r="HC1003" s="7"/>
      <c r="HD1003" s="7"/>
      <c r="HE1003" s="7"/>
      <c r="HF1003" s="7"/>
      <c r="HG1003" s="7"/>
      <c r="HH1003" s="7"/>
      <c r="HI1003" s="7"/>
      <c r="HJ1003" s="7"/>
      <c r="HK1003" s="7"/>
      <c r="HL1003" s="7"/>
      <c r="HM1003" s="7"/>
      <c r="HN1003" s="7"/>
      <c r="HO1003" s="7"/>
      <c r="HP1003" s="7"/>
      <c r="HQ1003" s="7"/>
      <c r="HR1003" s="7"/>
      <c r="HS1003" s="7"/>
      <c r="HT1003" s="7"/>
      <c r="HU1003" s="7"/>
      <c r="HV1003" s="7"/>
      <c r="HW1003" s="7"/>
      <c r="HX1003" s="7"/>
      <c r="HY1003" s="7"/>
      <c r="HZ1003" s="7"/>
      <c r="IA1003" s="7"/>
      <c r="IB1003" s="7"/>
      <c r="IC1003" s="7"/>
      <c r="ID1003" s="7"/>
      <c r="IE1003" s="7"/>
      <c r="IF1003" s="7"/>
      <c r="IG1003" s="7"/>
      <c r="IH1003" s="7"/>
      <c r="II1003" s="7"/>
      <c r="IJ1003" s="7"/>
      <c r="IK1003" s="7"/>
      <c r="IL1003" s="7"/>
      <c r="IM1003" s="7"/>
      <c r="IN1003" s="7"/>
      <c r="IO1003" s="7"/>
      <c r="IP1003" s="7"/>
      <c r="IQ1003" s="7"/>
      <c r="IR1003" s="7"/>
      <c r="IS1003" s="7"/>
      <c r="IT1003" s="7"/>
      <c r="IU1003" s="7"/>
      <c r="IV1003" s="7"/>
      <c r="IW1003" s="7"/>
      <c r="IX1003" s="7"/>
    </row>
    <row r="1004" spans="1:258" ht="21.95" customHeight="1" x14ac:dyDescent="0.25">
      <c r="A1004" s="53" t="s">
        <v>1446</v>
      </c>
      <c r="B1004" s="8" t="s">
        <v>715</v>
      </c>
      <c r="C1004" s="2">
        <f t="shared" si="612"/>
        <v>3045350.0000000005</v>
      </c>
      <c r="D1004" s="3">
        <f t="shared" si="611"/>
        <v>0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4">
        <v>0</v>
      </c>
      <c r="L1004" s="3">
        <v>0</v>
      </c>
      <c r="M1004" s="3">
        <v>553.70000000000005</v>
      </c>
      <c r="N1004" s="3">
        <f t="shared" ref="N1004:N1012" si="613">M1004*5500</f>
        <v>3045350.0000000005</v>
      </c>
      <c r="O1004" s="3">
        <v>0</v>
      </c>
      <c r="P1004" s="3">
        <v>0</v>
      </c>
      <c r="Q1004" s="5">
        <v>0</v>
      </c>
      <c r="R1004" s="3">
        <f t="shared" si="609"/>
        <v>0</v>
      </c>
      <c r="S1004" s="3">
        <v>0</v>
      </c>
      <c r="T1004" s="5">
        <v>0</v>
      </c>
      <c r="U1004" s="3">
        <v>0</v>
      </c>
      <c r="V1004" s="6">
        <f t="shared" si="610"/>
        <v>5500</v>
      </c>
    </row>
    <row r="1005" spans="1:258" ht="21.95" customHeight="1" x14ac:dyDescent="0.25">
      <c r="A1005" s="53" t="s">
        <v>1447</v>
      </c>
      <c r="B1005" s="8" t="s">
        <v>718</v>
      </c>
      <c r="C1005" s="2">
        <f t="shared" si="612"/>
        <v>2997500</v>
      </c>
      <c r="D1005" s="3">
        <f t="shared" si="611"/>
        <v>0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4">
        <v>0</v>
      </c>
      <c r="L1005" s="3">
        <v>0</v>
      </c>
      <c r="M1005" s="3">
        <v>545</v>
      </c>
      <c r="N1005" s="3">
        <f t="shared" si="613"/>
        <v>2997500</v>
      </c>
      <c r="O1005" s="3">
        <v>0</v>
      </c>
      <c r="P1005" s="3">
        <v>0</v>
      </c>
      <c r="Q1005" s="5">
        <v>0</v>
      </c>
      <c r="R1005" s="3">
        <f t="shared" si="609"/>
        <v>0</v>
      </c>
      <c r="S1005" s="3">
        <v>0</v>
      </c>
      <c r="T1005" s="5">
        <v>0</v>
      </c>
      <c r="U1005" s="3">
        <v>0</v>
      </c>
      <c r="V1005" s="6">
        <f t="shared" si="610"/>
        <v>5500</v>
      </c>
    </row>
    <row r="1006" spans="1:258" ht="21.95" customHeight="1" x14ac:dyDescent="0.25">
      <c r="A1006" s="53" t="s">
        <v>1448</v>
      </c>
      <c r="B1006" s="8" t="s">
        <v>719</v>
      </c>
      <c r="C1006" s="2">
        <f t="shared" si="612"/>
        <v>2392500</v>
      </c>
      <c r="D1006" s="3">
        <f t="shared" si="611"/>
        <v>0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4">
        <v>0</v>
      </c>
      <c r="L1006" s="3">
        <v>0</v>
      </c>
      <c r="M1006" s="3">
        <v>435</v>
      </c>
      <c r="N1006" s="3">
        <f t="shared" si="613"/>
        <v>2392500</v>
      </c>
      <c r="O1006" s="3">
        <v>0</v>
      </c>
      <c r="P1006" s="3">
        <v>0</v>
      </c>
      <c r="Q1006" s="5">
        <v>0</v>
      </c>
      <c r="R1006" s="3">
        <f t="shared" si="609"/>
        <v>0</v>
      </c>
      <c r="S1006" s="3">
        <v>0</v>
      </c>
      <c r="T1006" s="5">
        <v>0</v>
      </c>
      <c r="U1006" s="3">
        <v>0</v>
      </c>
      <c r="V1006" s="6">
        <f t="shared" si="610"/>
        <v>5500</v>
      </c>
    </row>
    <row r="1007" spans="1:258" ht="21.95" customHeight="1" x14ac:dyDescent="0.25">
      <c r="A1007" s="53" t="s">
        <v>1449</v>
      </c>
      <c r="B1007" s="8" t="s">
        <v>720</v>
      </c>
      <c r="C1007" s="2">
        <f t="shared" si="612"/>
        <v>3247200</v>
      </c>
      <c r="D1007" s="3">
        <f t="shared" si="611"/>
        <v>0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4">
        <v>0</v>
      </c>
      <c r="L1007" s="3">
        <v>0</v>
      </c>
      <c r="M1007" s="5">
        <v>590.4</v>
      </c>
      <c r="N1007" s="3">
        <f t="shared" si="613"/>
        <v>3247200</v>
      </c>
      <c r="O1007" s="3">
        <v>0</v>
      </c>
      <c r="P1007" s="3">
        <v>0</v>
      </c>
      <c r="Q1007" s="5">
        <v>0</v>
      </c>
      <c r="R1007" s="3">
        <f t="shared" si="609"/>
        <v>0</v>
      </c>
      <c r="S1007" s="3">
        <v>0</v>
      </c>
      <c r="T1007" s="5">
        <v>0</v>
      </c>
      <c r="U1007" s="3">
        <v>0</v>
      </c>
      <c r="V1007" s="6">
        <f t="shared" si="610"/>
        <v>5500</v>
      </c>
    </row>
    <row r="1008" spans="1:258" ht="21.95" customHeight="1" x14ac:dyDescent="0.25">
      <c r="A1008" s="53" t="s">
        <v>1450</v>
      </c>
      <c r="B1008" s="8" t="s">
        <v>721</v>
      </c>
      <c r="C1008" s="2">
        <f t="shared" si="612"/>
        <v>3011250</v>
      </c>
      <c r="D1008" s="3">
        <f t="shared" si="611"/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4">
        <v>0</v>
      </c>
      <c r="L1008" s="3">
        <v>0</v>
      </c>
      <c r="M1008" s="3">
        <v>547.5</v>
      </c>
      <c r="N1008" s="3">
        <f t="shared" si="613"/>
        <v>3011250</v>
      </c>
      <c r="O1008" s="3">
        <v>0</v>
      </c>
      <c r="P1008" s="3">
        <v>0</v>
      </c>
      <c r="Q1008" s="5">
        <v>0</v>
      </c>
      <c r="R1008" s="3">
        <f t="shared" si="609"/>
        <v>0</v>
      </c>
      <c r="S1008" s="3">
        <v>0</v>
      </c>
      <c r="T1008" s="5">
        <v>0</v>
      </c>
      <c r="U1008" s="3">
        <v>0</v>
      </c>
      <c r="V1008" s="6">
        <f t="shared" si="610"/>
        <v>5500</v>
      </c>
    </row>
    <row r="1009" spans="1:258" ht="21.95" customHeight="1" x14ac:dyDescent="0.25">
      <c r="A1009" s="53" t="s">
        <v>1451</v>
      </c>
      <c r="B1009" s="8" t="s">
        <v>796</v>
      </c>
      <c r="C1009" s="2">
        <f>D1009+L1009+N1009+P1009+R1009+S1009+T1009+U1009</f>
        <v>2640000</v>
      </c>
      <c r="D1009" s="3">
        <f>SUM(E1009:J1009)</f>
        <v>0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4">
        <v>0</v>
      </c>
      <c r="L1009" s="3">
        <v>0</v>
      </c>
      <c r="M1009" s="5">
        <v>480</v>
      </c>
      <c r="N1009" s="3">
        <f>M1009*5500</f>
        <v>2640000</v>
      </c>
      <c r="O1009" s="3">
        <v>0</v>
      </c>
      <c r="P1009" s="3">
        <v>0</v>
      </c>
      <c r="Q1009" s="5">
        <v>0</v>
      </c>
      <c r="R1009" s="3">
        <f>Q1009*3000</f>
        <v>0</v>
      </c>
      <c r="S1009" s="3">
        <v>0</v>
      </c>
      <c r="T1009" s="5">
        <v>0</v>
      </c>
      <c r="U1009" s="3">
        <v>0</v>
      </c>
      <c r="V1009" s="6">
        <f>N1009/M1009</f>
        <v>5500</v>
      </c>
    </row>
    <row r="1010" spans="1:258" ht="21.95" customHeight="1" x14ac:dyDescent="0.25">
      <c r="A1010" s="53" t="s">
        <v>1452</v>
      </c>
      <c r="B1010" s="8" t="s">
        <v>716</v>
      </c>
      <c r="C1010" s="2">
        <f>D1010+L1010+N1010+P1010+R1010+S1010+T1010+U1010</f>
        <v>2640000</v>
      </c>
      <c r="D1010" s="3">
        <f>SUM(E1010:J1010)</f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4">
        <v>0</v>
      </c>
      <c r="L1010" s="3">
        <v>0</v>
      </c>
      <c r="M1010" s="3">
        <v>480</v>
      </c>
      <c r="N1010" s="3">
        <f>M1010*5500</f>
        <v>2640000</v>
      </c>
      <c r="O1010" s="3">
        <v>0</v>
      </c>
      <c r="P1010" s="3">
        <v>0</v>
      </c>
      <c r="Q1010" s="5">
        <v>0</v>
      </c>
      <c r="R1010" s="3">
        <f>Q1010*3000</f>
        <v>0</v>
      </c>
      <c r="S1010" s="3">
        <v>0</v>
      </c>
      <c r="T1010" s="5">
        <v>0</v>
      </c>
      <c r="U1010" s="3">
        <v>0</v>
      </c>
      <c r="V1010" s="6">
        <f>N1010/M1010</f>
        <v>5500</v>
      </c>
    </row>
    <row r="1011" spans="1:258" ht="21.95" customHeight="1" x14ac:dyDescent="0.25">
      <c r="A1011" s="53" t="s">
        <v>1453</v>
      </c>
      <c r="B1011" s="8" t="s">
        <v>717</v>
      </c>
      <c r="C1011" s="2">
        <f>D1011+L1011+N1011+P1011+R1011+S1011+T1011+U1011</f>
        <v>4510000</v>
      </c>
      <c r="D1011" s="3">
        <f>SUM(E1011:J1011)</f>
        <v>0</v>
      </c>
      <c r="E1011" s="3">
        <v>0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4">
        <v>0</v>
      </c>
      <c r="L1011" s="3">
        <v>0</v>
      </c>
      <c r="M1011" s="5">
        <v>820</v>
      </c>
      <c r="N1011" s="3">
        <f>M1011*5500</f>
        <v>4510000</v>
      </c>
      <c r="O1011" s="3">
        <v>0</v>
      </c>
      <c r="P1011" s="3">
        <v>0</v>
      </c>
      <c r="Q1011" s="5">
        <v>0</v>
      </c>
      <c r="R1011" s="3">
        <f>Q1011*3000</f>
        <v>0</v>
      </c>
      <c r="S1011" s="3">
        <v>0</v>
      </c>
      <c r="T1011" s="5">
        <v>0</v>
      </c>
      <c r="U1011" s="3">
        <v>0</v>
      </c>
      <c r="V1011" s="6">
        <f>N1011/M1011</f>
        <v>5500</v>
      </c>
    </row>
    <row r="1012" spans="1:258" ht="21.95" customHeight="1" x14ac:dyDescent="0.25">
      <c r="A1012" s="53" t="s">
        <v>1454</v>
      </c>
      <c r="B1012" s="8" t="s">
        <v>798</v>
      </c>
      <c r="C1012" s="2">
        <f t="shared" si="612"/>
        <v>3234000</v>
      </c>
      <c r="D1012" s="3">
        <f t="shared" si="611"/>
        <v>0</v>
      </c>
      <c r="E1012" s="3">
        <v>0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4">
        <v>0</v>
      </c>
      <c r="L1012" s="3">
        <v>0</v>
      </c>
      <c r="M1012" s="5">
        <v>588</v>
      </c>
      <c r="N1012" s="3">
        <f t="shared" si="613"/>
        <v>3234000</v>
      </c>
      <c r="O1012" s="3">
        <v>0</v>
      </c>
      <c r="P1012" s="3">
        <v>0</v>
      </c>
      <c r="Q1012" s="5">
        <v>0</v>
      </c>
      <c r="R1012" s="3">
        <f t="shared" si="609"/>
        <v>0</v>
      </c>
      <c r="S1012" s="3">
        <v>0</v>
      </c>
      <c r="T1012" s="5">
        <v>0</v>
      </c>
      <c r="U1012" s="3">
        <v>0</v>
      </c>
      <c r="V1012" s="6">
        <f t="shared" si="610"/>
        <v>5500</v>
      </c>
    </row>
    <row r="1013" spans="1:258" ht="21.95" customHeight="1" x14ac:dyDescent="0.25">
      <c r="A1013" s="53" t="s">
        <v>1455</v>
      </c>
      <c r="B1013" s="8" t="s">
        <v>722</v>
      </c>
      <c r="C1013" s="2">
        <f t="shared" si="612"/>
        <v>23829830</v>
      </c>
      <c r="D1013" s="3">
        <f t="shared" si="611"/>
        <v>23729830</v>
      </c>
      <c r="E1013" s="3">
        <f>350*10097.8</f>
        <v>3534229.9999999995</v>
      </c>
      <c r="F1013" s="3">
        <f>1050*10097.8</f>
        <v>10602690</v>
      </c>
      <c r="G1013" s="3">
        <f>300*10097.8</f>
        <v>3029340</v>
      </c>
      <c r="H1013" s="3">
        <f>400*10097.8</f>
        <v>4039119.9999999995</v>
      </c>
      <c r="I1013" s="3">
        <f>250*10097.8</f>
        <v>2524450</v>
      </c>
      <c r="J1013" s="3">
        <v>0</v>
      </c>
      <c r="K1013" s="4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0</v>
      </c>
      <c r="Q1013" s="3">
        <v>0</v>
      </c>
      <c r="R1013" s="3">
        <f t="shared" si="609"/>
        <v>0</v>
      </c>
      <c r="S1013" s="3">
        <v>0</v>
      </c>
      <c r="T1013" s="5">
        <v>0</v>
      </c>
      <c r="U1013" s="3">
        <v>100000</v>
      </c>
      <c r="V1013" s="6" t="e">
        <f t="shared" si="610"/>
        <v>#DIV/0!</v>
      </c>
      <c r="W1013" s="28"/>
      <c r="X1013" s="28"/>
      <c r="Y1013" s="28"/>
      <c r="Z1013" s="28"/>
      <c r="AA1013" s="28"/>
      <c r="AB1013" s="28"/>
      <c r="AC1013" s="28"/>
      <c r="AD1013" s="28"/>
      <c r="AE1013" s="28"/>
      <c r="AF1013" s="28"/>
      <c r="AG1013" s="28"/>
      <c r="AH1013" s="28"/>
      <c r="AI1013" s="28"/>
      <c r="AJ1013" s="28"/>
      <c r="AK1013" s="28"/>
      <c r="AL1013" s="28"/>
      <c r="AM1013" s="28"/>
      <c r="AN1013" s="28"/>
      <c r="AO1013" s="28"/>
      <c r="AP1013" s="28"/>
      <c r="AQ1013" s="28"/>
      <c r="AR1013" s="28"/>
      <c r="AS1013" s="28"/>
      <c r="AT1013" s="28"/>
      <c r="AU1013" s="28"/>
      <c r="AV1013" s="28"/>
      <c r="AW1013" s="28"/>
      <c r="AX1013" s="28"/>
      <c r="AY1013" s="28"/>
      <c r="AZ1013" s="28"/>
      <c r="BA1013" s="28"/>
      <c r="BB1013" s="28"/>
      <c r="BC1013" s="28"/>
      <c r="BD1013" s="28"/>
      <c r="BE1013" s="28"/>
      <c r="BF1013" s="28"/>
      <c r="BG1013" s="28"/>
      <c r="BH1013" s="28"/>
      <c r="BI1013" s="28"/>
      <c r="BJ1013" s="28"/>
      <c r="BK1013" s="28"/>
      <c r="BL1013" s="28"/>
      <c r="BM1013" s="28"/>
      <c r="BN1013" s="28"/>
      <c r="BO1013" s="28"/>
      <c r="BP1013" s="28"/>
      <c r="BQ1013" s="28"/>
      <c r="BR1013" s="28"/>
      <c r="BS1013" s="28"/>
      <c r="BT1013" s="28"/>
      <c r="BU1013" s="28"/>
      <c r="BV1013" s="28"/>
      <c r="BW1013" s="28"/>
      <c r="BX1013" s="28"/>
      <c r="BY1013" s="28"/>
      <c r="BZ1013" s="28"/>
      <c r="CA1013" s="28"/>
      <c r="CB1013" s="28"/>
      <c r="CC1013" s="28"/>
      <c r="CD1013" s="28"/>
      <c r="CE1013" s="28"/>
      <c r="CF1013" s="28"/>
      <c r="CG1013" s="28"/>
      <c r="CH1013" s="28"/>
      <c r="CI1013" s="28"/>
      <c r="CJ1013" s="28"/>
      <c r="CK1013" s="28"/>
      <c r="CL1013" s="28"/>
      <c r="CM1013" s="28"/>
      <c r="CN1013" s="28"/>
      <c r="CO1013" s="28"/>
      <c r="CP1013" s="28"/>
      <c r="CQ1013" s="28"/>
      <c r="CR1013" s="28"/>
      <c r="CS1013" s="28"/>
      <c r="CT1013" s="28"/>
      <c r="CU1013" s="28"/>
      <c r="CV1013" s="28"/>
      <c r="CW1013" s="28"/>
      <c r="CX1013" s="28"/>
      <c r="CY1013" s="28"/>
      <c r="CZ1013" s="28"/>
      <c r="DA1013" s="28"/>
      <c r="DB1013" s="28"/>
      <c r="DC1013" s="28"/>
      <c r="DD1013" s="28"/>
      <c r="DE1013" s="28"/>
      <c r="DF1013" s="28"/>
      <c r="DG1013" s="28"/>
      <c r="DH1013" s="28"/>
      <c r="DI1013" s="28"/>
      <c r="DJ1013" s="28"/>
      <c r="DK1013" s="28"/>
      <c r="DL1013" s="28"/>
      <c r="DM1013" s="28"/>
      <c r="DN1013" s="28"/>
      <c r="DO1013" s="28"/>
      <c r="DP1013" s="28"/>
      <c r="DQ1013" s="28"/>
      <c r="DR1013" s="28"/>
      <c r="DS1013" s="28"/>
      <c r="DT1013" s="28"/>
      <c r="DU1013" s="28"/>
      <c r="DV1013" s="28"/>
      <c r="DW1013" s="28"/>
      <c r="DX1013" s="28"/>
      <c r="DY1013" s="28"/>
      <c r="DZ1013" s="28"/>
      <c r="EA1013" s="28"/>
      <c r="EB1013" s="28"/>
      <c r="EC1013" s="28"/>
      <c r="ED1013" s="28"/>
      <c r="EE1013" s="28"/>
      <c r="EF1013" s="28"/>
      <c r="EG1013" s="28"/>
      <c r="EH1013" s="28"/>
      <c r="EI1013" s="28"/>
      <c r="EJ1013" s="28"/>
      <c r="EK1013" s="28"/>
      <c r="EL1013" s="28"/>
      <c r="EM1013" s="28"/>
      <c r="EN1013" s="28"/>
      <c r="EO1013" s="28"/>
      <c r="EP1013" s="28"/>
      <c r="EQ1013" s="28"/>
      <c r="ER1013" s="28"/>
      <c r="ES1013" s="28"/>
      <c r="ET1013" s="28"/>
      <c r="EU1013" s="28"/>
      <c r="EV1013" s="28"/>
      <c r="EW1013" s="28"/>
      <c r="EX1013" s="28"/>
      <c r="EY1013" s="28"/>
      <c r="EZ1013" s="28"/>
      <c r="FA1013" s="28"/>
      <c r="FB1013" s="28"/>
      <c r="FC1013" s="28"/>
      <c r="FD1013" s="28"/>
      <c r="FE1013" s="28"/>
      <c r="FF1013" s="28"/>
      <c r="FG1013" s="28"/>
      <c r="FH1013" s="28"/>
      <c r="FI1013" s="28"/>
      <c r="FJ1013" s="28"/>
      <c r="FK1013" s="28"/>
      <c r="FL1013" s="28"/>
      <c r="FM1013" s="28"/>
      <c r="FN1013" s="28"/>
      <c r="FO1013" s="28"/>
      <c r="FP1013" s="28"/>
      <c r="FQ1013" s="28"/>
      <c r="FR1013" s="28"/>
      <c r="FS1013" s="28"/>
      <c r="FT1013" s="28"/>
      <c r="FU1013" s="28"/>
      <c r="FV1013" s="28"/>
      <c r="FW1013" s="28"/>
      <c r="FX1013" s="28"/>
      <c r="FY1013" s="28"/>
      <c r="FZ1013" s="28"/>
      <c r="GA1013" s="28"/>
      <c r="GB1013" s="28"/>
      <c r="GC1013" s="28"/>
      <c r="GD1013" s="28"/>
      <c r="GE1013" s="28"/>
      <c r="GF1013" s="28"/>
      <c r="GG1013" s="28"/>
      <c r="GH1013" s="28"/>
      <c r="GI1013" s="28"/>
      <c r="GJ1013" s="28"/>
      <c r="GK1013" s="28"/>
      <c r="GL1013" s="28"/>
      <c r="GM1013" s="28"/>
      <c r="GN1013" s="28"/>
      <c r="GO1013" s="28"/>
      <c r="GP1013" s="28"/>
      <c r="GQ1013" s="28"/>
      <c r="GR1013" s="28"/>
      <c r="GS1013" s="28"/>
      <c r="GT1013" s="28"/>
      <c r="GU1013" s="28"/>
      <c r="GV1013" s="28"/>
      <c r="GW1013" s="28"/>
      <c r="GX1013" s="28"/>
      <c r="GY1013" s="28"/>
      <c r="GZ1013" s="28"/>
      <c r="HA1013" s="28"/>
      <c r="HB1013" s="28"/>
      <c r="HC1013" s="28"/>
      <c r="HD1013" s="28"/>
      <c r="HE1013" s="28"/>
      <c r="HF1013" s="28"/>
      <c r="HG1013" s="28"/>
      <c r="HH1013" s="28"/>
      <c r="HI1013" s="28"/>
      <c r="HJ1013" s="28"/>
      <c r="HK1013" s="28"/>
      <c r="HL1013" s="28"/>
      <c r="HM1013" s="28"/>
      <c r="HN1013" s="28"/>
      <c r="HO1013" s="28"/>
      <c r="HP1013" s="28"/>
      <c r="HQ1013" s="28"/>
      <c r="HR1013" s="28"/>
      <c r="HS1013" s="28"/>
      <c r="HT1013" s="28"/>
      <c r="HU1013" s="28"/>
      <c r="HV1013" s="28"/>
      <c r="HW1013" s="28"/>
      <c r="HX1013" s="28"/>
      <c r="HY1013" s="28"/>
      <c r="HZ1013" s="28"/>
      <c r="IA1013" s="28"/>
      <c r="IB1013" s="28"/>
      <c r="IC1013" s="28"/>
      <c r="ID1013" s="28"/>
      <c r="IE1013" s="28"/>
      <c r="IF1013" s="28"/>
      <c r="IG1013" s="28"/>
      <c r="IH1013" s="28"/>
      <c r="II1013" s="28"/>
      <c r="IJ1013" s="28"/>
      <c r="IK1013" s="28"/>
      <c r="IL1013" s="28"/>
      <c r="IM1013" s="28"/>
      <c r="IN1013" s="28"/>
      <c r="IO1013" s="28"/>
      <c r="IP1013" s="28"/>
      <c r="IQ1013" s="28"/>
      <c r="IR1013" s="28"/>
      <c r="IS1013" s="28"/>
      <c r="IT1013" s="28"/>
      <c r="IU1013" s="28"/>
      <c r="IV1013" s="28"/>
      <c r="IW1013" s="28"/>
      <c r="IX1013" s="28"/>
    </row>
    <row r="1014" spans="1:258" ht="21.95" customHeight="1" x14ac:dyDescent="0.25">
      <c r="A1014" s="53" t="s">
        <v>1456</v>
      </c>
      <c r="B1014" s="8" t="s">
        <v>799</v>
      </c>
      <c r="C1014" s="2">
        <f t="shared" si="612"/>
        <v>4268571</v>
      </c>
      <c r="D1014" s="3">
        <f t="shared" si="611"/>
        <v>4168571</v>
      </c>
      <c r="E1014" s="3">
        <f>350*1773.86</f>
        <v>620851</v>
      </c>
      <c r="F1014" s="3">
        <f>1050*1773.86</f>
        <v>1862553</v>
      </c>
      <c r="G1014" s="3">
        <f>300*1773.86</f>
        <v>532158</v>
      </c>
      <c r="H1014" s="3">
        <f>400*1773.86</f>
        <v>709544</v>
      </c>
      <c r="I1014" s="3">
        <f>250*1773.86</f>
        <v>443465</v>
      </c>
      <c r="J1014" s="3">
        <v>0</v>
      </c>
      <c r="K1014" s="4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0</v>
      </c>
      <c r="Q1014" s="3">
        <v>0</v>
      </c>
      <c r="R1014" s="3">
        <f t="shared" si="609"/>
        <v>0</v>
      </c>
      <c r="S1014" s="3">
        <v>0</v>
      </c>
      <c r="T1014" s="5">
        <v>0</v>
      </c>
      <c r="U1014" s="3">
        <v>100000</v>
      </c>
      <c r="V1014" s="6" t="e">
        <f t="shared" si="610"/>
        <v>#DIV/0!</v>
      </c>
    </row>
    <row r="1015" spans="1:258" ht="21.95" customHeight="1" x14ac:dyDescent="0.25">
      <c r="A1015" s="53" t="s">
        <v>1457</v>
      </c>
      <c r="B1015" s="8" t="s">
        <v>723</v>
      </c>
      <c r="C1015" s="2">
        <f t="shared" si="612"/>
        <v>1364000</v>
      </c>
      <c r="D1015" s="3">
        <f t="shared" si="611"/>
        <v>0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  <c r="K1015" s="11">
        <v>0</v>
      </c>
      <c r="L1015" s="5">
        <v>0</v>
      </c>
      <c r="M1015" s="5">
        <v>248</v>
      </c>
      <c r="N1015" s="3">
        <f t="shared" ref="N1015:N1019" si="614">M1015*5500</f>
        <v>1364000</v>
      </c>
      <c r="O1015" s="3">
        <v>0</v>
      </c>
      <c r="P1015" s="3">
        <v>0</v>
      </c>
      <c r="Q1015" s="3">
        <v>0</v>
      </c>
      <c r="R1015" s="3">
        <f t="shared" si="609"/>
        <v>0</v>
      </c>
      <c r="S1015" s="3">
        <v>0</v>
      </c>
      <c r="T1015" s="5">
        <v>0</v>
      </c>
      <c r="U1015" s="3">
        <v>0</v>
      </c>
      <c r="V1015" s="6">
        <f t="shared" si="610"/>
        <v>5500</v>
      </c>
    </row>
    <row r="1016" spans="1:258" s="6" customFormat="1" ht="21.95" customHeight="1" x14ac:dyDescent="0.25">
      <c r="A1016" s="53" t="s">
        <v>1458</v>
      </c>
      <c r="B1016" s="8" t="s">
        <v>724</v>
      </c>
      <c r="C1016" s="2">
        <f t="shared" si="612"/>
        <v>1408000</v>
      </c>
      <c r="D1016" s="3">
        <f t="shared" si="611"/>
        <v>0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  <c r="K1016" s="11">
        <v>0</v>
      </c>
      <c r="L1016" s="5">
        <v>0</v>
      </c>
      <c r="M1016" s="3">
        <v>256</v>
      </c>
      <c r="N1016" s="3">
        <f t="shared" si="614"/>
        <v>1408000</v>
      </c>
      <c r="O1016" s="3">
        <v>0</v>
      </c>
      <c r="P1016" s="3">
        <v>0</v>
      </c>
      <c r="Q1016" s="3">
        <v>0</v>
      </c>
      <c r="R1016" s="3">
        <f t="shared" si="609"/>
        <v>0</v>
      </c>
      <c r="S1016" s="3">
        <v>0</v>
      </c>
      <c r="T1016" s="5">
        <v>0</v>
      </c>
      <c r="U1016" s="3">
        <v>0</v>
      </c>
      <c r="V1016" s="6">
        <f t="shared" si="610"/>
        <v>5500</v>
      </c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  <c r="AU1016" s="7"/>
      <c r="AV1016" s="7"/>
      <c r="AW1016" s="7"/>
      <c r="AX1016" s="7"/>
      <c r="AY1016" s="7"/>
      <c r="AZ1016" s="7"/>
      <c r="BA1016" s="7"/>
      <c r="BB1016" s="7"/>
      <c r="BC1016" s="7"/>
      <c r="BD1016" s="7"/>
      <c r="BE1016" s="7"/>
      <c r="BF1016" s="7"/>
      <c r="BG1016" s="7"/>
      <c r="BH1016" s="7"/>
      <c r="BI1016" s="7"/>
      <c r="BJ1016" s="7"/>
      <c r="BK1016" s="7"/>
      <c r="BL1016" s="7"/>
      <c r="BM1016" s="7"/>
      <c r="BN1016" s="7"/>
      <c r="BO1016" s="7"/>
      <c r="BP1016" s="7"/>
      <c r="BQ1016" s="7"/>
      <c r="BR1016" s="7"/>
      <c r="BS1016" s="7"/>
      <c r="BT1016" s="7"/>
      <c r="BU1016" s="7"/>
      <c r="BV1016" s="7"/>
      <c r="BW1016" s="7"/>
      <c r="BX1016" s="7"/>
      <c r="BY1016" s="7"/>
      <c r="BZ1016" s="7"/>
      <c r="CA1016" s="7"/>
      <c r="CB1016" s="7"/>
      <c r="CC1016" s="7"/>
      <c r="CD1016" s="7"/>
      <c r="CE1016" s="7"/>
      <c r="CF1016" s="7"/>
      <c r="CG1016" s="7"/>
      <c r="CH1016" s="7"/>
      <c r="CI1016" s="7"/>
      <c r="CJ1016" s="7"/>
      <c r="CK1016" s="7"/>
      <c r="CL1016" s="7"/>
      <c r="CM1016" s="7"/>
      <c r="CN1016" s="7"/>
      <c r="CO1016" s="7"/>
      <c r="CP1016" s="7"/>
      <c r="CQ1016" s="7"/>
      <c r="CR1016" s="7"/>
      <c r="CS1016" s="7"/>
      <c r="CT1016" s="7"/>
      <c r="CU1016" s="7"/>
      <c r="CV1016" s="7"/>
      <c r="CW1016" s="7"/>
      <c r="CX1016" s="7"/>
      <c r="CY1016" s="7"/>
      <c r="CZ1016" s="7"/>
      <c r="DA1016" s="7"/>
      <c r="DB1016" s="7"/>
      <c r="DC1016" s="7"/>
      <c r="DD1016" s="7"/>
      <c r="DE1016" s="7"/>
      <c r="DF1016" s="7"/>
      <c r="DG1016" s="7"/>
      <c r="DH1016" s="7"/>
      <c r="DI1016" s="7"/>
      <c r="DJ1016" s="7"/>
      <c r="DK1016" s="7"/>
      <c r="DL1016" s="7"/>
      <c r="DM1016" s="7"/>
      <c r="DN1016" s="7"/>
      <c r="DO1016" s="7"/>
      <c r="DP1016" s="7"/>
      <c r="DQ1016" s="7"/>
      <c r="DR1016" s="7"/>
      <c r="DS1016" s="7"/>
      <c r="DT1016" s="7"/>
      <c r="DU1016" s="7"/>
      <c r="DV1016" s="7"/>
      <c r="DW1016" s="7"/>
      <c r="DX1016" s="7"/>
      <c r="DY1016" s="7"/>
      <c r="DZ1016" s="7"/>
      <c r="EA1016" s="7"/>
      <c r="EB1016" s="7"/>
      <c r="EC1016" s="7"/>
      <c r="ED1016" s="7"/>
      <c r="EE1016" s="7"/>
      <c r="EF1016" s="7"/>
      <c r="EG1016" s="7"/>
      <c r="EH1016" s="7"/>
      <c r="EI1016" s="7"/>
      <c r="EJ1016" s="7"/>
      <c r="EK1016" s="7"/>
      <c r="EL1016" s="7"/>
      <c r="EM1016" s="7"/>
      <c r="EN1016" s="7"/>
      <c r="EO1016" s="7"/>
      <c r="EP1016" s="7"/>
      <c r="EQ1016" s="7"/>
      <c r="ER1016" s="7"/>
      <c r="ES1016" s="7"/>
      <c r="ET1016" s="7"/>
      <c r="EU1016" s="7"/>
      <c r="EV1016" s="7"/>
      <c r="EW1016" s="7"/>
      <c r="EX1016" s="7"/>
      <c r="EY1016" s="7"/>
      <c r="EZ1016" s="7"/>
      <c r="FA1016" s="7"/>
      <c r="FB1016" s="7"/>
      <c r="FC1016" s="7"/>
      <c r="FD1016" s="7"/>
      <c r="FE1016" s="7"/>
      <c r="FF1016" s="7"/>
      <c r="FG1016" s="7"/>
      <c r="FH1016" s="7"/>
      <c r="FI1016" s="7"/>
      <c r="FJ1016" s="7"/>
      <c r="FK1016" s="7"/>
      <c r="FL1016" s="7"/>
      <c r="FM1016" s="7"/>
      <c r="FN1016" s="7"/>
      <c r="FO1016" s="7"/>
      <c r="FP1016" s="7"/>
      <c r="FQ1016" s="7"/>
      <c r="FR1016" s="7"/>
      <c r="FS1016" s="7"/>
      <c r="FT1016" s="7"/>
      <c r="FU1016" s="7"/>
      <c r="FV1016" s="7"/>
      <c r="FW1016" s="7"/>
      <c r="FX1016" s="7"/>
      <c r="FY1016" s="7"/>
      <c r="FZ1016" s="7"/>
      <c r="GA1016" s="7"/>
      <c r="GB1016" s="7"/>
      <c r="GC1016" s="7"/>
      <c r="GD1016" s="7"/>
      <c r="GE1016" s="7"/>
      <c r="GF1016" s="7"/>
      <c r="GG1016" s="7"/>
      <c r="GH1016" s="7"/>
      <c r="GI1016" s="7"/>
      <c r="GJ1016" s="7"/>
      <c r="GK1016" s="7"/>
      <c r="GL1016" s="7"/>
      <c r="GM1016" s="7"/>
      <c r="GN1016" s="7"/>
      <c r="GO1016" s="7"/>
      <c r="GP1016" s="7"/>
      <c r="GQ1016" s="7"/>
      <c r="GR1016" s="7"/>
      <c r="GS1016" s="7"/>
      <c r="GT1016" s="7"/>
      <c r="GU1016" s="7"/>
      <c r="GV1016" s="7"/>
      <c r="GW1016" s="7"/>
      <c r="GX1016" s="7"/>
      <c r="GY1016" s="7"/>
      <c r="GZ1016" s="7"/>
      <c r="HA1016" s="7"/>
      <c r="HB1016" s="7"/>
      <c r="HC1016" s="7"/>
      <c r="HD1016" s="7"/>
      <c r="HE1016" s="7"/>
      <c r="HF1016" s="7"/>
      <c r="HG1016" s="7"/>
      <c r="HH1016" s="7"/>
      <c r="HI1016" s="7"/>
      <c r="HJ1016" s="7"/>
      <c r="HK1016" s="7"/>
      <c r="HL1016" s="7"/>
      <c r="HM1016" s="7"/>
      <c r="HN1016" s="7"/>
      <c r="HO1016" s="7"/>
      <c r="HP1016" s="7"/>
      <c r="HQ1016" s="7"/>
      <c r="HR1016" s="7"/>
      <c r="HS1016" s="7"/>
      <c r="HT1016" s="7"/>
      <c r="HU1016" s="7"/>
      <c r="HV1016" s="7"/>
      <c r="HW1016" s="7"/>
      <c r="HX1016" s="7"/>
      <c r="HY1016" s="7"/>
      <c r="HZ1016" s="7"/>
      <c r="IA1016" s="7"/>
      <c r="IB1016" s="7"/>
      <c r="IC1016" s="7"/>
      <c r="ID1016" s="7"/>
      <c r="IE1016" s="7"/>
      <c r="IF1016" s="7"/>
      <c r="IG1016" s="7"/>
      <c r="IH1016" s="7"/>
      <c r="II1016" s="7"/>
      <c r="IJ1016" s="7"/>
      <c r="IK1016" s="7"/>
      <c r="IL1016" s="7"/>
      <c r="IM1016" s="7"/>
      <c r="IN1016" s="7"/>
      <c r="IO1016" s="7"/>
      <c r="IP1016" s="7"/>
      <c r="IQ1016" s="7"/>
      <c r="IR1016" s="7"/>
      <c r="IS1016" s="7"/>
      <c r="IT1016" s="7"/>
      <c r="IU1016" s="7"/>
      <c r="IV1016" s="7"/>
      <c r="IW1016" s="7"/>
      <c r="IX1016" s="7"/>
    </row>
    <row r="1017" spans="1:258" ht="21.95" customHeight="1" x14ac:dyDescent="0.25">
      <c r="A1017" s="53" t="s">
        <v>1459</v>
      </c>
      <c r="B1017" s="8" t="s">
        <v>725</v>
      </c>
      <c r="C1017" s="2">
        <f t="shared" si="612"/>
        <v>1332100</v>
      </c>
      <c r="D1017" s="3">
        <f t="shared" si="611"/>
        <v>0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11">
        <v>0</v>
      </c>
      <c r="L1017" s="5">
        <v>0</v>
      </c>
      <c r="M1017" s="3">
        <v>242.2</v>
      </c>
      <c r="N1017" s="3">
        <f t="shared" si="614"/>
        <v>1332100</v>
      </c>
      <c r="O1017" s="3">
        <v>0</v>
      </c>
      <c r="P1017" s="3">
        <v>0</v>
      </c>
      <c r="Q1017" s="3">
        <v>0</v>
      </c>
      <c r="R1017" s="3">
        <f t="shared" si="609"/>
        <v>0</v>
      </c>
      <c r="S1017" s="3">
        <v>0</v>
      </c>
      <c r="T1017" s="5">
        <v>0</v>
      </c>
      <c r="U1017" s="3">
        <v>0</v>
      </c>
      <c r="V1017" s="6">
        <f t="shared" si="610"/>
        <v>5500</v>
      </c>
    </row>
    <row r="1018" spans="1:258" ht="21.95" customHeight="1" x14ac:dyDescent="0.25">
      <c r="A1018" s="53" t="s">
        <v>1460</v>
      </c>
      <c r="B1018" s="8" t="s">
        <v>800</v>
      </c>
      <c r="C1018" s="2">
        <f t="shared" si="612"/>
        <v>1430000</v>
      </c>
      <c r="D1018" s="3">
        <f t="shared" si="611"/>
        <v>0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11">
        <v>0</v>
      </c>
      <c r="L1018" s="5">
        <v>0</v>
      </c>
      <c r="M1018" s="3">
        <v>260</v>
      </c>
      <c r="N1018" s="3">
        <f t="shared" si="614"/>
        <v>1430000</v>
      </c>
      <c r="O1018" s="3">
        <v>0</v>
      </c>
      <c r="P1018" s="3">
        <v>0</v>
      </c>
      <c r="Q1018" s="3">
        <v>0</v>
      </c>
      <c r="R1018" s="3">
        <f t="shared" si="609"/>
        <v>0</v>
      </c>
      <c r="S1018" s="3">
        <v>0</v>
      </c>
      <c r="T1018" s="5">
        <v>0</v>
      </c>
      <c r="U1018" s="3">
        <v>0</v>
      </c>
      <c r="V1018" s="6">
        <f t="shared" si="610"/>
        <v>5500</v>
      </c>
    </row>
    <row r="1019" spans="1:258" ht="21.95" customHeight="1" x14ac:dyDescent="0.25">
      <c r="A1019" s="53" t="s">
        <v>1461</v>
      </c>
      <c r="B1019" s="8" t="s">
        <v>801</v>
      </c>
      <c r="C1019" s="2">
        <f t="shared" si="612"/>
        <v>3843950</v>
      </c>
      <c r="D1019" s="3">
        <f t="shared" si="611"/>
        <v>0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  <c r="K1019" s="11">
        <v>0</v>
      </c>
      <c r="L1019" s="5">
        <v>0</v>
      </c>
      <c r="M1019" s="3">
        <v>698.9</v>
      </c>
      <c r="N1019" s="3">
        <f t="shared" si="614"/>
        <v>3843950</v>
      </c>
      <c r="O1019" s="3">
        <v>0</v>
      </c>
      <c r="P1019" s="3">
        <v>0</v>
      </c>
      <c r="Q1019" s="3">
        <v>0</v>
      </c>
      <c r="R1019" s="3">
        <f t="shared" si="609"/>
        <v>0</v>
      </c>
      <c r="S1019" s="3">
        <v>0</v>
      </c>
      <c r="T1019" s="5">
        <v>0</v>
      </c>
      <c r="U1019" s="3">
        <v>0</v>
      </c>
      <c r="V1019" s="6">
        <f t="shared" si="610"/>
        <v>5500</v>
      </c>
    </row>
    <row r="1020" spans="1:258" ht="21.95" customHeight="1" x14ac:dyDescent="0.25">
      <c r="A1020" s="53" t="s">
        <v>1462</v>
      </c>
      <c r="B1020" s="8" t="s">
        <v>828</v>
      </c>
      <c r="C1020" s="2">
        <f t="shared" si="612"/>
        <v>8498567.5</v>
      </c>
      <c r="D1020" s="3">
        <f t="shared" si="611"/>
        <v>3558017.5</v>
      </c>
      <c r="E1020" s="3">
        <f>350*1514.05</f>
        <v>529917.5</v>
      </c>
      <c r="F1020" s="3">
        <f>1050*1514.05</f>
        <v>1589752.5</v>
      </c>
      <c r="G1020" s="3">
        <f>300*1514.05</f>
        <v>454215</v>
      </c>
      <c r="H1020" s="3">
        <f>400*1514.05</f>
        <v>605620</v>
      </c>
      <c r="I1020" s="3">
        <f>250*1514.05</f>
        <v>378512.5</v>
      </c>
      <c r="J1020" s="3">
        <v>0</v>
      </c>
      <c r="K1020" s="4">
        <v>0</v>
      </c>
      <c r="L1020" s="3">
        <v>0</v>
      </c>
      <c r="M1020" s="5">
        <v>880.1</v>
      </c>
      <c r="N1020" s="3">
        <f t="shared" ref="N1020:N1027" si="615">M1020*5500</f>
        <v>4840550</v>
      </c>
      <c r="O1020" s="3">
        <v>0</v>
      </c>
      <c r="P1020" s="3">
        <v>0</v>
      </c>
      <c r="Q1020" s="3">
        <v>0</v>
      </c>
      <c r="R1020" s="3">
        <f t="shared" si="609"/>
        <v>0</v>
      </c>
      <c r="S1020" s="3">
        <v>0</v>
      </c>
      <c r="T1020" s="5">
        <v>0</v>
      </c>
      <c r="U1020" s="3">
        <v>100000</v>
      </c>
      <c r="V1020" s="6">
        <f t="shared" si="610"/>
        <v>5500</v>
      </c>
    </row>
    <row r="1021" spans="1:258" ht="21.95" customHeight="1" x14ac:dyDescent="0.25">
      <c r="A1021" s="53" t="s">
        <v>1463</v>
      </c>
      <c r="B1021" s="8" t="s">
        <v>802</v>
      </c>
      <c r="C1021" s="2">
        <f t="shared" si="612"/>
        <v>6671500</v>
      </c>
      <c r="D1021" s="3">
        <f t="shared" si="611"/>
        <v>0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11">
        <v>0</v>
      </c>
      <c r="L1021" s="5">
        <v>0</v>
      </c>
      <c r="M1021" s="3">
        <v>1213</v>
      </c>
      <c r="N1021" s="3">
        <f t="shared" si="615"/>
        <v>6671500</v>
      </c>
      <c r="O1021" s="3">
        <v>0</v>
      </c>
      <c r="P1021" s="3">
        <v>0</v>
      </c>
      <c r="Q1021" s="3">
        <v>0</v>
      </c>
      <c r="R1021" s="3">
        <f t="shared" si="609"/>
        <v>0</v>
      </c>
      <c r="S1021" s="3">
        <v>0</v>
      </c>
      <c r="T1021" s="5">
        <v>0</v>
      </c>
      <c r="U1021" s="3">
        <v>0</v>
      </c>
      <c r="V1021" s="6">
        <f t="shared" si="610"/>
        <v>5500</v>
      </c>
    </row>
    <row r="1022" spans="1:258" ht="21.95" customHeight="1" x14ac:dyDescent="0.25">
      <c r="A1022" s="53" t="s">
        <v>1464</v>
      </c>
      <c r="B1022" s="8" t="s">
        <v>726</v>
      </c>
      <c r="C1022" s="2">
        <f t="shared" si="612"/>
        <v>4891150</v>
      </c>
      <c r="D1022" s="3">
        <f t="shared" si="611"/>
        <v>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11">
        <v>0</v>
      </c>
      <c r="L1022" s="5">
        <v>0</v>
      </c>
      <c r="M1022" s="3">
        <v>889.3</v>
      </c>
      <c r="N1022" s="3">
        <f t="shared" si="615"/>
        <v>4891150</v>
      </c>
      <c r="O1022" s="3">
        <v>0</v>
      </c>
      <c r="P1022" s="3">
        <v>0</v>
      </c>
      <c r="Q1022" s="3">
        <v>0</v>
      </c>
      <c r="R1022" s="3">
        <f t="shared" si="609"/>
        <v>0</v>
      </c>
      <c r="S1022" s="3">
        <v>0</v>
      </c>
      <c r="T1022" s="5">
        <v>0</v>
      </c>
      <c r="U1022" s="3">
        <v>0</v>
      </c>
      <c r="V1022" s="6">
        <f t="shared" si="610"/>
        <v>5500</v>
      </c>
    </row>
    <row r="1023" spans="1:258" ht="21.95" customHeight="1" x14ac:dyDescent="0.25">
      <c r="A1023" s="53" t="s">
        <v>1465</v>
      </c>
      <c r="B1023" s="8" t="s">
        <v>727</v>
      </c>
      <c r="C1023" s="2">
        <f t="shared" si="612"/>
        <v>2543500</v>
      </c>
      <c r="D1023" s="3">
        <f t="shared" si="611"/>
        <v>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0</v>
      </c>
      <c r="K1023" s="11">
        <v>0</v>
      </c>
      <c r="L1023" s="5">
        <v>0</v>
      </c>
      <c r="M1023" s="5">
        <v>289</v>
      </c>
      <c r="N1023" s="3">
        <f t="shared" si="615"/>
        <v>1589500</v>
      </c>
      <c r="O1023" s="5">
        <v>0</v>
      </c>
      <c r="P1023" s="5">
        <v>0</v>
      </c>
      <c r="Q1023" s="5">
        <v>318</v>
      </c>
      <c r="R1023" s="3">
        <f t="shared" si="609"/>
        <v>954000</v>
      </c>
      <c r="S1023" s="5">
        <v>0</v>
      </c>
      <c r="T1023" s="5">
        <v>0</v>
      </c>
      <c r="U1023" s="5">
        <v>0</v>
      </c>
      <c r="V1023" s="6">
        <f t="shared" si="610"/>
        <v>5500</v>
      </c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  <c r="AJ1023" s="50"/>
      <c r="AK1023" s="50"/>
      <c r="AL1023" s="50"/>
      <c r="AM1023" s="50"/>
      <c r="AN1023" s="50"/>
      <c r="AO1023" s="50"/>
      <c r="AP1023" s="50"/>
      <c r="AQ1023" s="50"/>
      <c r="AR1023" s="50"/>
      <c r="AS1023" s="50"/>
      <c r="AT1023" s="50"/>
      <c r="AU1023" s="50"/>
      <c r="AV1023" s="50"/>
      <c r="AW1023" s="50"/>
      <c r="AX1023" s="50"/>
      <c r="AY1023" s="50"/>
      <c r="AZ1023" s="50"/>
      <c r="BA1023" s="50"/>
      <c r="BB1023" s="50"/>
      <c r="BC1023" s="50"/>
      <c r="BD1023" s="50"/>
      <c r="BE1023" s="50"/>
      <c r="BF1023" s="50"/>
      <c r="BG1023" s="50"/>
      <c r="BH1023" s="50"/>
      <c r="BI1023" s="50"/>
      <c r="BJ1023" s="50"/>
      <c r="BK1023" s="50"/>
      <c r="BL1023" s="50"/>
      <c r="BM1023" s="50"/>
      <c r="BN1023" s="50"/>
      <c r="BO1023" s="50"/>
      <c r="BP1023" s="50"/>
      <c r="BQ1023" s="50"/>
      <c r="BR1023" s="50"/>
      <c r="BS1023" s="50"/>
      <c r="BT1023" s="50"/>
      <c r="BU1023" s="50"/>
      <c r="BV1023" s="50"/>
      <c r="BW1023" s="50"/>
      <c r="BX1023" s="50"/>
      <c r="BY1023" s="50"/>
      <c r="BZ1023" s="50"/>
      <c r="CA1023" s="50"/>
      <c r="CB1023" s="50"/>
      <c r="CC1023" s="50"/>
      <c r="CD1023" s="50"/>
      <c r="CE1023" s="50"/>
      <c r="CF1023" s="50"/>
      <c r="CG1023" s="50"/>
      <c r="CH1023" s="50"/>
      <c r="CI1023" s="50"/>
      <c r="CJ1023" s="50"/>
      <c r="CK1023" s="50"/>
      <c r="CL1023" s="50"/>
      <c r="CM1023" s="50"/>
      <c r="CN1023" s="50"/>
      <c r="CO1023" s="50"/>
      <c r="CP1023" s="50"/>
      <c r="CQ1023" s="50"/>
      <c r="CR1023" s="50"/>
      <c r="CS1023" s="50"/>
      <c r="CT1023" s="50"/>
      <c r="CU1023" s="50"/>
      <c r="CV1023" s="50"/>
      <c r="CW1023" s="50"/>
      <c r="CX1023" s="50"/>
      <c r="CY1023" s="50"/>
      <c r="CZ1023" s="50"/>
      <c r="DA1023" s="50"/>
      <c r="DB1023" s="50"/>
      <c r="DC1023" s="50"/>
      <c r="DD1023" s="50"/>
      <c r="DE1023" s="50"/>
      <c r="DF1023" s="50"/>
      <c r="DG1023" s="50"/>
      <c r="DH1023" s="50"/>
      <c r="DI1023" s="50"/>
      <c r="DJ1023" s="50"/>
      <c r="DK1023" s="50"/>
      <c r="DL1023" s="50"/>
      <c r="DM1023" s="50"/>
      <c r="DN1023" s="50"/>
      <c r="DO1023" s="50"/>
      <c r="DP1023" s="50"/>
      <c r="DQ1023" s="50"/>
      <c r="DR1023" s="50"/>
      <c r="DS1023" s="50"/>
      <c r="DT1023" s="50"/>
      <c r="DU1023" s="50"/>
      <c r="DV1023" s="50"/>
      <c r="DW1023" s="50"/>
      <c r="DX1023" s="50"/>
      <c r="DY1023" s="50"/>
      <c r="DZ1023" s="50"/>
      <c r="EA1023" s="50"/>
      <c r="EB1023" s="50"/>
      <c r="EC1023" s="50"/>
      <c r="ED1023" s="50"/>
      <c r="EE1023" s="50"/>
      <c r="EF1023" s="50"/>
      <c r="EG1023" s="50"/>
      <c r="EH1023" s="50"/>
      <c r="EI1023" s="50"/>
      <c r="EJ1023" s="50"/>
      <c r="EK1023" s="50"/>
      <c r="EL1023" s="50"/>
      <c r="EM1023" s="50"/>
      <c r="EN1023" s="50"/>
      <c r="EO1023" s="50"/>
      <c r="EP1023" s="50"/>
      <c r="EQ1023" s="50"/>
      <c r="ER1023" s="50"/>
      <c r="ES1023" s="50"/>
      <c r="ET1023" s="50"/>
      <c r="EU1023" s="50"/>
      <c r="EV1023" s="50"/>
      <c r="EW1023" s="50"/>
      <c r="EX1023" s="50"/>
      <c r="EY1023" s="50"/>
      <c r="EZ1023" s="50"/>
      <c r="FA1023" s="50"/>
      <c r="FB1023" s="50"/>
      <c r="FC1023" s="50"/>
      <c r="FD1023" s="50"/>
      <c r="FE1023" s="50"/>
      <c r="FF1023" s="50"/>
      <c r="FG1023" s="50"/>
      <c r="FH1023" s="50"/>
      <c r="FI1023" s="50"/>
      <c r="FJ1023" s="50"/>
      <c r="FK1023" s="50"/>
      <c r="FL1023" s="50"/>
      <c r="FM1023" s="50"/>
      <c r="FN1023" s="50"/>
      <c r="FO1023" s="50"/>
      <c r="FP1023" s="50"/>
      <c r="FQ1023" s="50"/>
      <c r="FR1023" s="50"/>
      <c r="FS1023" s="50"/>
      <c r="FT1023" s="50"/>
      <c r="FU1023" s="50"/>
      <c r="FV1023" s="50"/>
      <c r="FW1023" s="50"/>
      <c r="FX1023" s="50"/>
      <c r="FY1023" s="50"/>
      <c r="FZ1023" s="50"/>
      <c r="GA1023" s="50"/>
      <c r="GB1023" s="50"/>
      <c r="GC1023" s="50"/>
      <c r="GD1023" s="50"/>
      <c r="GE1023" s="50"/>
      <c r="GF1023" s="50"/>
      <c r="GG1023" s="50"/>
      <c r="GH1023" s="50"/>
      <c r="GI1023" s="50"/>
      <c r="GJ1023" s="29"/>
      <c r="GK1023" s="29"/>
      <c r="GL1023" s="29"/>
      <c r="GM1023" s="29"/>
      <c r="GN1023" s="29"/>
      <c r="GO1023" s="29"/>
      <c r="GP1023" s="29"/>
      <c r="GQ1023" s="29"/>
      <c r="GR1023" s="29"/>
      <c r="GS1023" s="29"/>
      <c r="GT1023" s="29"/>
      <c r="GU1023" s="29"/>
      <c r="GV1023" s="29"/>
      <c r="GW1023" s="29"/>
      <c r="GX1023" s="29"/>
      <c r="GY1023" s="29"/>
      <c r="GZ1023" s="29"/>
      <c r="HA1023" s="29"/>
      <c r="HB1023" s="29"/>
      <c r="HC1023" s="29"/>
      <c r="HD1023" s="29"/>
      <c r="HE1023" s="29"/>
      <c r="HF1023" s="29"/>
      <c r="HG1023" s="29"/>
      <c r="HH1023" s="29"/>
      <c r="HI1023" s="29"/>
      <c r="HJ1023" s="29"/>
      <c r="HK1023" s="29"/>
      <c r="HL1023" s="29"/>
      <c r="HM1023" s="29"/>
      <c r="HN1023" s="29"/>
      <c r="HO1023" s="29"/>
      <c r="HP1023" s="29"/>
      <c r="HQ1023" s="29"/>
      <c r="HR1023" s="29"/>
      <c r="HS1023" s="29"/>
      <c r="HT1023" s="29"/>
      <c r="HU1023" s="29"/>
      <c r="HV1023" s="29"/>
      <c r="HW1023" s="29"/>
      <c r="HX1023" s="29"/>
      <c r="HY1023" s="29"/>
      <c r="HZ1023" s="29"/>
      <c r="IA1023" s="29"/>
      <c r="IB1023" s="29"/>
      <c r="IC1023" s="29"/>
      <c r="ID1023" s="29"/>
      <c r="IE1023" s="29"/>
      <c r="IF1023" s="29"/>
      <c r="IG1023" s="29"/>
      <c r="IH1023" s="29"/>
      <c r="II1023" s="29"/>
      <c r="IJ1023" s="29"/>
      <c r="IK1023" s="29"/>
      <c r="IL1023" s="29"/>
      <c r="IM1023" s="29"/>
      <c r="IN1023" s="29"/>
      <c r="IO1023" s="29"/>
      <c r="IP1023" s="29"/>
      <c r="IQ1023" s="29"/>
      <c r="IR1023" s="29"/>
      <c r="IS1023" s="29"/>
      <c r="IT1023" s="29"/>
      <c r="IU1023" s="29"/>
      <c r="IV1023" s="29"/>
      <c r="IW1023" s="29"/>
      <c r="IX1023" s="29"/>
    </row>
    <row r="1024" spans="1:258" s="17" customFormat="1" ht="21.95" customHeight="1" x14ac:dyDescent="0.25">
      <c r="A1024" s="53" t="s">
        <v>1466</v>
      </c>
      <c r="B1024" s="23" t="s">
        <v>728</v>
      </c>
      <c r="C1024" s="2">
        <f t="shared" si="612"/>
        <v>2959000</v>
      </c>
      <c r="D1024" s="3">
        <f t="shared" si="611"/>
        <v>0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4">
        <v>0</v>
      </c>
      <c r="L1024" s="3">
        <v>0</v>
      </c>
      <c r="M1024" s="3">
        <v>538</v>
      </c>
      <c r="N1024" s="3">
        <f t="shared" si="615"/>
        <v>2959000</v>
      </c>
      <c r="O1024" s="3">
        <v>0</v>
      </c>
      <c r="P1024" s="3">
        <v>0</v>
      </c>
      <c r="Q1024" s="3">
        <v>0</v>
      </c>
      <c r="R1024" s="3">
        <f t="shared" si="609"/>
        <v>0</v>
      </c>
      <c r="S1024" s="3">
        <v>0</v>
      </c>
      <c r="T1024" s="5">
        <v>0</v>
      </c>
      <c r="U1024" s="3">
        <v>0</v>
      </c>
      <c r="V1024" s="6">
        <f t="shared" si="610"/>
        <v>5500</v>
      </c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  <c r="AU1024" s="7"/>
      <c r="AV1024" s="7"/>
      <c r="AW1024" s="7"/>
      <c r="AX1024" s="7"/>
      <c r="AY1024" s="7"/>
      <c r="AZ1024" s="7"/>
      <c r="BA1024" s="7"/>
      <c r="BB1024" s="7"/>
      <c r="BC1024" s="7"/>
      <c r="BD1024" s="7"/>
      <c r="BE1024" s="7"/>
      <c r="BF1024" s="7"/>
      <c r="BG1024" s="7"/>
      <c r="BH1024" s="7"/>
      <c r="BI1024" s="7"/>
      <c r="BJ1024" s="7"/>
      <c r="BK1024" s="7"/>
      <c r="BL1024" s="7"/>
      <c r="BM1024" s="7"/>
      <c r="BN1024" s="7"/>
      <c r="BO1024" s="7"/>
      <c r="BP1024" s="7"/>
      <c r="BQ1024" s="7"/>
      <c r="BR1024" s="7"/>
      <c r="BS1024" s="7"/>
      <c r="BT1024" s="7"/>
      <c r="BU1024" s="7"/>
      <c r="BV1024" s="7"/>
      <c r="BW1024" s="7"/>
      <c r="BX1024" s="7"/>
      <c r="BY1024" s="7"/>
      <c r="BZ1024" s="7"/>
      <c r="CA1024" s="7"/>
      <c r="CB1024" s="7"/>
      <c r="CC1024" s="7"/>
      <c r="CD1024" s="7"/>
      <c r="CE1024" s="7"/>
      <c r="CF1024" s="7"/>
      <c r="CG1024" s="7"/>
      <c r="CH1024" s="7"/>
      <c r="CI1024" s="7"/>
      <c r="CJ1024" s="7"/>
      <c r="CK1024" s="7"/>
      <c r="CL1024" s="7"/>
      <c r="CM1024" s="7"/>
      <c r="CN1024" s="7"/>
      <c r="CO1024" s="7"/>
      <c r="CP1024" s="7"/>
      <c r="CQ1024" s="7"/>
      <c r="CR1024" s="7"/>
      <c r="CS1024" s="7"/>
      <c r="CT1024" s="7"/>
      <c r="CU1024" s="7"/>
      <c r="CV1024" s="7"/>
      <c r="CW1024" s="7"/>
      <c r="CX1024" s="7"/>
      <c r="CY1024" s="7"/>
      <c r="CZ1024" s="7"/>
      <c r="DA1024" s="7"/>
      <c r="DB1024" s="7"/>
      <c r="DC1024" s="7"/>
      <c r="DD1024" s="7"/>
      <c r="DE1024" s="7"/>
      <c r="DF1024" s="7"/>
      <c r="DG1024" s="7"/>
      <c r="DH1024" s="7"/>
      <c r="DI1024" s="7"/>
      <c r="DJ1024" s="7"/>
      <c r="DK1024" s="7"/>
      <c r="DL1024" s="7"/>
      <c r="DM1024" s="7"/>
      <c r="DN1024" s="7"/>
      <c r="DO1024" s="7"/>
      <c r="DP1024" s="7"/>
      <c r="DQ1024" s="7"/>
      <c r="DR1024" s="7"/>
      <c r="DS1024" s="7"/>
      <c r="DT1024" s="7"/>
      <c r="DU1024" s="7"/>
      <c r="DV1024" s="7"/>
      <c r="DW1024" s="7"/>
      <c r="DX1024" s="7"/>
      <c r="DY1024" s="7"/>
      <c r="DZ1024" s="7"/>
      <c r="EA1024" s="7"/>
      <c r="EB1024" s="7"/>
      <c r="EC1024" s="7"/>
      <c r="ED1024" s="7"/>
      <c r="EE1024" s="7"/>
      <c r="EF1024" s="7"/>
      <c r="EG1024" s="7"/>
      <c r="EH1024" s="7"/>
      <c r="EI1024" s="7"/>
      <c r="EJ1024" s="7"/>
      <c r="EK1024" s="7"/>
      <c r="EL1024" s="7"/>
      <c r="EM1024" s="7"/>
      <c r="EN1024" s="7"/>
      <c r="EO1024" s="7"/>
      <c r="EP1024" s="7"/>
      <c r="EQ1024" s="7"/>
      <c r="ER1024" s="7"/>
      <c r="ES1024" s="7"/>
      <c r="ET1024" s="7"/>
      <c r="EU1024" s="7"/>
      <c r="EV1024" s="7"/>
      <c r="EW1024" s="7"/>
      <c r="EX1024" s="7"/>
      <c r="EY1024" s="7"/>
      <c r="EZ1024" s="7"/>
      <c r="FA1024" s="7"/>
      <c r="FB1024" s="7"/>
      <c r="FC1024" s="7"/>
      <c r="FD1024" s="7"/>
      <c r="FE1024" s="7"/>
      <c r="FF1024" s="7"/>
      <c r="FG1024" s="7"/>
      <c r="FH1024" s="7"/>
      <c r="FI1024" s="7"/>
      <c r="FJ1024" s="7"/>
      <c r="FK1024" s="7"/>
      <c r="FL1024" s="7"/>
      <c r="FM1024" s="7"/>
      <c r="FN1024" s="7"/>
      <c r="FO1024" s="7"/>
      <c r="FP1024" s="7"/>
      <c r="FQ1024" s="7"/>
      <c r="FR1024" s="7"/>
      <c r="FS1024" s="7"/>
      <c r="FT1024" s="7"/>
      <c r="FU1024" s="7"/>
      <c r="FV1024" s="7"/>
      <c r="FW1024" s="7"/>
      <c r="FX1024" s="7"/>
      <c r="FY1024" s="7"/>
      <c r="FZ1024" s="7"/>
      <c r="GA1024" s="7"/>
      <c r="GB1024" s="7"/>
      <c r="GC1024" s="7"/>
      <c r="GD1024" s="7"/>
      <c r="GE1024" s="7"/>
      <c r="GF1024" s="7"/>
      <c r="GG1024" s="7"/>
      <c r="GH1024" s="7"/>
      <c r="GI1024" s="7"/>
      <c r="GJ1024" s="7"/>
      <c r="GK1024" s="7"/>
      <c r="GL1024" s="7"/>
      <c r="GM1024" s="7"/>
      <c r="GN1024" s="7"/>
      <c r="GO1024" s="7"/>
      <c r="GP1024" s="7"/>
      <c r="GQ1024" s="7"/>
      <c r="GR1024" s="7"/>
      <c r="GS1024" s="7"/>
      <c r="GT1024" s="7"/>
      <c r="GU1024" s="7"/>
      <c r="GV1024" s="7"/>
      <c r="GW1024" s="7"/>
      <c r="GX1024" s="7"/>
      <c r="GY1024" s="7"/>
      <c r="GZ1024" s="7"/>
      <c r="HA1024" s="7"/>
      <c r="HB1024" s="7"/>
      <c r="HC1024" s="7"/>
      <c r="HD1024" s="7"/>
      <c r="HE1024" s="7"/>
      <c r="HF1024" s="7"/>
      <c r="HG1024" s="7"/>
      <c r="HH1024" s="7"/>
      <c r="HI1024" s="7"/>
      <c r="HJ1024" s="7"/>
      <c r="HK1024" s="7"/>
      <c r="HL1024" s="7"/>
      <c r="HM1024" s="7"/>
      <c r="HN1024" s="7"/>
      <c r="HO1024" s="7"/>
      <c r="HP1024" s="7"/>
      <c r="HQ1024" s="7"/>
      <c r="HR1024" s="7"/>
      <c r="HS1024" s="7"/>
      <c r="HT1024" s="7"/>
      <c r="HU1024" s="7"/>
      <c r="HV1024" s="7"/>
      <c r="HW1024" s="7"/>
      <c r="HX1024" s="7"/>
      <c r="HY1024" s="7"/>
      <c r="HZ1024" s="7"/>
      <c r="IA1024" s="7"/>
      <c r="IB1024" s="7"/>
      <c r="IC1024" s="7"/>
      <c r="ID1024" s="7"/>
      <c r="IE1024" s="7"/>
      <c r="IF1024" s="7"/>
      <c r="IG1024" s="7"/>
      <c r="IH1024" s="7"/>
      <c r="II1024" s="7"/>
      <c r="IJ1024" s="7"/>
      <c r="IK1024" s="7"/>
      <c r="IL1024" s="7"/>
      <c r="IM1024" s="7"/>
      <c r="IN1024" s="7"/>
      <c r="IO1024" s="7"/>
      <c r="IP1024" s="7"/>
      <c r="IQ1024" s="7"/>
      <c r="IR1024" s="7"/>
      <c r="IS1024" s="7"/>
      <c r="IT1024" s="7"/>
      <c r="IU1024" s="7"/>
      <c r="IV1024" s="7"/>
      <c r="IW1024" s="7"/>
      <c r="IX1024" s="7"/>
    </row>
    <row r="1025" spans="1:258" ht="21.95" customHeight="1" x14ac:dyDescent="0.25">
      <c r="A1025" s="53" t="s">
        <v>1467</v>
      </c>
      <c r="B1025" s="8" t="s">
        <v>408</v>
      </c>
      <c r="C1025" s="2">
        <f t="shared" si="612"/>
        <v>4230000</v>
      </c>
      <c r="D1025" s="3">
        <f t="shared" ref="D1025" si="616">SUM(E1025:J1025)</f>
        <v>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4">
        <v>0</v>
      </c>
      <c r="L1025" s="3">
        <v>0</v>
      </c>
      <c r="M1025" s="3">
        <v>660</v>
      </c>
      <c r="N1025" s="3">
        <f>M1025*5500</f>
        <v>3630000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600000</v>
      </c>
      <c r="V1025" s="6">
        <f t="shared" si="610"/>
        <v>5500</v>
      </c>
    </row>
    <row r="1026" spans="1:258" s="6" customFormat="1" ht="21.95" customHeight="1" x14ac:dyDescent="0.25">
      <c r="A1026" s="53" t="s">
        <v>1468</v>
      </c>
      <c r="B1026" s="23" t="s">
        <v>803</v>
      </c>
      <c r="C1026" s="2">
        <f t="shared" si="612"/>
        <v>3570600.0000000005</v>
      </c>
      <c r="D1026" s="3">
        <f t="shared" si="611"/>
        <v>0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4">
        <v>0</v>
      </c>
      <c r="L1026" s="3">
        <v>0</v>
      </c>
      <c r="M1026" s="5">
        <v>649.20000000000005</v>
      </c>
      <c r="N1026" s="3">
        <f t="shared" si="615"/>
        <v>3570600.0000000005</v>
      </c>
      <c r="O1026" s="3">
        <v>0</v>
      </c>
      <c r="P1026" s="3">
        <v>0</v>
      </c>
      <c r="Q1026" s="3">
        <v>0</v>
      </c>
      <c r="R1026" s="3">
        <f t="shared" si="609"/>
        <v>0</v>
      </c>
      <c r="S1026" s="3">
        <v>0</v>
      </c>
      <c r="T1026" s="5">
        <v>0</v>
      </c>
      <c r="U1026" s="3">
        <v>0</v>
      </c>
      <c r="V1026" s="6">
        <f t="shared" si="610"/>
        <v>5500</v>
      </c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  <c r="AU1026" s="7"/>
      <c r="AV1026" s="7"/>
      <c r="AW1026" s="7"/>
      <c r="AX1026" s="7"/>
      <c r="AY1026" s="7"/>
      <c r="AZ1026" s="7"/>
      <c r="BA1026" s="7"/>
      <c r="BB1026" s="7"/>
      <c r="BC1026" s="7"/>
      <c r="BD1026" s="7"/>
      <c r="BE1026" s="7"/>
      <c r="BF1026" s="7"/>
      <c r="BG1026" s="7"/>
      <c r="BH1026" s="7"/>
      <c r="BI1026" s="7"/>
      <c r="BJ1026" s="7"/>
      <c r="BK1026" s="7"/>
      <c r="BL1026" s="7"/>
      <c r="BM1026" s="7"/>
      <c r="BN1026" s="7"/>
      <c r="BO1026" s="7"/>
      <c r="BP1026" s="7"/>
      <c r="BQ1026" s="7"/>
      <c r="BR1026" s="7"/>
      <c r="BS1026" s="7"/>
      <c r="BT1026" s="7"/>
      <c r="BU1026" s="7"/>
      <c r="BV1026" s="7"/>
      <c r="BW1026" s="7"/>
      <c r="BX1026" s="7"/>
      <c r="BY1026" s="7"/>
      <c r="BZ1026" s="7"/>
      <c r="CA1026" s="7"/>
      <c r="CB1026" s="7"/>
      <c r="CC1026" s="7"/>
      <c r="CD1026" s="7"/>
      <c r="CE1026" s="7"/>
      <c r="CF1026" s="7"/>
      <c r="CG1026" s="7"/>
      <c r="CH1026" s="7"/>
      <c r="CI1026" s="7"/>
      <c r="CJ1026" s="7"/>
      <c r="CK1026" s="7"/>
      <c r="CL1026" s="7"/>
      <c r="CM1026" s="7"/>
      <c r="CN1026" s="7"/>
      <c r="CO1026" s="7"/>
      <c r="CP1026" s="7"/>
      <c r="CQ1026" s="7"/>
      <c r="CR1026" s="7"/>
      <c r="CS1026" s="7"/>
      <c r="CT1026" s="7"/>
      <c r="CU1026" s="7"/>
      <c r="CV1026" s="7"/>
      <c r="CW1026" s="7"/>
      <c r="CX1026" s="7"/>
      <c r="CY1026" s="7"/>
      <c r="CZ1026" s="7"/>
      <c r="DA1026" s="7"/>
      <c r="DB1026" s="7"/>
      <c r="DC1026" s="7"/>
      <c r="DD1026" s="7"/>
      <c r="DE1026" s="7"/>
      <c r="DF1026" s="7"/>
      <c r="DG1026" s="7"/>
      <c r="DH1026" s="7"/>
      <c r="DI1026" s="7"/>
      <c r="DJ1026" s="7"/>
      <c r="DK1026" s="7"/>
      <c r="DL1026" s="7"/>
      <c r="DM1026" s="7"/>
      <c r="DN1026" s="7"/>
      <c r="DO1026" s="7"/>
      <c r="DP1026" s="7"/>
      <c r="DQ1026" s="7"/>
      <c r="DR1026" s="7"/>
      <c r="DS1026" s="7"/>
      <c r="DT1026" s="7"/>
      <c r="DU1026" s="7"/>
      <c r="DV1026" s="7"/>
      <c r="DW1026" s="7"/>
      <c r="DX1026" s="7"/>
      <c r="DY1026" s="7"/>
      <c r="DZ1026" s="7"/>
      <c r="EA1026" s="7"/>
      <c r="EB1026" s="7"/>
      <c r="EC1026" s="7"/>
      <c r="ED1026" s="7"/>
      <c r="EE1026" s="7"/>
      <c r="EF1026" s="7"/>
      <c r="EG1026" s="7"/>
      <c r="EH1026" s="7"/>
      <c r="EI1026" s="7"/>
      <c r="EJ1026" s="7"/>
      <c r="EK1026" s="7"/>
      <c r="EL1026" s="7"/>
      <c r="EM1026" s="7"/>
      <c r="EN1026" s="7"/>
      <c r="EO1026" s="7"/>
      <c r="EP1026" s="7"/>
      <c r="EQ1026" s="7"/>
      <c r="ER1026" s="7"/>
      <c r="ES1026" s="7"/>
      <c r="ET1026" s="7"/>
      <c r="EU1026" s="7"/>
      <c r="EV1026" s="7"/>
      <c r="EW1026" s="7"/>
      <c r="EX1026" s="7"/>
      <c r="EY1026" s="7"/>
      <c r="EZ1026" s="7"/>
      <c r="FA1026" s="7"/>
      <c r="FB1026" s="7"/>
      <c r="FC1026" s="7"/>
      <c r="FD1026" s="7"/>
      <c r="FE1026" s="7"/>
      <c r="FF1026" s="7"/>
      <c r="FG1026" s="7"/>
      <c r="FH1026" s="7"/>
      <c r="FI1026" s="7"/>
      <c r="FJ1026" s="7"/>
      <c r="FK1026" s="7"/>
      <c r="FL1026" s="7"/>
      <c r="FM1026" s="7"/>
      <c r="FN1026" s="7"/>
      <c r="FO1026" s="7"/>
      <c r="FP1026" s="7"/>
      <c r="FQ1026" s="7"/>
      <c r="FR1026" s="7"/>
      <c r="FS1026" s="7"/>
      <c r="FT1026" s="7"/>
      <c r="FU1026" s="7"/>
      <c r="FV1026" s="7"/>
      <c r="FW1026" s="7"/>
      <c r="FX1026" s="7"/>
      <c r="FY1026" s="7"/>
      <c r="FZ1026" s="7"/>
      <c r="GA1026" s="7"/>
      <c r="GB1026" s="7"/>
      <c r="GC1026" s="7"/>
      <c r="GD1026" s="7"/>
      <c r="GE1026" s="7"/>
      <c r="GF1026" s="7"/>
      <c r="GG1026" s="7"/>
      <c r="GH1026" s="7"/>
      <c r="GI1026" s="7"/>
      <c r="GJ1026" s="7"/>
      <c r="GK1026" s="7"/>
      <c r="GL1026" s="7"/>
      <c r="GM1026" s="7"/>
      <c r="GN1026" s="7"/>
      <c r="GO1026" s="7"/>
      <c r="GP1026" s="7"/>
      <c r="GQ1026" s="7"/>
      <c r="GR1026" s="7"/>
      <c r="GS1026" s="7"/>
      <c r="GT1026" s="7"/>
      <c r="GU1026" s="7"/>
      <c r="GV1026" s="7"/>
      <c r="GW1026" s="7"/>
      <c r="GX1026" s="7"/>
      <c r="GY1026" s="7"/>
      <c r="GZ1026" s="7"/>
      <c r="HA1026" s="7"/>
      <c r="HB1026" s="7"/>
      <c r="HC1026" s="7"/>
      <c r="HD1026" s="7"/>
      <c r="HE1026" s="7"/>
      <c r="HF1026" s="7"/>
      <c r="HG1026" s="7"/>
      <c r="HH1026" s="7"/>
      <c r="HI1026" s="7"/>
      <c r="HJ1026" s="7"/>
      <c r="HK1026" s="7"/>
      <c r="HL1026" s="7"/>
      <c r="HM1026" s="7"/>
      <c r="HN1026" s="7"/>
      <c r="HO1026" s="7"/>
      <c r="HP1026" s="7"/>
      <c r="HQ1026" s="7"/>
      <c r="HR1026" s="7"/>
      <c r="HS1026" s="7"/>
      <c r="HT1026" s="7"/>
      <c r="HU1026" s="7"/>
      <c r="HV1026" s="7"/>
      <c r="HW1026" s="7"/>
      <c r="HX1026" s="7"/>
      <c r="HY1026" s="7"/>
      <c r="HZ1026" s="7"/>
      <c r="IA1026" s="7"/>
      <c r="IB1026" s="7"/>
      <c r="IC1026" s="7"/>
      <c r="ID1026" s="7"/>
      <c r="IE1026" s="7"/>
      <c r="IF1026" s="7"/>
      <c r="IG1026" s="7"/>
      <c r="IH1026" s="7"/>
      <c r="II1026" s="7"/>
      <c r="IJ1026" s="7"/>
      <c r="IK1026" s="7"/>
      <c r="IL1026" s="7"/>
      <c r="IM1026" s="7"/>
      <c r="IN1026" s="7"/>
      <c r="IO1026" s="7"/>
      <c r="IP1026" s="7"/>
      <c r="IQ1026" s="7"/>
      <c r="IR1026" s="7"/>
      <c r="IS1026" s="7"/>
      <c r="IT1026" s="7"/>
      <c r="IU1026" s="7"/>
      <c r="IV1026" s="7"/>
      <c r="IW1026" s="7"/>
      <c r="IX1026" s="7"/>
    </row>
    <row r="1027" spans="1:258" s="17" customFormat="1" ht="21.95" customHeight="1" x14ac:dyDescent="0.25">
      <c r="A1027" s="53" t="s">
        <v>1469</v>
      </c>
      <c r="B1027" s="8" t="s">
        <v>804</v>
      </c>
      <c r="C1027" s="2">
        <f t="shared" si="612"/>
        <v>3587100.0000000005</v>
      </c>
      <c r="D1027" s="3">
        <f t="shared" si="611"/>
        <v>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  <c r="K1027" s="4">
        <v>0</v>
      </c>
      <c r="L1027" s="3">
        <v>0</v>
      </c>
      <c r="M1027" s="5">
        <v>652.20000000000005</v>
      </c>
      <c r="N1027" s="3">
        <f t="shared" si="615"/>
        <v>3587100.0000000005</v>
      </c>
      <c r="O1027" s="3">
        <v>0</v>
      </c>
      <c r="P1027" s="3">
        <v>0</v>
      </c>
      <c r="Q1027" s="3">
        <v>0</v>
      </c>
      <c r="R1027" s="3">
        <f t="shared" si="609"/>
        <v>0</v>
      </c>
      <c r="S1027" s="3">
        <v>0</v>
      </c>
      <c r="T1027" s="5">
        <v>0</v>
      </c>
      <c r="U1027" s="3">
        <v>0</v>
      </c>
      <c r="V1027" s="6">
        <f t="shared" si="610"/>
        <v>5500</v>
      </c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  <c r="AU1027" s="7"/>
      <c r="AV1027" s="7"/>
      <c r="AW1027" s="7"/>
      <c r="AX1027" s="7"/>
      <c r="AY1027" s="7"/>
      <c r="AZ1027" s="7"/>
      <c r="BA1027" s="7"/>
      <c r="BB1027" s="7"/>
      <c r="BC1027" s="7"/>
      <c r="BD1027" s="7"/>
      <c r="BE1027" s="7"/>
      <c r="BF1027" s="7"/>
      <c r="BG1027" s="7"/>
      <c r="BH1027" s="7"/>
      <c r="BI1027" s="7"/>
      <c r="BJ1027" s="7"/>
      <c r="BK1027" s="7"/>
      <c r="BL1027" s="7"/>
      <c r="BM1027" s="7"/>
      <c r="BN1027" s="7"/>
      <c r="BO1027" s="7"/>
      <c r="BP1027" s="7"/>
      <c r="BQ1027" s="7"/>
      <c r="BR1027" s="7"/>
      <c r="BS1027" s="7"/>
      <c r="BT1027" s="7"/>
      <c r="BU1027" s="7"/>
      <c r="BV1027" s="7"/>
      <c r="BW1027" s="7"/>
      <c r="BX1027" s="7"/>
      <c r="BY1027" s="7"/>
      <c r="BZ1027" s="7"/>
      <c r="CA1027" s="7"/>
      <c r="CB1027" s="7"/>
      <c r="CC1027" s="7"/>
      <c r="CD1027" s="7"/>
      <c r="CE1027" s="7"/>
      <c r="CF1027" s="7"/>
      <c r="CG1027" s="7"/>
      <c r="CH1027" s="7"/>
      <c r="CI1027" s="7"/>
      <c r="CJ1027" s="7"/>
      <c r="CK1027" s="7"/>
      <c r="CL1027" s="7"/>
      <c r="CM1027" s="7"/>
      <c r="CN1027" s="7"/>
      <c r="CO1027" s="7"/>
      <c r="CP1027" s="7"/>
      <c r="CQ1027" s="7"/>
      <c r="CR1027" s="7"/>
      <c r="CS1027" s="7"/>
      <c r="CT1027" s="7"/>
      <c r="CU1027" s="7"/>
      <c r="CV1027" s="7"/>
      <c r="CW1027" s="7"/>
      <c r="CX1027" s="7"/>
      <c r="CY1027" s="7"/>
      <c r="CZ1027" s="7"/>
      <c r="DA1027" s="7"/>
      <c r="DB1027" s="7"/>
      <c r="DC1027" s="7"/>
      <c r="DD1027" s="7"/>
      <c r="DE1027" s="7"/>
      <c r="DF1027" s="7"/>
      <c r="DG1027" s="7"/>
      <c r="DH1027" s="7"/>
      <c r="DI1027" s="7"/>
      <c r="DJ1027" s="7"/>
      <c r="DK1027" s="7"/>
      <c r="DL1027" s="7"/>
      <c r="DM1027" s="7"/>
      <c r="DN1027" s="7"/>
      <c r="DO1027" s="7"/>
      <c r="DP1027" s="7"/>
      <c r="DQ1027" s="7"/>
      <c r="DR1027" s="7"/>
      <c r="DS1027" s="7"/>
      <c r="DT1027" s="7"/>
      <c r="DU1027" s="7"/>
      <c r="DV1027" s="7"/>
      <c r="DW1027" s="7"/>
      <c r="DX1027" s="7"/>
      <c r="DY1027" s="7"/>
      <c r="DZ1027" s="7"/>
      <c r="EA1027" s="7"/>
      <c r="EB1027" s="7"/>
      <c r="EC1027" s="7"/>
      <c r="ED1027" s="7"/>
      <c r="EE1027" s="7"/>
      <c r="EF1027" s="7"/>
      <c r="EG1027" s="7"/>
      <c r="EH1027" s="7"/>
      <c r="EI1027" s="7"/>
      <c r="EJ1027" s="7"/>
      <c r="EK1027" s="7"/>
      <c r="EL1027" s="7"/>
      <c r="EM1027" s="7"/>
      <c r="EN1027" s="7"/>
      <c r="EO1027" s="7"/>
      <c r="EP1027" s="7"/>
      <c r="EQ1027" s="7"/>
      <c r="ER1027" s="7"/>
      <c r="ES1027" s="7"/>
      <c r="ET1027" s="7"/>
      <c r="EU1027" s="7"/>
      <c r="EV1027" s="7"/>
      <c r="EW1027" s="7"/>
      <c r="EX1027" s="7"/>
      <c r="EY1027" s="7"/>
      <c r="EZ1027" s="7"/>
      <c r="FA1027" s="7"/>
      <c r="FB1027" s="7"/>
      <c r="FC1027" s="7"/>
      <c r="FD1027" s="7"/>
      <c r="FE1027" s="7"/>
      <c r="FF1027" s="7"/>
      <c r="FG1027" s="7"/>
      <c r="FH1027" s="7"/>
      <c r="FI1027" s="7"/>
      <c r="FJ1027" s="7"/>
      <c r="FK1027" s="7"/>
      <c r="FL1027" s="7"/>
      <c r="FM1027" s="7"/>
      <c r="FN1027" s="7"/>
      <c r="FO1027" s="7"/>
      <c r="FP1027" s="7"/>
      <c r="FQ1027" s="7"/>
      <c r="FR1027" s="7"/>
      <c r="FS1027" s="7"/>
      <c r="FT1027" s="7"/>
      <c r="FU1027" s="7"/>
      <c r="FV1027" s="7"/>
      <c r="FW1027" s="7"/>
      <c r="FX1027" s="7"/>
      <c r="FY1027" s="7"/>
      <c r="FZ1027" s="7"/>
      <c r="GA1027" s="7"/>
      <c r="GB1027" s="7"/>
      <c r="GC1027" s="7"/>
      <c r="GD1027" s="7"/>
      <c r="GE1027" s="7"/>
      <c r="GF1027" s="7"/>
      <c r="GG1027" s="7"/>
      <c r="GH1027" s="7"/>
      <c r="GI1027" s="7"/>
      <c r="GJ1027" s="7"/>
      <c r="GK1027" s="7"/>
      <c r="GL1027" s="7"/>
      <c r="GM1027" s="7"/>
      <c r="GN1027" s="7"/>
      <c r="GO1027" s="7"/>
      <c r="GP1027" s="7"/>
      <c r="GQ1027" s="7"/>
      <c r="GR1027" s="7"/>
      <c r="GS1027" s="7"/>
      <c r="GT1027" s="7"/>
      <c r="GU1027" s="7"/>
      <c r="GV1027" s="7"/>
      <c r="GW1027" s="7"/>
      <c r="GX1027" s="7"/>
      <c r="GY1027" s="7"/>
      <c r="GZ1027" s="7"/>
      <c r="HA1027" s="7"/>
      <c r="HB1027" s="7"/>
      <c r="HC1027" s="7"/>
      <c r="HD1027" s="7"/>
      <c r="HE1027" s="7"/>
      <c r="HF1027" s="7"/>
      <c r="HG1027" s="7"/>
      <c r="HH1027" s="7"/>
      <c r="HI1027" s="7"/>
      <c r="HJ1027" s="7"/>
      <c r="HK1027" s="7"/>
      <c r="HL1027" s="7"/>
      <c r="HM1027" s="7"/>
      <c r="HN1027" s="7"/>
      <c r="HO1027" s="7"/>
      <c r="HP1027" s="7"/>
      <c r="HQ1027" s="7"/>
      <c r="HR1027" s="7"/>
      <c r="HS1027" s="7"/>
      <c r="HT1027" s="7"/>
      <c r="HU1027" s="7"/>
      <c r="HV1027" s="7"/>
      <c r="HW1027" s="7"/>
      <c r="HX1027" s="7"/>
      <c r="HY1027" s="7"/>
      <c r="HZ1027" s="7"/>
      <c r="IA1027" s="7"/>
      <c r="IB1027" s="7"/>
      <c r="IC1027" s="7"/>
      <c r="ID1027" s="7"/>
      <c r="IE1027" s="7"/>
      <c r="IF1027" s="7"/>
      <c r="IG1027" s="7"/>
      <c r="IH1027" s="7"/>
      <c r="II1027" s="7"/>
      <c r="IJ1027" s="7"/>
      <c r="IK1027" s="7"/>
      <c r="IL1027" s="7"/>
      <c r="IM1027" s="7"/>
      <c r="IN1027" s="7"/>
      <c r="IO1027" s="7"/>
      <c r="IP1027" s="7"/>
      <c r="IQ1027" s="7"/>
      <c r="IR1027" s="7"/>
      <c r="IS1027" s="7"/>
      <c r="IT1027" s="7"/>
      <c r="IU1027" s="7"/>
      <c r="IV1027" s="7"/>
      <c r="IW1027" s="7"/>
      <c r="IX1027" s="7"/>
    </row>
    <row r="1028" spans="1:258" s="17" customFormat="1" ht="21.95" customHeight="1" x14ac:dyDescent="0.25">
      <c r="A1028" s="53" t="s">
        <v>1470</v>
      </c>
      <c r="B1028" s="8" t="s">
        <v>805</v>
      </c>
      <c r="C1028" s="2">
        <f t="shared" si="612"/>
        <v>2830848</v>
      </c>
      <c r="D1028" s="3">
        <f t="shared" si="611"/>
        <v>0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4">
        <v>0</v>
      </c>
      <c r="L1028" s="3">
        <v>0</v>
      </c>
      <c r="M1028" s="5">
        <v>768</v>
      </c>
      <c r="N1028" s="3">
        <f>M1028*3686</f>
        <v>2830848</v>
      </c>
      <c r="O1028" s="3">
        <v>0</v>
      </c>
      <c r="P1028" s="3">
        <v>0</v>
      </c>
      <c r="Q1028" s="3">
        <v>0</v>
      </c>
      <c r="R1028" s="3">
        <f t="shared" si="609"/>
        <v>0</v>
      </c>
      <c r="S1028" s="3">
        <v>0</v>
      </c>
      <c r="T1028" s="5">
        <v>0</v>
      </c>
      <c r="U1028" s="3">
        <v>0</v>
      </c>
      <c r="V1028" s="6">
        <f t="shared" si="610"/>
        <v>3686</v>
      </c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  <c r="AU1028" s="7"/>
      <c r="AV1028" s="7"/>
      <c r="AW1028" s="7"/>
      <c r="AX1028" s="7"/>
      <c r="AY1028" s="7"/>
      <c r="AZ1028" s="7"/>
      <c r="BA1028" s="7"/>
      <c r="BB1028" s="7"/>
      <c r="BC1028" s="7"/>
      <c r="BD1028" s="7"/>
      <c r="BE1028" s="7"/>
      <c r="BF1028" s="7"/>
      <c r="BG1028" s="7"/>
      <c r="BH1028" s="7"/>
      <c r="BI1028" s="7"/>
      <c r="BJ1028" s="7"/>
      <c r="BK1028" s="7"/>
      <c r="BL1028" s="7"/>
      <c r="BM1028" s="7"/>
      <c r="BN1028" s="7"/>
      <c r="BO1028" s="7"/>
      <c r="BP1028" s="7"/>
      <c r="BQ1028" s="7"/>
      <c r="BR1028" s="7"/>
      <c r="BS1028" s="7"/>
      <c r="BT1028" s="7"/>
      <c r="BU1028" s="7"/>
      <c r="BV1028" s="7"/>
      <c r="BW1028" s="7"/>
      <c r="BX1028" s="7"/>
      <c r="BY1028" s="7"/>
      <c r="BZ1028" s="7"/>
      <c r="CA1028" s="7"/>
      <c r="CB1028" s="7"/>
      <c r="CC1028" s="7"/>
      <c r="CD1028" s="7"/>
      <c r="CE1028" s="7"/>
      <c r="CF1028" s="7"/>
      <c r="CG1028" s="7"/>
      <c r="CH1028" s="7"/>
      <c r="CI1028" s="7"/>
      <c r="CJ1028" s="7"/>
      <c r="CK1028" s="7"/>
      <c r="CL1028" s="7"/>
      <c r="CM1028" s="7"/>
      <c r="CN1028" s="7"/>
      <c r="CO1028" s="7"/>
      <c r="CP1028" s="7"/>
      <c r="CQ1028" s="7"/>
      <c r="CR1028" s="7"/>
      <c r="CS1028" s="7"/>
      <c r="CT1028" s="7"/>
      <c r="CU1028" s="7"/>
      <c r="CV1028" s="7"/>
      <c r="CW1028" s="7"/>
      <c r="CX1028" s="7"/>
      <c r="CY1028" s="7"/>
      <c r="CZ1028" s="7"/>
      <c r="DA1028" s="7"/>
      <c r="DB1028" s="7"/>
      <c r="DC1028" s="7"/>
      <c r="DD1028" s="7"/>
      <c r="DE1028" s="7"/>
      <c r="DF1028" s="7"/>
      <c r="DG1028" s="7"/>
      <c r="DH1028" s="7"/>
      <c r="DI1028" s="7"/>
      <c r="DJ1028" s="7"/>
      <c r="DK1028" s="7"/>
      <c r="DL1028" s="7"/>
      <c r="DM1028" s="7"/>
      <c r="DN1028" s="7"/>
      <c r="DO1028" s="7"/>
      <c r="DP1028" s="7"/>
      <c r="DQ1028" s="7"/>
      <c r="DR1028" s="7"/>
      <c r="DS1028" s="7"/>
      <c r="DT1028" s="7"/>
      <c r="DU1028" s="7"/>
      <c r="DV1028" s="7"/>
      <c r="DW1028" s="7"/>
      <c r="DX1028" s="7"/>
      <c r="DY1028" s="7"/>
      <c r="DZ1028" s="7"/>
      <c r="EA1028" s="7"/>
      <c r="EB1028" s="7"/>
      <c r="EC1028" s="7"/>
      <c r="ED1028" s="7"/>
      <c r="EE1028" s="7"/>
      <c r="EF1028" s="7"/>
      <c r="EG1028" s="7"/>
      <c r="EH1028" s="7"/>
      <c r="EI1028" s="7"/>
      <c r="EJ1028" s="7"/>
      <c r="EK1028" s="7"/>
      <c r="EL1028" s="7"/>
      <c r="EM1028" s="7"/>
      <c r="EN1028" s="7"/>
      <c r="EO1028" s="7"/>
      <c r="EP1028" s="7"/>
      <c r="EQ1028" s="7"/>
      <c r="ER1028" s="7"/>
      <c r="ES1028" s="7"/>
      <c r="ET1028" s="7"/>
      <c r="EU1028" s="7"/>
      <c r="EV1028" s="7"/>
      <c r="EW1028" s="7"/>
      <c r="EX1028" s="7"/>
      <c r="EY1028" s="7"/>
      <c r="EZ1028" s="7"/>
      <c r="FA1028" s="7"/>
      <c r="FB1028" s="7"/>
      <c r="FC1028" s="7"/>
      <c r="FD1028" s="7"/>
      <c r="FE1028" s="7"/>
      <c r="FF1028" s="7"/>
      <c r="FG1028" s="7"/>
      <c r="FH1028" s="7"/>
      <c r="FI1028" s="7"/>
      <c r="FJ1028" s="7"/>
      <c r="FK1028" s="7"/>
      <c r="FL1028" s="7"/>
      <c r="FM1028" s="7"/>
      <c r="FN1028" s="7"/>
      <c r="FO1028" s="7"/>
      <c r="FP1028" s="7"/>
      <c r="FQ1028" s="7"/>
      <c r="FR1028" s="7"/>
      <c r="FS1028" s="7"/>
      <c r="FT1028" s="7"/>
      <c r="FU1028" s="7"/>
      <c r="FV1028" s="7"/>
      <c r="FW1028" s="7"/>
      <c r="FX1028" s="7"/>
      <c r="FY1028" s="7"/>
      <c r="FZ1028" s="7"/>
      <c r="GA1028" s="7"/>
      <c r="GB1028" s="7"/>
      <c r="GC1028" s="7"/>
      <c r="GD1028" s="7"/>
      <c r="GE1028" s="7"/>
      <c r="GF1028" s="7"/>
      <c r="GG1028" s="7"/>
      <c r="GH1028" s="7"/>
      <c r="GI1028" s="7"/>
      <c r="GJ1028" s="7"/>
      <c r="GK1028" s="7"/>
      <c r="GL1028" s="7"/>
      <c r="GM1028" s="7"/>
      <c r="GN1028" s="7"/>
      <c r="GO1028" s="7"/>
      <c r="GP1028" s="7"/>
      <c r="GQ1028" s="7"/>
      <c r="GR1028" s="7"/>
      <c r="GS1028" s="7"/>
      <c r="GT1028" s="7"/>
      <c r="GU1028" s="7"/>
      <c r="GV1028" s="7"/>
      <c r="GW1028" s="7"/>
      <c r="GX1028" s="7"/>
      <c r="GY1028" s="7"/>
      <c r="GZ1028" s="7"/>
      <c r="HA1028" s="7"/>
      <c r="HB1028" s="7"/>
      <c r="HC1028" s="7"/>
      <c r="HD1028" s="7"/>
      <c r="HE1028" s="7"/>
      <c r="HF1028" s="7"/>
      <c r="HG1028" s="7"/>
      <c r="HH1028" s="7"/>
      <c r="HI1028" s="7"/>
      <c r="HJ1028" s="7"/>
      <c r="HK1028" s="7"/>
      <c r="HL1028" s="7"/>
      <c r="HM1028" s="7"/>
      <c r="HN1028" s="7"/>
      <c r="HO1028" s="7"/>
      <c r="HP1028" s="7"/>
      <c r="HQ1028" s="7"/>
      <c r="HR1028" s="7"/>
      <c r="HS1028" s="7"/>
      <c r="HT1028" s="7"/>
      <c r="HU1028" s="7"/>
      <c r="HV1028" s="7"/>
      <c r="HW1028" s="7"/>
      <c r="HX1028" s="7"/>
      <c r="HY1028" s="7"/>
      <c r="HZ1028" s="7"/>
      <c r="IA1028" s="7"/>
      <c r="IB1028" s="7"/>
      <c r="IC1028" s="7"/>
      <c r="ID1028" s="7"/>
      <c r="IE1028" s="7"/>
      <c r="IF1028" s="7"/>
      <c r="IG1028" s="7"/>
      <c r="IH1028" s="7"/>
      <c r="II1028" s="7"/>
      <c r="IJ1028" s="7"/>
      <c r="IK1028" s="7"/>
      <c r="IL1028" s="7"/>
      <c r="IM1028" s="7"/>
      <c r="IN1028" s="7"/>
      <c r="IO1028" s="7"/>
      <c r="IP1028" s="7"/>
      <c r="IQ1028" s="7"/>
      <c r="IR1028" s="7"/>
      <c r="IS1028" s="7"/>
      <c r="IT1028" s="7"/>
      <c r="IU1028" s="7"/>
      <c r="IV1028" s="7"/>
      <c r="IW1028" s="7"/>
      <c r="IX1028" s="7"/>
    </row>
    <row r="1029" spans="1:258" ht="21.95" customHeight="1" x14ac:dyDescent="0.25">
      <c r="A1029" s="53" t="s">
        <v>1471</v>
      </c>
      <c r="B1029" s="23" t="s">
        <v>484</v>
      </c>
      <c r="C1029" s="2">
        <f>D1029+L1029+N1029+P1029+R1029+S1029+T1029+U1029</f>
        <v>6004635</v>
      </c>
      <c r="D1029" s="3">
        <f>SUM(E1029:J1029)</f>
        <v>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4">
        <v>0</v>
      </c>
      <c r="L1029" s="3">
        <v>0</v>
      </c>
      <c r="M1029" s="3">
        <v>1132.95</v>
      </c>
      <c r="N1029" s="3">
        <f>M1029*5300</f>
        <v>6004635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6">
        <f>N1029/M1029</f>
        <v>5300</v>
      </c>
    </row>
    <row r="1030" spans="1:258" ht="21.95" customHeight="1" x14ac:dyDescent="0.25">
      <c r="A1030" s="53" t="s">
        <v>1472</v>
      </c>
      <c r="B1030" s="23" t="s">
        <v>806</v>
      </c>
      <c r="C1030" s="2">
        <f t="shared" si="612"/>
        <v>3138300</v>
      </c>
      <c r="D1030" s="3">
        <f t="shared" si="611"/>
        <v>0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4">
        <v>0</v>
      </c>
      <c r="L1030" s="3">
        <v>0</v>
      </c>
      <c r="M1030" s="5">
        <v>570.6</v>
      </c>
      <c r="N1030" s="3">
        <f t="shared" ref="N1030" si="617">M1030*5500</f>
        <v>3138300</v>
      </c>
      <c r="O1030" s="3">
        <v>0</v>
      </c>
      <c r="P1030" s="3">
        <v>0</v>
      </c>
      <c r="Q1030" s="3">
        <v>0</v>
      </c>
      <c r="R1030" s="3">
        <f t="shared" si="609"/>
        <v>0</v>
      </c>
      <c r="S1030" s="3">
        <v>0</v>
      </c>
      <c r="T1030" s="5">
        <v>0</v>
      </c>
      <c r="U1030" s="3">
        <v>0</v>
      </c>
      <c r="V1030" s="6">
        <f t="shared" si="610"/>
        <v>5500</v>
      </c>
    </row>
    <row r="1031" spans="1:258" ht="21.95" customHeight="1" x14ac:dyDescent="0.25">
      <c r="A1031" s="53" t="s">
        <v>1473</v>
      </c>
      <c r="B1031" s="23" t="s">
        <v>807</v>
      </c>
      <c r="C1031" s="2">
        <f t="shared" si="612"/>
        <v>3117399.9999999995</v>
      </c>
      <c r="D1031" s="3">
        <f t="shared" si="611"/>
        <v>0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4">
        <v>0</v>
      </c>
      <c r="L1031" s="3">
        <v>0</v>
      </c>
      <c r="M1031" s="5">
        <v>566.79999999999995</v>
      </c>
      <c r="N1031" s="3">
        <f t="shared" ref="N1031:N1037" si="618">M1031*5500</f>
        <v>3117399.9999999995</v>
      </c>
      <c r="O1031" s="3">
        <v>0</v>
      </c>
      <c r="P1031" s="3">
        <v>0</v>
      </c>
      <c r="Q1031" s="3">
        <v>0</v>
      </c>
      <c r="R1031" s="3">
        <f t="shared" si="609"/>
        <v>0</v>
      </c>
      <c r="S1031" s="3">
        <v>0</v>
      </c>
      <c r="T1031" s="5">
        <v>0</v>
      </c>
      <c r="U1031" s="3">
        <v>0</v>
      </c>
      <c r="V1031" s="6">
        <f t="shared" si="610"/>
        <v>5500</v>
      </c>
    </row>
    <row r="1032" spans="1:258" ht="21.95" customHeight="1" x14ac:dyDescent="0.25">
      <c r="A1032" s="53" t="s">
        <v>1474</v>
      </c>
      <c r="B1032" s="23" t="s">
        <v>808</v>
      </c>
      <c r="C1032" s="2">
        <f t="shared" si="612"/>
        <v>3117399.9999999995</v>
      </c>
      <c r="D1032" s="3">
        <f t="shared" si="611"/>
        <v>0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4">
        <v>0</v>
      </c>
      <c r="L1032" s="3">
        <v>0</v>
      </c>
      <c r="M1032" s="5">
        <v>566.79999999999995</v>
      </c>
      <c r="N1032" s="3">
        <f t="shared" si="618"/>
        <v>3117399.9999999995</v>
      </c>
      <c r="O1032" s="3">
        <v>0</v>
      </c>
      <c r="P1032" s="3">
        <v>0</v>
      </c>
      <c r="Q1032" s="3">
        <v>0</v>
      </c>
      <c r="R1032" s="3">
        <f t="shared" si="609"/>
        <v>0</v>
      </c>
      <c r="S1032" s="3">
        <v>0</v>
      </c>
      <c r="T1032" s="5">
        <v>0</v>
      </c>
      <c r="U1032" s="3">
        <v>0</v>
      </c>
      <c r="V1032" s="6">
        <f t="shared" si="610"/>
        <v>5500</v>
      </c>
    </row>
    <row r="1033" spans="1:258" s="30" customFormat="1" ht="21.95" customHeight="1" x14ac:dyDescent="0.25">
      <c r="A1033" s="53" t="s">
        <v>1475</v>
      </c>
      <c r="B1033" s="8" t="s">
        <v>729</v>
      </c>
      <c r="C1033" s="2">
        <f t="shared" si="612"/>
        <v>3119050</v>
      </c>
      <c r="D1033" s="3">
        <f t="shared" si="611"/>
        <v>0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4">
        <v>0</v>
      </c>
      <c r="L1033" s="3">
        <v>0</v>
      </c>
      <c r="M1033" s="3">
        <v>567.1</v>
      </c>
      <c r="N1033" s="3">
        <f t="shared" si="618"/>
        <v>3119050</v>
      </c>
      <c r="O1033" s="3">
        <v>0</v>
      </c>
      <c r="P1033" s="3">
        <v>0</v>
      </c>
      <c r="Q1033" s="3">
        <v>0</v>
      </c>
      <c r="R1033" s="3">
        <f t="shared" si="609"/>
        <v>0</v>
      </c>
      <c r="S1033" s="3">
        <v>0</v>
      </c>
      <c r="T1033" s="5">
        <v>0</v>
      </c>
      <c r="U1033" s="3">
        <v>0</v>
      </c>
      <c r="V1033" s="6">
        <f t="shared" si="610"/>
        <v>5500</v>
      </c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  <c r="AU1033" s="7"/>
      <c r="AV1033" s="7"/>
      <c r="AW1033" s="7"/>
      <c r="AX1033" s="7"/>
      <c r="AY1033" s="7"/>
      <c r="AZ1033" s="7"/>
      <c r="BA1033" s="7"/>
      <c r="BB1033" s="7"/>
      <c r="BC1033" s="7"/>
      <c r="BD1033" s="7"/>
      <c r="BE1033" s="7"/>
      <c r="BF1033" s="7"/>
      <c r="BG1033" s="7"/>
      <c r="BH1033" s="7"/>
      <c r="BI1033" s="7"/>
      <c r="BJ1033" s="7"/>
      <c r="BK1033" s="7"/>
      <c r="BL1033" s="7"/>
      <c r="BM1033" s="7"/>
      <c r="BN1033" s="7"/>
      <c r="BO1033" s="7"/>
      <c r="BP1033" s="7"/>
      <c r="BQ1033" s="7"/>
      <c r="BR1033" s="7"/>
      <c r="BS1033" s="7"/>
      <c r="BT1033" s="7"/>
      <c r="BU1033" s="7"/>
      <c r="BV1033" s="7"/>
      <c r="BW1033" s="7"/>
      <c r="BX1033" s="7"/>
      <c r="BY1033" s="7"/>
      <c r="BZ1033" s="7"/>
      <c r="CA1033" s="7"/>
      <c r="CB1033" s="7"/>
      <c r="CC1033" s="7"/>
      <c r="CD1033" s="7"/>
      <c r="CE1033" s="7"/>
      <c r="CF1033" s="7"/>
      <c r="CG1033" s="7"/>
      <c r="CH1033" s="7"/>
      <c r="CI1033" s="7"/>
      <c r="CJ1033" s="7"/>
      <c r="CK1033" s="7"/>
      <c r="CL1033" s="7"/>
      <c r="CM1033" s="7"/>
      <c r="CN1033" s="7"/>
      <c r="CO1033" s="7"/>
      <c r="CP1033" s="7"/>
      <c r="CQ1033" s="7"/>
      <c r="CR1033" s="7"/>
      <c r="CS1033" s="7"/>
      <c r="CT1033" s="7"/>
      <c r="CU1033" s="7"/>
      <c r="CV1033" s="7"/>
      <c r="CW1033" s="7"/>
      <c r="CX1033" s="7"/>
      <c r="CY1033" s="7"/>
      <c r="CZ1033" s="7"/>
      <c r="DA1033" s="7"/>
      <c r="DB1033" s="7"/>
      <c r="DC1033" s="7"/>
      <c r="DD1033" s="7"/>
      <c r="DE1033" s="7"/>
      <c r="DF1033" s="7"/>
      <c r="DG1033" s="7"/>
      <c r="DH1033" s="7"/>
      <c r="DI1033" s="7"/>
      <c r="DJ1033" s="7"/>
      <c r="DK1033" s="7"/>
      <c r="DL1033" s="7"/>
      <c r="DM1033" s="7"/>
      <c r="DN1033" s="7"/>
      <c r="DO1033" s="7"/>
      <c r="DP1033" s="7"/>
      <c r="DQ1033" s="7"/>
      <c r="DR1033" s="7"/>
      <c r="DS1033" s="7"/>
      <c r="DT1033" s="7"/>
      <c r="DU1033" s="7"/>
      <c r="DV1033" s="7"/>
      <c r="DW1033" s="7"/>
      <c r="DX1033" s="7"/>
      <c r="DY1033" s="7"/>
      <c r="DZ1033" s="7"/>
      <c r="EA1033" s="7"/>
      <c r="EB1033" s="7"/>
      <c r="EC1033" s="7"/>
      <c r="ED1033" s="7"/>
      <c r="EE1033" s="7"/>
      <c r="EF1033" s="7"/>
      <c r="EG1033" s="7"/>
      <c r="EH1033" s="7"/>
      <c r="EI1033" s="7"/>
      <c r="EJ1033" s="7"/>
      <c r="EK1033" s="7"/>
      <c r="EL1033" s="7"/>
      <c r="EM1033" s="7"/>
      <c r="EN1033" s="7"/>
      <c r="EO1033" s="7"/>
      <c r="EP1033" s="7"/>
      <c r="EQ1033" s="7"/>
      <c r="ER1033" s="7"/>
      <c r="ES1033" s="7"/>
      <c r="ET1033" s="7"/>
      <c r="EU1033" s="7"/>
      <c r="EV1033" s="7"/>
      <c r="EW1033" s="7"/>
      <c r="EX1033" s="7"/>
      <c r="EY1033" s="7"/>
      <c r="EZ1033" s="7"/>
      <c r="FA1033" s="7"/>
      <c r="FB1033" s="7"/>
      <c r="FC1033" s="7"/>
      <c r="FD1033" s="7"/>
      <c r="FE1033" s="7"/>
      <c r="FF1033" s="7"/>
      <c r="FG1033" s="7"/>
      <c r="FH1033" s="7"/>
      <c r="FI1033" s="7"/>
      <c r="FJ1033" s="7"/>
      <c r="FK1033" s="7"/>
      <c r="FL1033" s="7"/>
      <c r="FM1033" s="7"/>
      <c r="FN1033" s="7"/>
      <c r="FO1033" s="7"/>
      <c r="FP1033" s="7"/>
      <c r="FQ1033" s="7"/>
      <c r="FR1033" s="7"/>
      <c r="FS1033" s="7"/>
      <c r="FT1033" s="7"/>
      <c r="FU1033" s="7"/>
      <c r="FV1033" s="7"/>
      <c r="FW1033" s="7"/>
      <c r="FX1033" s="7"/>
      <c r="FY1033" s="7"/>
      <c r="FZ1033" s="7"/>
      <c r="GA1033" s="7"/>
      <c r="GB1033" s="7"/>
      <c r="GC1033" s="7"/>
      <c r="GD1033" s="7"/>
      <c r="GE1033" s="7"/>
      <c r="GF1033" s="7"/>
      <c r="GG1033" s="7"/>
      <c r="GH1033" s="7"/>
      <c r="GI1033" s="7"/>
      <c r="GJ1033" s="7"/>
      <c r="GK1033" s="7"/>
      <c r="GL1033" s="7"/>
      <c r="GM1033" s="7"/>
      <c r="GN1033" s="7"/>
      <c r="GO1033" s="7"/>
      <c r="GP1033" s="7"/>
      <c r="GQ1033" s="7"/>
      <c r="GR1033" s="7"/>
      <c r="GS1033" s="7"/>
      <c r="GT1033" s="7"/>
      <c r="GU1033" s="7"/>
      <c r="GV1033" s="7"/>
      <c r="GW1033" s="7"/>
      <c r="GX1033" s="7"/>
      <c r="GY1033" s="7"/>
      <c r="GZ1033" s="7"/>
      <c r="HA1033" s="7"/>
      <c r="HB1033" s="7"/>
      <c r="HC1033" s="7"/>
      <c r="HD1033" s="7"/>
      <c r="HE1033" s="7"/>
      <c r="HF1033" s="7"/>
      <c r="HG1033" s="7"/>
      <c r="HH1033" s="7"/>
      <c r="HI1033" s="7"/>
      <c r="HJ1033" s="7"/>
      <c r="HK1033" s="7"/>
      <c r="HL1033" s="7"/>
      <c r="HM1033" s="7"/>
      <c r="HN1033" s="7"/>
      <c r="HO1033" s="7"/>
      <c r="HP1033" s="7"/>
      <c r="HQ1033" s="7"/>
      <c r="HR1033" s="7"/>
      <c r="HS1033" s="7"/>
      <c r="HT1033" s="7"/>
      <c r="HU1033" s="7"/>
      <c r="HV1033" s="7"/>
      <c r="HW1033" s="7"/>
      <c r="HX1033" s="7"/>
      <c r="HY1033" s="7"/>
      <c r="HZ1033" s="7"/>
      <c r="IA1033" s="7"/>
      <c r="IB1033" s="7"/>
      <c r="IC1033" s="7"/>
      <c r="ID1033" s="7"/>
      <c r="IE1033" s="7"/>
      <c r="IF1033" s="7"/>
      <c r="IG1033" s="7"/>
      <c r="IH1033" s="7"/>
      <c r="II1033" s="7"/>
      <c r="IJ1033" s="7"/>
      <c r="IK1033" s="7"/>
      <c r="IL1033" s="7"/>
      <c r="IM1033" s="7"/>
      <c r="IN1033" s="7"/>
      <c r="IO1033" s="7"/>
      <c r="IP1033" s="7"/>
      <c r="IQ1033" s="7"/>
      <c r="IR1033" s="7"/>
      <c r="IS1033" s="7"/>
      <c r="IT1033" s="7"/>
      <c r="IU1033" s="7"/>
      <c r="IV1033" s="7"/>
      <c r="IW1033" s="7"/>
      <c r="IX1033" s="7"/>
    </row>
    <row r="1034" spans="1:258" s="30" customFormat="1" ht="21.95" customHeight="1" x14ac:dyDescent="0.25">
      <c r="A1034" s="53" t="s">
        <v>1476</v>
      </c>
      <c r="B1034" s="8" t="s">
        <v>730</v>
      </c>
      <c r="C1034" s="2">
        <f t="shared" si="612"/>
        <v>2861649.9999999995</v>
      </c>
      <c r="D1034" s="3">
        <f t="shared" si="611"/>
        <v>0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4">
        <v>0</v>
      </c>
      <c r="L1034" s="3">
        <v>0</v>
      </c>
      <c r="M1034" s="5">
        <v>520.29999999999995</v>
      </c>
      <c r="N1034" s="3">
        <f t="shared" si="618"/>
        <v>2861649.9999999995</v>
      </c>
      <c r="O1034" s="3">
        <v>0</v>
      </c>
      <c r="P1034" s="3">
        <v>0</v>
      </c>
      <c r="Q1034" s="3">
        <v>0</v>
      </c>
      <c r="R1034" s="3">
        <f t="shared" si="609"/>
        <v>0</v>
      </c>
      <c r="S1034" s="3">
        <v>0</v>
      </c>
      <c r="T1034" s="5">
        <v>0</v>
      </c>
      <c r="U1034" s="3">
        <v>0</v>
      </c>
      <c r="V1034" s="6">
        <f t="shared" si="610"/>
        <v>5500</v>
      </c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  <c r="AU1034" s="7"/>
      <c r="AV1034" s="7"/>
      <c r="AW1034" s="7"/>
      <c r="AX1034" s="7"/>
      <c r="AY1034" s="7"/>
      <c r="AZ1034" s="7"/>
      <c r="BA1034" s="7"/>
      <c r="BB1034" s="7"/>
      <c r="BC1034" s="7"/>
      <c r="BD1034" s="7"/>
      <c r="BE1034" s="7"/>
      <c r="BF1034" s="7"/>
      <c r="BG1034" s="7"/>
      <c r="BH1034" s="7"/>
      <c r="BI1034" s="7"/>
      <c r="BJ1034" s="7"/>
      <c r="BK1034" s="7"/>
      <c r="BL1034" s="7"/>
      <c r="BM1034" s="7"/>
      <c r="BN1034" s="7"/>
      <c r="BO1034" s="7"/>
      <c r="BP1034" s="7"/>
      <c r="BQ1034" s="7"/>
      <c r="BR1034" s="7"/>
      <c r="BS1034" s="7"/>
      <c r="BT1034" s="7"/>
      <c r="BU1034" s="7"/>
      <c r="BV1034" s="7"/>
      <c r="BW1034" s="7"/>
      <c r="BX1034" s="7"/>
      <c r="BY1034" s="7"/>
      <c r="BZ1034" s="7"/>
      <c r="CA1034" s="7"/>
      <c r="CB1034" s="7"/>
      <c r="CC1034" s="7"/>
      <c r="CD1034" s="7"/>
      <c r="CE1034" s="7"/>
      <c r="CF1034" s="7"/>
      <c r="CG1034" s="7"/>
      <c r="CH1034" s="7"/>
      <c r="CI1034" s="7"/>
      <c r="CJ1034" s="7"/>
      <c r="CK1034" s="7"/>
      <c r="CL1034" s="7"/>
      <c r="CM1034" s="7"/>
      <c r="CN1034" s="7"/>
      <c r="CO1034" s="7"/>
      <c r="CP1034" s="7"/>
      <c r="CQ1034" s="7"/>
      <c r="CR1034" s="7"/>
      <c r="CS1034" s="7"/>
      <c r="CT1034" s="7"/>
      <c r="CU1034" s="7"/>
      <c r="CV1034" s="7"/>
      <c r="CW1034" s="7"/>
      <c r="CX1034" s="7"/>
      <c r="CY1034" s="7"/>
      <c r="CZ1034" s="7"/>
      <c r="DA1034" s="7"/>
      <c r="DB1034" s="7"/>
      <c r="DC1034" s="7"/>
      <c r="DD1034" s="7"/>
      <c r="DE1034" s="7"/>
      <c r="DF1034" s="7"/>
      <c r="DG1034" s="7"/>
      <c r="DH1034" s="7"/>
      <c r="DI1034" s="7"/>
      <c r="DJ1034" s="7"/>
      <c r="DK1034" s="7"/>
      <c r="DL1034" s="7"/>
      <c r="DM1034" s="7"/>
      <c r="DN1034" s="7"/>
      <c r="DO1034" s="7"/>
      <c r="DP1034" s="7"/>
      <c r="DQ1034" s="7"/>
      <c r="DR1034" s="7"/>
      <c r="DS1034" s="7"/>
      <c r="DT1034" s="7"/>
      <c r="DU1034" s="7"/>
      <c r="DV1034" s="7"/>
      <c r="DW1034" s="7"/>
      <c r="DX1034" s="7"/>
      <c r="DY1034" s="7"/>
      <c r="DZ1034" s="7"/>
      <c r="EA1034" s="7"/>
      <c r="EB1034" s="7"/>
      <c r="EC1034" s="7"/>
      <c r="ED1034" s="7"/>
      <c r="EE1034" s="7"/>
      <c r="EF1034" s="7"/>
      <c r="EG1034" s="7"/>
      <c r="EH1034" s="7"/>
      <c r="EI1034" s="7"/>
      <c r="EJ1034" s="7"/>
      <c r="EK1034" s="7"/>
      <c r="EL1034" s="7"/>
      <c r="EM1034" s="7"/>
      <c r="EN1034" s="7"/>
      <c r="EO1034" s="7"/>
      <c r="EP1034" s="7"/>
      <c r="EQ1034" s="7"/>
      <c r="ER1034" s="7"/>
      <c r="ES1034" s="7"/>
      <c r="ET1034" s="7"/>
      <c r="EU1034" s="7"/>
      <c r="EV1034" s="7"/>
      <c r="EW1034" s="7"/>
      <c r="EX1034" s="7"/>
      <c r="EY1034" s="7"/>
      <c r="EZ1034" s="7"/>
      <c r="FA1034" s="7"/>
      <c r="FB1034" s="7"/>
      <c r="FC1034" s="7"/>
      <c r="FD1034" s="7"/>
      <c r="FE1034" s="7"/>
      <c r="FF1034" s="7"/>
      <c r="FG1034" s="7"/>
      <c r="FH1034" s="7"/>
      <c r="FI1034" s="7"/>
      <c r="FJ1034" s="7"/>
      <c r="FK1034" s="7"/>
      <c r="FL1034" s="7"/>
      <c r="FM1034" s="7"/>
      <c r="FN1034" s="7"/>
      <c r="FO1034" s="7"/>
      <c r="FP1034" s="7"/>
      <c r="FQ1034" s="7"/>
      <c r="FR1034" s="7"/>
      <c r="FS1034" s="7"/>
      <c r="FT1034" s="7"/>
      <c r="FU1034" s="7"/>
      <c r="FV1034" s="7"/>
      <c r="FW1034" s="7"/>
      <c r="FX1034" s="7"/>
      <c r="FY1034" s="7"/>
      <c r="FZ1034" s="7"/>
      <c r="GA1034" s="7"/>
      <c r="GB1034" s="7"/>
      <c r="GC1034" s="7"/>
      <c r="GD1034" s="7"/>
      <c r="GE1034" s="7"/>
      <c r="GF1034" s="7"/>
      <c r="GG1034" s="7"/>
      <c r="GH1034" s="7"/>
      <c r="GI1034" s="7"/>
      <c r="GJ1034" s="7"/>
      <c r="GK1034" s="7"/>
      <c r="GL1034" s="7"/>
      <c r="GM1034" s="7"/>
      <c r="GN1034" s="7"/>
      <c r="GO1034" s="7"/>
      <c r="GP1034" s="7"/>
      <c r="GQ1034" s="7"/>
      <c r="GR1034" s="7"/>
      <c r="GS1034" s="7"/>
      <c r="GT1034" s="7"/>
      <c r="GU1034" s="7"/>
      <c r="GV1034" s="7"/>
      <c r="GW1034" s="7"/>
      <c r="GX1034" s="7"/>
      <c r="GY1034" s="7"/>
      <c r="GZ1034" s="7"/>
      <c r="HA1034" s="7"/>
      <c r="HB1034" s="7"/>
      <c r="HC1034" s="7"/>
      <c r="HD1034" s="7"/>
      <c r="HE1034" s="7"/>
      <c r="HF1034" s="7"/>
      <c r="HG1034" s="7"/>
      <c r="HH1034" s="7"/>
      <c r="HI1034" s="7"/>
      <c r="HJ1034" s="7"/>
      <c r="HK1034" s="7"/>
      <c r="HL1034" s="7"/>
      <c r="HM1034" s="7"/>
      <c r="HN1034" s="7"/>
      <c r="HO1034" s="7"/>
      <c r="HP1034" s="7"/>
      <c r="HQ1034" s="7"/>
      <c r="HR1034" s="7"/>
      <c r="HS1034" s="7"/>
      <c r="HT1034" s="7"/>
      <c r="HU1034" s="7"/>
      <c r="HV1034" s="7"/>
      <c r="HW1034" s="7"/>
      <c r="HX1034" s="7"/>
      <c r="HY1034" s="7"/>
      <c r="HZ1034" s="7"/>
      <c r="IA1034" s="7"/>
      <c r="IB1034" s="7"/>
      <c r="IC1034" s="7"/>
      <c r="ID1034" s="7"/>
      <c r="IE1034" s="7"/>
      <c r="IF1034" s="7"/>
      <c r="IG1034" s="7"/>
      <c r="IH1034" s="7"/>
      <c r="II1034" s="7"/>
      <c r="IJ1034" s="7"/>
      <c r="IK1034" s="7"/>
      <c r="IL1034" s="7"/>
      <c r="IM1034" s="7"/>
      <c r="IN1034" s="7"/>
      <c r="IO1034" s="7"/>
      <c r="IP1034" s="7"/>
      <c r="IQ1034" s="7"/>
      <c r="IR1034" s="7"/>
      <c r="IS1034" s="7"/>
      <c r="IT1034" s="7"/>
      <c r="IU1034" s="7"/>
      <c r="IV1034" s="7"/>
      <c r="IW1034" s="7"/>
      <c r="IX1034" s="7"/>
    </row>
    <row r="1035" spans="1:258" s="30" customFormat="1" ht="21.95" customHeight="1" x14ac:dyDescent="0.25">
      <c r="A1035" s="53" t="s">
        <v>1477</v>
      </c>
      <c r="B1035" s="8" t="s">
        <v>731</v>
      </c>
      <c r="C1035" s="2">
        <f t="shared" si="612"/>
        <v>2953750</v>
      </c>
      <c r="D1035" s="3">
        <f t="shared" si="611"/>
        <v>0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  <c r="K1035" s="4">
        <v>0</v>
      </c>
      <c r="L1035" s="3">
        <v>0</v>
      </c>
      <c r="M1035" s="3">
        <v>482.5</v>
      </c>
      <c r="N1035" s="3">
        <f t="shared" si="618"/>
        <v>2653750</v>
      </c>
      <c r="O1035" s="3">
        <v>0</v>
      </c>
      <c r="P1035" s="3">
        <v>0</v>
      </c>
      <c r="Q1035" s="3">
        <v>0</v>
      </c>
      <c r="R1035" s="3">
        <f t="shared" si="609"/>
        <v>0</v>
      </c>
      <c r="S1035" s="3">
        <v>0</v>
      </c>
      <c r="T1035" s="5">
        <v>0</v>
      </c>
      <c r="U1035" s="3">
        <v>300000</v>
      </c>
      <c r="V1035" s="6">
        <f t="shared" si="610"/>
        <v>5500</v>
      </c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  <c r="AU1035" s="7"/>
      <c r="AV1035" s="7"/>
      <c r="AW1035" s="7"/>
      <c r="AX1035" s="7"/>
      <c r="AY1035" s="7"/>
      <c r="AZ1035" s="7"/>
      <c r="BA1035" s="7"/>
      <c r="BB1035" s="7"/>
      <c r="BC1035" s="7"/>
      <c r="BD1035" s="7"/>
      <c r="BE1035" s="7"/>
      <c r="BF1035" s="7"/>
      <c r="BG1035" s="7"/>
      <c r="BH1035" s="7"/>
      <c r="BI1035" s="7"/>
      <c r="BJ1035" s="7"/>
      <c r="BK1035" s="7"/>
      <c r="BL1035" s="7"/>
      <c r="BM1035" s="7"/>
      <c r="BN1035" s="7"/>
      <c r="BO1035" s="7"/>
      <c r="BP1035" s="7"/>
      <c r="BQ1035" s="7"/>
      <c r="BR1035" s="7"/>
      <c r="BS1035" s="7"/>
      <c r="BT1035" s="7"/>
      <c r="BU1035" s="7"/>
      <c r="BV1035" s="7"/>
      <c r="BW1035" s="7"/>
      <c r="BX1035" s="7"/>
      <c r="BY1035" s="7"/>
      <c r="BZ1035" s="7"/>
      <c r="CA1035" s="7"/>
      <c r="CB1035" s="7"/>
      <c r="CC1035" s="7"/>
      <c r="CD1035" s="7"/>
      <c r="CE1035" s="7"/>
      <c r="CF1035" s="7"/>
      <c r="CG1035" s="7"/>
      <c r="CH1035" s="7"/>
      <c r="CI1035" s="7"/>
      <c r="CJ1035" s="7"/>
      <c r="CK1035" s="7"/>
      <c r="CL1035" s="7"/>
      <c r="CM1035" s="7"/>
      <c r="CN1035" s="7"/>
      <c r="CO1035" s="7"/>
      <c r="CP1035" s="7"/>
      <c r="CQ1035" s="7"/>
      <c r="CR1035" s="7"/>
      <c r="CS1035" s="7"/>
      <c r="CT1035" s="7"/>
      <c r="CU1035" s="7"/>
      <c r="CV1035" s="7"/>
      <c r="CW1035" s="7"/>
      <c r="CX1035" s="7"/>
      <c r="CY1035" s="7"/>
      <c r="CZ1035" s="7"/>
      <c r="DA1035" s="7"/>
      <c r="DB1035" s="7"/>
      <c r="DC1035" s="7"/>
      <c r="DD1035" s="7"/>
      <c r="DE1035" s="7"/>
      <c r="DF1035" s="7"/>
      <c r="DG1035" s="7"/>
      <c r="DH1035" s="7"/>
      <c r="DI1035" s="7"/>
      <c r="DJ1035" s="7"/>
      <c r="DK1035" s="7"/>
      <c r="DL1035" s="7"/>
      <c r="DM1035" s="7"/>
      <c r="DN1035" s="7"/>
      <c r="DO1035" s="7"/>
      <c r="DP1035" s="7"/>
      <c r="DQ1035" s="7"/>
      <c r="DR1035" s="7"/>
      <c r="DS1035" s="7"/>
      <c r="DT1035" s="7"/>
      <c r="DU1035" s="7"/>
      <c r="DV1035" s="7"/>
      <c r="DW1035" s="7"/>
      <c r="DX1035" s="7"/>
      <c r="DY1035" s="7"/>
      <c r="DZ1035" s="7"/>
      <c r="EA1035" s="7"/>
      <c r="EB1035" s="7"/>
      <c r="EC1035" s="7"/>
      <c r="ED1035" s="7"/>
      <c r="EE1035" s="7"/>
      <c r="EF1035" s="7"/>
      <c r="EG1035" s="7"/>
      <c r="EH1035" s="7"/>
      <c r="EI1035" s="7"/>
      <c r="EJ1035" s="7"/>
      <c r="EK1035" s="7"/>
      <c r="EL1035" s="7"/>
      <c r="EM1035" s="7"/>
      <c r="EN1035" s="7"/>
      <c r="EO1035" s="7"/>
      <c r="EP1035" s="7"/>
      <c r="EQ1035" s="7"/>
      <c r="ER1035" s="7"/>
      <c r="ES1035" s="7"/>
      <c r="ET1035" s="7"/>
      <c r="EU1035" s="7"/>
      <c r="EV1035" s="7"/>
      <c r="EW1035" s="7"/>
      <c r="EX1035" s="7"/>
      <c r="EY1035" s="7"/>
      <c r="EZ1035" s="7"/>
      <c r="FA1035" s="7"/>
      <c r="FB1035" s="7"/>
      <c r="FC1035" s="7"/>
      <c r="FD1035" s="7"/>
      <c r="FE1035" s="7"/>
      <c r="FF1035" s="7"/>
      <c r="FG1035" s="7"/>
      <c r="FH1035" s="7"/>
      <c r="FI1035" s="7"/>
      <c r="FJ1035" s="7"/>
      <c r="FK1035" s="7"/>
      <c r="FL1035" s="7"/>
      <c r="FM1035" s="7"/>
      <c r="FN1035" s="7"/>
      <c r="FO1035" s="7"/>
      <c r="FP1035" s="7"/>
      <c r="FQ1035" s="7"/>
      <c r="FR1035" s="7"/>
      <c r="FS1035" s="7"/>
      <c r="FT1035" s="7"/>
      <c r="FU1035" s="7"/>
      <c r="FV1035" s="7"/>
      <c r="FW1035" s="7"/>
      <c r="FX1035" s="7"/>
      <c r="FY1035" s="7"/>
      <c r="FZ1035" s="7"/>
      <c r="GA1035" s="7"/>
      <c r="GB1035" s="7"/>
      <c r="GC1035" s="7"/>
      <c r="GD1035" s="7"/>
      <c r="GE1035" s="7"/>
      <c r="GF1035" s="7"/>
      <c r="GG1035" s="7"/>
      <c r="GH1035" s="7"/>
      <c r="GI1035" s="7"/>
      <c r="GJ1035" s="7"/>
      <c r="GK1035" s="7"/>
      <c r="GL1035" s="7"/>
      <c r="GM1035" s="7"/>
      <c r="GN1035" s="7"/>
      <c r="GO1035" s="7"/>
      <c r="GP1035" s="7"/>
      <c r="GQ1035" s="7"/>
      <c r="GR1035" s="7"/>
      <c r="GS1035" s="7"/>
      <c r="GT1035" s="7"/>
      <c r="GU1035" s="7"/>
      <c r="GV1035" s="7"/>
      <c r="GW1035" s="7"/>
      <c r="GX1035" s="7"/>
      <c r="GY1035" s="7"/>
      <c r="GZ1035" s="7"/>
      <c r="HA1035" s="7"/>
      <c r="HB1035" s="7"/>
      <c r="HC1035" s="7"/>
      <c r="HD1035" s="7"/>
      <c r="HE1035" s="7"/>
      <c r="HF1035" s="7"/>
      <c r="HG1035" s="7"/>
      <c r="HH1035" s="7"/>
      <c r="HI1035" s="7"/>
      <c r="HJ1035" s="7"/>
      <c r="HK1035" s="7"/>
      <c r="HL1035" s="7"/>
      <c r="HM1035" s="7"/>
      <c r="HN1035" s="7"/>
      <c r="HO1035" s="7"/>
      <c r="HP1035" s="7"/>
      <c r="HQ1035" s="7"/>
      <c r="HR1035" s="7"/>
      <c r="HS1035" s="7"/>
      <c r="HT1035" s="7"/>
      <c r="HU1035" s="7"/>
      <c r="HV1035" s="7"/>
      <c r="HW1035" s="7"/>
      <c r="HX1035" s="7"/>
      <c r="HY1035" s="7"/>
      <c r="HZ1035" s="7"/>
      <c r="IA1035" s="7"/>
      <c r="IB1035" s="7"/>
      <c r="IC1035" s="7"/>
      <c r="ID1035" s="7"/>
      <c r="IE1035" s="7"/>
      <c r="IF1035" s="7"/>
      <c r="IG1035" s="7"/>
      <c r="IH1035" s="7"/>
      <c r="II1035" s="7"/>
      <c r="IJ1035" s="7"/>
      <c r="IK1035" s="7"/>
      <c r="IL1035" s="7"/>
      <c r="IM1035" s="7"/>
      <c r="IN1035" s="7"/>
      <c r="IO1035" s="7"/>
      <c r="IP1035" s="7"/>
      <c r="IQ1035" s="7"/>
      <c r="IR1035" s="7"/>
      <c r="IS1035" s="7"/>
      <c r="IT1035" s="7"/>
      <c r="IU1035" s="7"/>
      <c r="IV1035" s="7"/>
      <c r="IW1035" s="7"/>
      <c r="IX1035" s="7"/>
    </row>
    <row r="1036" spans="1:258" ht="21.95" customHeight="1" x14ac:dyDescent="0.25">
      <c r="A1036" s="53" t="s">
        <v>1478</v>
      </c>
      <c r="B1036" s="8" t="s">
        <v>732</v>
      </c>
      <c r="C1036" s="2">
        <f t="shared" si="612"/>
        <v>1430000</v>
      </c>
      <c r="D1036" s="3">
        <f t="shared" si="611"/>
        <v>0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4">
        <v>0</v>
      </c>
      <c r="L1036" s="3">
        <v>0</v>
      </c>
      <c r="M1036" s="3">
        <v>260</v>
      </c>
      <c r="N1036" s="3">
        <f t="shared" si="618"/>
        <v>1430000</v>
      </c>
      <c r="O1036" s="3">
        <v>0</v>
      </c>
      <c r="P1036" s="3">
        <v>0</v>
      </c>
      <c r="Q1036" s="3">
        <v>0</v>
      </c>
      <c r="R1036" s="3">
        <f t="shared" si="609"/>
        <v>0</v>
      </c>
      <c r="S1036" s="3">
        <v>0</v>
      </c>
      <c r="T1036" s="5">
        <v>0</v>
      </c>
      <c r="U1036" s="3">
        <v>0</v>
      </c>
      <c r="V1036" s="6">
        <f t="shared" si="610"/>
        <v>5500</v>
      </c>
    </row>
    <row r="1037" spans="1:258" ht="21.95" customHeight="1" x14ac:dyDescent="0.25">
      <c r="A1037" s="53" t="s">
        <v>1479</v>
      </c>
      <c r="B1037" s="8" t="s">
        <v>733</v>
      </c>
      <c r="C1037" s="2">
        <f t="shared" si="612"/>
        <v>1397000</v>
      </c>
      <c r="D1037" s="3">
        <f t="shared" si="611"/>
        <v>0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4">
        <v>0</v>
      </c>
      <c r="L1037" s="3">
        <v>0</v>
      </c>
      <c r="M1037" s="3">
        <v>254</v>
      </c>
      <c r="N1037" s="3">
        <f t="shared" si="618"/>
        <v>1397000</v>
      </c>
      <c r="O1037" s="3">
        <v>0</v>
      </c>
      <c r="P1037" s="3">
        <v>0</v>
      </c>
      <c r="Q1037" s="3">
        <v>0</v>
      </c>
      <c r="R1037" s="3">
        <f t="shared" si="609"/>
        <v>0</v>
      </c>
      <c r="S1037" s="3">
        <v>0</v>
      </c>
      <c r="T1037" s="5">
        <v>0</v>
      </c>
      <c r="U1037" s="3">
        <v>0</v>
      </c>
      <c r="V1037" s="6">
        <f t="shared" si="610"/>
        <v>5500</v>
      </c>
    </row>
    <row r="1038" spans="1:258" ht="21.95" customHeight="1" x14ac:dyDescent="0.25">
      <c r="A1038" s="53" t="s">
        <v>1480</v>
      </c>
      <c r="B1038" s="8" t="s">
        <v>1165</v>
      </c>
      <c r="C1038" s="2">
        <f t="shared" si="612"/>
        <v>3340621.8</v>
      </c>
      <c r="D1038" s="3">
        <f t="shared" si="611"/>
        <v>0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4">
        <v>0</v>
      </c>
      <c r="L1038" s="3">
        <v>0</v>
      </c>
      <c r="M1038" s="5">
        <v>906.3</v>
      </c>
      <c r="N1038" s="3">
        <f>M1038*3686</f>
        <v>3340621.8</v>
      </c>
      <c r="O1038" s="3">
        <v>0</v>
      </c>
      <c r="P1038" s="3">
        <v>0</v>
      </c>
      <c r="Q1038" s="3">
        <v>0</v>
      </c>
      <c r="R1038" s="3">
        <f t="shared" si="609"/>
        <v>0</v>
      </c>
      <c r="S1038" s="3">
        <v>0</v>
      </c>
      <c r="T1038" s="5">
        <v>0</v>
      </c>
      <c r="U1038" s="3">
        <v>0</v>
      </c>
      <c r="V1038" s="6">
        <f t="shared" si="610"/>
        <v>3686</v>
      </c>
      <c r="W1038" s="17"/>
      <c r="X1038" s="17"/>
      <c r="Y1038" s="17"/>
      <c r="Z1038" s="17"/>
      <c r="AA1038" s="17"/>
      <c r="AB1038" s="17"/>
      <c r="AC1038" s="17"/>
      <c r="AD1038" s="17"/>
      <c r="AE1038" s="17"/>
      <c r="AF1038" s="17"/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17"/>
      <c r="AS1038" s="17"/>
      <c r="AT1038" s="17"/>
      <c r="AU1038" s="17"/>
      <c r="AV1038" s="17"/>
      <c r="AW1038" s="17"/>
      <c r="AX1038" s="17"/>
      <c r="AY1038" s="17"/>
      <c r="AZ1038" s="17"/>
      <c r="BA1038" s="17"/>
      <c r="BB1038" s="17"/>
      <c r="BC1038" s="17"/>
      <c r="BD1038" s="17"/>
      <c r="BE1038" s="17"/>
      <c r="BF1038" s="17"/>
      <c r="BG1038" s="17"/>
      <c r="BH1038" s="17"/>
      <c r="BI1038" s="17"/>
      <c r="BJ1038" s="17"/>
      <c r="BK1038" s="17"/>
      <c r="BL1038" s="17"/>
      <c r="BM1038" s="17"/>
      <c r="BN1038" s="17"/>
      <c r="BO1038" s="17"/>
      <c r="BP1038" s="17"/>
      <c r="BQ1038" s="17"/>
      <c r="BR1038" s="17"/>
      <c r="BS1038" s="17"/>
      <c r="BT1038" s="17"/>
      <c r="BU1038" s="17"/>
      <c r="BV1038" s="17"/>
      <c r="BW1038" s="17"/>
      <c r="BX1038" s="17"/>
      <c r="BY1038" s="17"/>
      <c r="BZ1038" s="17"/>
      <c r="CA1038" s="17"/>
      <c r="CB1038" s="17"/>
      <c r="CC1038" s="17"/>
      <c r="CD1038" s="17"/>
      <c r="CE1038" s="17"/>
      <c r="CF1038" s="17"/>
      <c r="CG1038" s="17"/>
      <c r="CH1038" s="17"/>
      <c r="CI1038" s="17"/>
      <c r="CJ1038" s="17"/>
      <c r="CK1038" s="17"/>
      <c r="CL1038" s="17"/>
      <c r="CM1038" s="17"/>
      <c r="CN1038" s="17"/>
      <c r="CO1038" s="17"/>
      <c r="CP1038" s="17"/>
      <c r="CQ1038" s="17"/>
      <c r="CR1038" s="17"/>
      <c r="CS1038" s="17"/>
      <c r="CT1038" s="17"/>
      <c r="CU1038" s="17"/>
      <c r="CV1038" s="17"/>
      <c r="CW1038" s="17"/>
      <c r="CX1038" s="17"/>
      <c r="CY1038" s="17"/>
      <c r="CZ1038" s="17"/>
      <c r="DA1038" s="17"/>
      <c r="DB1038" s="17"/>
      <c r="DC1038" s="17"/>
      <c r="DD1038" s="17"/>
      <c r="DE1038" s="17"/>
      <c r="DF1038" s="17"/>
      <c r="DG1038" s="17"/>
      <c r="DH1038" s="17"/>
      <c r="DI1038" s="17"/>
      <c r="DJ1038" s="17"/>
      <c r="DK1038" s="17"/>
      <c r="DL1038" s="17"/>
      <c r="DM1038" s="17"/>
      <c r="DN1038" s="17"/>
      <c r="DO1038" s="17"/>
      <c r="DP1038" s="17"/>
      <c r="DQ1038" s="17"/>
      <c r="DR1038" s="17"/>
      <c r="DS1038" s="17"/>
      <c r="DT1038" s="17"/>
      <c r="DU1038" s="17"/>
      <c r="DV1038" s="17"/>
      <c r="DW1038" s="17"/>
      <c r="DX1038" s="17"/>
      <c r="DY1038" s="17"/>
      <c r="DZ1038" s="17"/>
      <c r="EA1038" s="17"/>
      <c r="EB1038" s="17"/>
      <c r="EC1038" s="17"/>
      <c r="ED1038" s="17"/>
      <c r="EE1038" s="17"/>
      <c r="EF1038" s="17"/>
      <c r="EG1038" s="17"/>
      <c r="EH1038" s="17"/>
      <c r="EI1038" s="17"/>
      <c r="EJ1038" s="17"/>
      <c r="EK1038" s="17"/>
      <c r="EL1038" s="17"/>
      <c r="EM1038" s="17"/>
      <c r="EN1038" s="17"/>
      <c r="EO1038" s="17"/>
      <c r="EP1038" s="17"/>
      <c r="EQ1038" s="17"/>
      <c r="ER1038" s="17"/>
      <c r="ES1038" s="17"/>
      <c r="ET1038" s="17"/>
      <c r="EU1038" s="17"/>
      <c r="EV1038" s="17"/>
      <c r="EW1038" s="17"/>
      <c r="EX1038" s="17"/>
      <c r="EY1038" s="17"/>
      <c r="EZ1038" s="17"/>
      <c r="FA1038" s="17"/>
      <c r="FB1038" s="17"/>
      <c r="FC1038" s="17"/>
      <c r="FD1038" s="17"/>
      <c r="FE1038" s="17"/>
      <c r="FF1038" s="17"/>
      <c r="FG1038" s="17"/>
      <c r="FH1038" s="17"/>
      <c r="FI1038" s="17"/>
      <c r="FJ1038" s="17"/>
      <c r="FK1038" s="17"/>
      <c r="FL1038" s="17"/>
      <c r="FM1038" s="17"/>
      <c r="FN1038" s="17"/>
      <c r="FO1038" s="17"/>
      <c r="FP1038" s="17"/>
      <c r="FQ1038" s="17"/>
      <c r="FR1038" s="17"/>
      <c r="FS1038" s="17"/>
      <c r="FT1038" s="17"/>
      <c r="FU1038" s="17"/>
      <c r="FV1038" s="17"/>
      <c r="FW1038" s="17"/>
      <c r="FX1038" s="17"/>
      <c r="FY1038" s="17"/>
      <c r="FZ1038" s="17"/>
      <c r="GA1038" s="17"/>
      <c r="GB1038" s="17"/>
      <c r="GC1038" s="17"/>
      <c r="GD1038" s="17"/>
      <c r="GE1038" s="17"/>
      <c r="GF1038" s="17"/>
      <c r="GG1038" s="17"/>
      <c r="GH1038" s="17"/>
      <c r="GI1038" s="17"/>
      <c r="GJ1038" s="17"/>
      <c r="GK1038" s="17"/>
      <c r="GL1038" s="17"/>
      <c r="GM1038" s="17"/>
      <c r="GN1038" s="17"/>
      <c r="GO1038" s="17"/>
      <c r="GP1038" s="17"/>
      <c r="GQ1038" s="17"/>
      <c r="GR1038" s="17"/>
      <c r="GS1038" s="17"/>
      <c r="GT1038" s="17"/>
      <c r="GU1038" s="17"/>
      <c r="GV1038" s="17"/>
      <c r="GW1038" s="17"/>
      <c r="GX1038" s="17"/>
      <c r="GY1038" s="17"/>
      <c r="GZ1038" s="17"/>
      <c r="HA1038" s="17"/>
      <c r="HB1038" s="17"/>
      <c r="HC1038" s="17"/>
      <c r="HD1038" s="17"/>
      <c r="HE1038" s="17"/>
      <c r="HF1038" s="17"/>
      <c r="HG1038" s="17"/>
      <c r="HH1038" s="17"/>
      <c r="HI1038" s="17"/>
      <c r="HJ1038" s="17"/>
      <c r="HK1038" s="17"/>
      <c r="HL1038" s="17"/>
      <c r="HM1038" s="17"/>
      <c r="HN1038" s="17"/>
      <c r="HO1038" s="17"/>
      <c r="HP1038" s="17"/>
      <c r="HQ1038" s="17"/>
      <c r="HR1038" s="17"/>
      <c r="HS1038" s="17"/>
      <c r="HT1038" s="17"/>
      <c r="HU1038" s="17"/>
      <c r="HV1038" s="17"/>
      <c r="HW1038" s="17"/>
      <c r="HX1038" s="17"/>
      <c r="HY1038" s="17"/>
      <c r="HZ1038" s="17"/>
      <c r="IA1038" s="17"/>
      <c r="IB1038" s="17"/>
      <c r="IC1038" s="17"/>
      <c r="ID1038" s="17"/>
      <c r="IE1038" s="17"/>
      <c r="IF1038" s="17"/>
      <c r="IG1038" s="17"/>
      <c r="IH1038" s="17"/>
      <c r="II1038" s="17"/>
      <c r="IJ1038" s="17"/>
      <c r="IK1038" s="17"/>
      <c r="IL1038" s="17"/>
      <c r="IM1038" s="17"/>
      <c r="IN1038" s="17"/>
      <c r="IO1038" s="17"/>
      <c r="IP1038" s="17"/>
      <c r="IQ1038" s="17"/>
      <c r="IR1038" s="17"/>
      <c r="IS1038" s="17"/>
      <c r="IT1038" s="17"/>
      <c r="IU1038" s="17"/>
      <c r="IV1038" s="17"/>
      <c r="IW1038" s="17"/>
      <c r="IX1038" s="17"/>
    </row>
    <row r="1039" spans="1:258" ht="21.95" customHeight="1" x14ac:dyDescent="0.25">
      <c r="A1039" s="53" t="s">
        <v>1572</v>
      </c>
      <c r="B1039" s="8" t="s">
        <v>734</v>
      </c>
      <c r="C1039" s="2">
        <f t="shared" si="612"/>
        <v>2171950</v>
      </c>
      <c r="D1039" s="3">
        <f t="shared" si="611"/>
        <v>0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4">
        <v>0</v>
      </c>
      <c r="L1039" s="3">
        <v>0</v>
      </c>
      <c r="M1039" s="3">
        <v>394.9</v>
      </c>
      <c r="N1039" s="3">
        <f t="shared" ref="N1039:N1047" si="619">M1039*5500</f>
        <v>2171950</v>
      </c>
      <c r="O1039" s="3">
        <v>0</v>
      </c>
      <c r="P1039" s="3">
        <v>0</v>
      </c>
      <c r="Q1039" s="3">
        <v>0</v>
      </c>
      <c r="R1039" s="3">
        <f t="shared" si="609"/>
        <v>0</v>
      </c>
      <c r="S1039" s="3">
        <v>0</v>
      </c>
      <c r="T1039" s="5">
        <v>0</v>
      </c>
      <c r="U1039" s="3">
        <v>0</v>
      </c>
      <c r="V1039" s="6">
        <f t="shared" si="610"/>
        <v>5500</v>
      </c>
    </row>
    <row r="1040" spans="1:258" ht="21.95" customHeight="1" x14ac:dyDescent="0.25">
      <c r="A1040" s="53" t="s">
        <v>1481</v>
      </c>
      <c r="B1040" s="8" t="s">
        <v>809</v>
      </c>
      <c r="C1040" s="2">
        <f t="shared" si="612"/>
        <v>1092300</v>
      </c>
      <c r="D1040" s="3">
        <f t="shared" si="611"/>
        <v>0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4">
        <v>0</v>
      </c>
      <c r="L1040" s="3">
        <v>0</v>
      </c>
      <c r="M1040" s="5">
        <v>198.6</v>
      </c>
      <c r="N1040" s="3">
        <f t="shared" si="619"/>
        <v>1092300</v>
      </c>
      <c r="O1040" s="3">
        <v>0</v>
      </c>
      <c r="P1040" s="3">
        <v>0</v>
      </c>
      <c r="Q1040" s="3">
        <v>0</v>
      </c>
      <c r="R1040" s="3">
        <f t="shared" si="609"/>
        <v>0</v>
      </c>
      <c r="S1040" s="3">
        <v>0</v>
      </c>
      <c r="T1040" s="5">
        <v>0</v>
      </c>
      <c r="U1040" s="3">
        <v>0</v>
      </c>
      <c r="V1040" s="6">
        <f t="shared" si="610"/>
        <v>5500</v>
      </c>
    </row>
    <row r="1041" spans="1:258" ht="21.95" customHeight="1" x14ac:dyDescent="0.25">
      <c r="A1041" s="53" t="s">
        <v>1482</v>
      </c>
      <c r="B1041" s="8" t="s">
        <v>735</v>
      </c>
      <c r="C1041" s="2">
        <f t="shared" si="612"/>
        <v>1589500</v>
      </c>
      <c r="D1041" s="3">
        <f t="shared" si="611"/>
        <v>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4">
        <v>0</v>
      </c>
      <c r="L1041" s="3">
        <v>0</v>
      </c>
      <c r="M1041" s="3">
        <v>289</v>
      </c>
      <c r="N1041" s="3">
        <f t="shared" si="619"/>
        <v>1589500</v>
      </c>
      <c r="O1041" s="3">
        <v>0</v>
      </c>
      <c r="P1041" s="3">
        <v>0</v>
      </c>
      <c r="Q1041" s="3">
        <v>0</v>
      </c>
      <c r="R1041" s="3">
        <f t="shared" si="609"/>
        <v>0</v>
      </c>
      <c r="S1041" s="3">
        <v>0</v>
      </c>
      <c r="T1041" s="5">
        <v>0</v>
      </c>
      <c r="U1041" s="3">
        <v>0</v>
      </c>
      <c r="V1041" s="6">
        <f t="shared" si="610"/>
        <v>5500</v>
      </c>
      <c r="W1041" s="17"/>
      <c r="X1041" s="17"/>
      <c r="Y1041" s="17"/>
      <c r="Z1041" s="17"/>
      <c r="AA1041" s="17"/>
      <c r="AB1041" s="17"/>
      <c r="AC1041" s="17"/>
      <c r="AD1041" s="17"/>
      <c r="AE1041" s="17"/>
      <c r="AF1041" s="17"/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17"/>
      <c r="AS1041" s="17"/>
      <c r="AT1041" s="17"/>
      <c r="AU1041" s="17"/>
      <c r="AV1041" s="17"/>
      <c r="AW1041" s="17"/>
      <c r="AX1041" s="17"/>
      <c r="AY1041" s="17"/>
      <c r="AZ1041" s="17"/>
      <c r="BA1041" s="17"/>
      <c r="BB1041" s="17"/>
      <c r="BC1041" s="17"/>
      <c r="BD1041" s="17"/>
      <c r="BE1041" s="17"/>
      <c r="BF1041" s="17"/>
      <c r="BG1041" s="17"/>
      <c r="BH1041" s="17"/>
      <c r="BI1041" s="17"/>
      <c r="BJ1041" s="17"/>
      <c r="BK1041" s="17"/>
      <c r="BL1041" s="17"/>
      <c r="BM1041" s="17"/>
      <c r="BN1041" s="17"/>
      <c r="BO1041" s="17"/>
      <c r="BP1041" s="17"/>
      <c r="BQ1041" s="17"/>
      <c r="BR1041" s="17"/>
      <c r="BS1041" s="17"/>
      <c r="BT1041" s="17"/>
      <c r="BU1041" s="17"/>
      <c r="BV1041" s="17"/>
      <c r="BW1041" s="17"/>
      <c r="BX1041" s="17"/>
      <c r="BY1041" s="17"/>
      <c r="BZ1041" s="17"/>
      <c r="CA1041" s="17"/>
      <c r="CB1041" s="17"/>
      <c r="CC1041" s="17"/>
      <c r="CD1041" s="17"/>
      <c r="CE1041" s="17"/>
      <c r="CF1041" s="17"/>
      <c r="CG1041" s="17"/>
      <c r="CH1041" s="17"/>
      <c r="CI1041" s="17"/>
      <c r="CJ1041" s="17"/>
      <c r="CK1041" s="17"/>
      <c r="CL1041" s="17"/>
      <c r="CM1041" s="17"/>
      <c r="CN1041" s="17"/>
      <c r="CO1041" s="17"/>
      <c r="CP1041" s="17"/>
      <c r="CQ1041" s="17"/>
      <c r="CR1041" s="17"/>
      <c r="CS1041" s="17"/>
      <c r="CT1041" s="17"/>
      <c r="CU1041" s="17"/>
      <c r="CV1041" s="17"/>
      <c r="CW1041" s="17"/>
      <c r="CX1041" s="17"/>
      <c r="CY1041" s="17"/>
      <c r="CZ1041" s="17"/>
      <c r="DA1041" s="17"/>
      <c r="DB1041" s="17"/>
      <c r="DC1041" s="17"/>
      <c r="DD1041" s="17"/>
      <c r="DE1041" s="17"/>
      <c r="DF1041" s="17"/>
      <c r="DG1041" s="17"/>
      <c r="DH1041" s="17"/>
      <c r="DI1041" s="17"/>
      <c r="DJ1041" s="17"/>
      <c r="DK1041" s="17"/>
      <c r="DL1041" s="17"/>
      <c r="DM1041" s="17"/>
      <c r="DN1041" s="17"/>
      <c r="DO1041" s="17"/>
      <c r="DP1041" s="17"/>
      <c r="DQ1041" s="17"/>
      <c r="DR1041" s="17"/>
      <c r="DS1041" s="17"/>
      <c r="DT1041" s="17"/>
      <c r="DU1041" s="17"/>
      <c r="DV1041" s="17"/>
      <c r="DW1041" s="17"/>
      <c r="DX1041" s="17"/>
      <c r="DY1041" s="17"/>
      <c r="DZ1041" s="17"/>
      <c r="EA1041" s="17"/>
      <c r="EB1041" s="17"/>
      <c r="EC1041" s="17"/>
      <c r="ED1041" s="17"/>
      <c r="EE1041" s="17"/>
      <c r="EF1041" s="17"/>
      <c r="EG1041" s="17"/>
      <c r="EH1041" s="17"/>
      <c r="EI1041" s="17"/>
      <c r="EJ1041" s="17"/>
      <c r="EK1041" s="17"/>
      <c r="EL1041" s="17"/>
      <c r="EM1041" s="17"/>
      <c r="EN1041" s="17"/>
      <c r="EO1041" s="17"/>
      <c r="EP1041" s="17"/>
      <c r="EQ1041" s="17"/>
      <c r="ER1041" s="17"/>
      <c r="ES1041" s="17"/>
      <c r="ET1041" s="17"/>
      <c r="EU1041" s="17"/>
      <c r="EV1041" s="17"/>
      <c r="EW1041" s="17"/>
      <c r="EX1041" s="17"/>
      <c r="EY1041" s="17"/>
      <c r="EZ1041" s="17"/>
      <c r="FA1041" s="17"/>
      <c r="FB1041" s="17"/>
      <c r="FC1041" s="17"/>
      <c r="FD1041" s="17"/>
      <c r="FE1041" s="17"/>
      <c r="FF1041" s="17"/>
      <c r="FG1041" s="17"/>
      <c r="FH1041" s="17"/>
      <c r="FI1041" s="17"/>
      <c r="FJ1041" s="17"/>
      <c r="FK1041" s="17"/>
      <c r="FL1041" s="17"/>
      <c r="FM1041" s="17"/>
      <c r="FN1041" s="17"/>
      <c r="FO1041" s="17"/>
      <c r="FP1041" s="17"/>
      <c r="FQ1041" s="17"/>
      <c r="FR1041" s="17"/>
      <c r="FS1041" s="17"/>
      <c r="FT1041" s="17"/>
      <c r="FU1041" s="17"/>
      <c r="FV1041" s="17"/>
      <c r="FW1041" s="17"/>
      <c r="FX1041" s="17"/>
      <c r="FY1041" s="17"/>
      <c r="FZ1041" s="17"/>
      <c r="GA1041" s="17"/>
      <c r="GB1041" s="17"/>
      <c r="GC1041" s="17"/>
      <c r="GD1041" s="17"/>
      <c r="GE1041" s="17"/>
      <c r="GF1041" s="17"/>
      <c r="GG1041" s="17"/>
      <c r="GH1041" s="17"/>
      <c r="GI1041" s="17"/>
    </row>
    <row r="1042" spans="1:258" ht="21.95" customHeight="1" x14ac:dyDescent="0.25">
      <c r="A1042" s="53" t="s">
        <v>1483</v>
      </c>
      <c r="B1042" s="23" t="s">
        <v>810</v>
      </c>
      <c r="C1042" s="2">
        <f t="shared" si="612"/>
        <v>3155350.0000000005</v>
      </c>
      <c r="D1042" s="3">
        <f t="shared" si="611"/>
        <v>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4">
        <v>0</v>
      </c>
      <c r="L1042" s="3">
        <v>0</v>
      </c>
      <c r="M1042" s="5">
        <v>573.70000000000005</v>
      </c>
      <c r="N1042" s="3">
        <f t="shared" si="619"/>
        <v>3155350.0000000005</v>
      </c>
      <c r="O1042" s="3">
        <v>0</v>
      </c>
      <c r="P1042" s="3">
        <v>0</v>
      </c>
      <c r="Q1042" s="3">
        <v>0</v>
      </c>
      <c r="R1042" s="3">
        <f t="shared" si="609"/>
        <v>0</v>
      </c>
      <c r="S1042" s="3">
        <v>0</v>
      </c>
      <c r="T1042" s="5">
        <v>0</v>
      </c>
      <c r="U1042" s="3">
        <v>0</v>
      </c>
      <c r="V1042" s="6">
        <f t="shared" si="610"/>
        <v>5500</v>
      </c>
    </row>
    <row r="1043" spans="1:258" ht="21.95" customHeight="1" x14ac:dyDescent="0.25">
      <c r="A1043" s="53" t="s">
        <v>1484</v>
      </c>
      <c r="B1043" s="8" t="s">
        <v>379</v>
      </c>
      <c r="C1043" s="2">
        <f t="shared" si="612"/>
        <v>6596100</v>
      </c>
      <c r="D1043" s="3">
        <f t="shared" ref="D1043" si="620">SUM(E1043:J1043)</f>
        <v>0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4">
        <v>0</v>
      </c>
      <c r="L1043" s="3">
        <v>0</v>
      </c>
      <c r="M1043" s="3">
        <v>1090.2</v>
      </c>
      <c r="N1043" s="3">
        <f t="shared" si="619"/>
        <v>5996100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600000</v>
      </c>
      <c r="V1043" s="6">
        <f t="shared" si="610"/>
        <v>5500</v>
      </c>
    </row>
    <row r="1044" spans="1:258" ht="21.95" customHeight="1" x14ac:dyDescent="0.25">
      <c r="A1044" s="53" t="s">
        <v>1485</v>
      </c>
      <c r="B1044" s="8" t="s">
        <v>737</v>
      </c>
      <c r="C1044" s="2">
        <f>D1044+L1044+N1044+P1044+R1044+S1044+T1044+U1044</f>
        <v>2898500</v>
      </c>
      <c r="D1044" s="3">
        <f>SUM(E1044:J1044)</f>
        <v>0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4">
        <v>0</v>
      </c>
      <c r="L1044" s="3">
        <v>0</v>
      </c>
      <c r="M1044" s="5">
        <v>527</v>
      </c>
      <c r="N1044" s="3">
        <f>M1044*5500</f>
        <v>2898500</v>
      </c>
      <c r="O1044" s="3">
        <v>0</v>
      </c>
      <c r="P1044" s="3">
        <v>0</v>
      </c>
      <c r="Q1044" s="3">
        <v>0</v>
      </c>
      <c r="R1044" s="3">
        <f>Q1044*3000</f>
        <v>0</v>
      </c>
      <c r="S1044" s="3">
        <v>0</v>
      </c>
      <c r="T1044" s="5">
        <v>0</v>
      </c>
      <c r="U1044" s="3">
        <v>0</v>
      </c>
      <c r="V1044" s="6">
        <f>N1044/M1044</f>
        <v>5500</v>
      </c>
    </row>
    <row r="1045" spans="1:258" ht="21.95" customHeight="1" x14ac:dyDescent="0.25">
      <c r="A1045" s="53" t="s">
        <v>1486</v>
      </c>
      <c r="B1045" s="8" t="s">
        <v>736</v>
      </c>
      <c r="C1045" s="2">
        <f t="shared" si="612"/>
        <v>7791516.5</v>
      </c>
      <c r="D1045" s="3">
        <f t="shared" si="611"/>
        <v>3525916.5</v>
      </c>
      <c r="E1045" s="3">
        <f>350*1500.39</f>
        <v>525136.5</v>
      </c>
      <c r="F1045" s="3">
        <f>1050*1500.39</f>
        <v>1575409.5</v>
      </c>
      <c r="G1045" s="3">
        <f>300*1500.39</f>
        <v>450117.00000000006</v>
      </c>
      <c r="H1045" s="3">
        <f>400*1500.39</f>
        <v>600156</v>
      </c>
      <c r="I1045" s="3">
        <f>250*1500.39</f>
        <v>375097.5</v>
      </c>
      <c r="J1045" s="3">
        <v>0</v>
      </c>
      <c r="K1045" s="4">
        <v>0</v>
      </c>
      <c r="L1045" s="3">
        <v>0</v>
      </c>
      <c r="M1045" s="3">
        <v>576</v>
      </c>
      <c r="N1045" s="3">
        <f t="shared" si="619"/>
        <v>3168000</v>
      </c>
      <c r="O1045" s="3">
        <v>438</v>
      </c>
      <c r="P1045" s="3">
        <v>525600</v>
      </c>
      <c r="Q1045" s="3">
        <v>0</v>
      </c>
      <c r="R1045" s="3">
        <f t="shared" si="609"/>
        <v>0</v>
      </c>
      <c r="S1045" s="3">
        <v>472000</v>
      </c>
      <c r="T1045" s="5">
        <v>0</v>
      </c>
      <c r="U1045" s="3">
        <v>100000</v>
      </c>
      <c r="V1045" s="6">
        <f t="shared" si="610"/>
        <v>5500</v>
      </c>
    </row>
    <row r="1046" spans="1:258" ht="21.95" customHeight="1" x14ac:dyDescent="0.25">
      <c r="A1046" s="53" t="s">
        <v>1487</v>
      </c>
      <c r="B1046" s="8" t="s">
        <v>811</v>
      </c>
      <c r="C1046" s="2">
        <f t="shared" si="612"/>
        <v>5931200.0000000009</v>
      </c>
      <c r="D1046" s="3">
        <f t="shared" si="611"/>
        <v>0</v>
      </c>
      <c r="E1046" s="3">
        <v>0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11">
        <v>0</v>
      </c>
      <c r="L1046" s="5">
        <v>0</v>
      </c>
      <c r="M1046" s="5">
        <v>1078.4000000000001</v>
      </c>
      <c r="N1046" s="3">
        <f t="shared" si="619"/>
        <v>5931200.0000000009</v>
      </c>
      <c r="O1046" s="3">
        <v>0</v>
      </c>
      <c r="P1046" s="3">
        <v>0</v>
      </c>
      <c r="Q1046" s="3">
        <v>0</v>
      </c>
      <c r="R1046" s="3">
        <f t="shared" si="609"/>
        <v>0</v>
      </c>
      <c r="S1046" s="3">
        <v>0</v>
      </c>
      <c r="T1046" s="5">
        <v>0</v>
      </c>
      <c r="U1046" s="3">
        <v>0</v>
      </c>
      <c r="V1046" s="6">
        <f t="shared" si="610"/>
        <v>5500</v>
      </c>
    </row>
    <row r="1047" spans="1:258" s="17" customFormat="1" ht="21.95" customHeight="1" x14ac:dyDescent="0.25">
      <c r="A1047" s="53" t="s">
        <v>1488</v>
      </c>
      <c r="B1047" s="8" t="s">
        <v>812</v>
      </c>
      <c r="C1047" s="2">
        <f t="shared" si="612"/>
        <v>5973000</v>
      </c>
      <c r="D1047" s="3">
        <f t="shared" si="611"/>
        <v>0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4">
        <v>0</v>
      </c>
      <c r="L1047" s="3">
        <v>0</v>
      </c>
      <c r="M1047" s="5">
        <v>1086</v>
      </c>
      <c r="N1047" s="3">
        <f t="shared" si="619"/>
        <v>5973000</v>
      </c>
      <c r="O1047" s="3">
        <v>0</v>
      </c>
      <c r="P1047" s="3">
        <v>0</v>
      </c>
      <c r="Q1047" s="3">
        <v>0</v>
      </c>
      <c r="R1047" s="3">
        <f t="shared" si="609"/>
        <v>0</v>
      </c>
      <c r="S1047" s="3">
        <v>0</v>
      </c>
      <c r="T1047" s="5">
        <v>0</v>
      </c>
      <c r="U1047" s="3">
        <v>0</v>
      </c>
      <c r="V1047" s="6">
        <f t="shared" si="610"/>
        <v>5500</v>
      </c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  <c r="AU1047" s="7"/>
      <c r="AV1047" s="7"/>
      <c r="AW1047" s="7"/>
      <c r="AX1047" s="7"/>
      <c r="AY1047" s="7"/>
      <c r="AZ1047" s="7"/>
      <c r="BA1047" s="7"/>
      <c r="BB1047" s="7"/>
      <c r="BC1047" s="7"/>
      <c r="BD1047" s="7"/>
      <c r="BE1047" s="7"/>
      <c r="BF1047" s="7"/>
      <c r="BG1047" s="7"/>
      <c r="BH1047" s="7"/>
      <c r="BI1047" s="7"/>
      <c r="BJ1047" s="7"/>
      <c r="BK1047" s="7"/>
      <c r="BL1047" s="7"/>
      <c r="BM1047" s="7"/>
      <c r="BN1047" s="7"/>
      <c r="BO1047" s="7"/>
      <c r="BP1047" s="7"/>
      <c r="BQ1047" s="7"/>
      <c r="BR1047" s="7"/>
      <c r="BS1047" s="7"/>
      <c r="BT1047" s="7"/>
      <c r="BU1047" s="7"/>
      <c r="BV1047" s="7"/>
      <c r="BW1047" s="7"/>
      <c r="BX1047" s="7"/>
      <c r="BY1047" s="7"/>
      <c r="BZ1047" s="7"/>
      <c r="CA1047" s="7"/>
      <c r="CB1047" s="7"/>
      <c r="CC1047" s="7"/>
      <c r="CD1047" s="7"/>
      <c r="CE1047" s="7"/>
      <c r="CF1047" s="7"/>
      <c r="CG1047" s="7"/>
      <c r="CH1047" s="7"/>
      <c r="CI1047" s="7"/>
      <c r="CJ1047" s="7"/>
      <c r="CK1047" s="7"/>
      <c r="CL1047" s="7"/>
      <c r="CM1047" s="7"/>
      <c r="CN1047" s="7"/>
      <c r="CO1047" s="7"/>
      <c r="CP1047" s="7"/>
      <c r="CQ1047" s="7"/>
      <c r="CR1047" s="7"/>
      <c r="CS1047" s="7"/>
      <c r="CT1047" s="7"/>
      <c r="CU1047" s="7"/>
      <c r="CV1047" s="7"/>
      <c r="CW1047" s="7"/>
      <c r="CX1047" s="7"/>
      <c r="CY1047" s="7"/>
      <c r="CZ1047" s="7"/>
      <c r="DA1047" s="7"/>
      <c r="DB1047" s="7"/>
      <c r="DC1047" s="7"/>
      <c r="DD1047" s="7"/>
      <c r="DE1047" s="7"/>
      <c r="DF1047" s="7"/>
      <c r="DG1047" s="7"/>
      <c r="DH1047" s="7"/>
      <c r="DI1047" s="7"/>
      <c r="DJ1047" s="7"/>
      <c r="DK1047" s="7"/>
      <c r="DL1047" s="7"/>
      <c r="DM1047" s="7"/>
      <c r="DN1047" s="7"/>
      <c r="DO1047" s="7"/>
      <c r="DP1047" s="7"/>
      <c r="DQ1047" s="7"/>
      <c r="DR1047" s="7"/>
      <c r="DS1047" s="7"/>
      <c r="DT1047" s="7"/>
      <c r="DU1047" s="7"/>
      <c r="DV1047" s="7"/>
      <c r="DW1047" s="7"/>
      <c r="DX1047" s="7"/>
      <c r="DY1047" s="7"/>
      <c r="DZ1047" s="7"/>
      <c r="EA1047" s="7"/>
      <c r="EB1047" s="7"/>
      <c r="EC1047" s="7"/>
      <c r="ED1047" s="7"/>
      <c r="EE1047" s="7"/>
      <c r="EF1047" s="7"/>
      <c r="EG1047" s="7"/>
      <c r="EH1047" s="7"/>
      <c r="EI1047" s="7"/>
      <c r="EJ1047" s="7"/>
      <c r="EK1047" s="7"/>
      <c r="EL1047" s="7"/>
      <c r="EM1047" s="7"/>
      <c r="EN1047" s="7"/>
      <c r="EO1047" s="7"/>
      <c r="EP1047" s="7"/>
      <c r="EQ1047" s="7"/>
      <c r="ER1047" s="7"/>
      <c r="ES1047" s="7"/>
      <c r="ET1047" s="7"/>
      <c r="EU1047" s="7"/>
      <c r="EV1047" s="7"/>
      <c r="EW1047" s="7"/>
      <c r="EX1047" s="7"/>
      <c r="EY1047" s="7"/>
      <c r="EZ1047" s="7"/>
      <c r="FA1047" s="7"/>
      <c r="FB1047" s="7"/>
      <c r="FC1047" s="7"/>
      <c r="FD1047" s="7"/>
      <c r="FE1047" s="7"/>
      <c r="FF1047" s="7"/>
      <c r="FG1047" s="7"/>
      <c r="FH1047" s="7"/>
      <c r="FI1047" s="7"/>
      <c r="FJ1047" s="7"/>
      <c r="FK1047" s="7"/>
      <c r="FL1047" s="7"/>
      <c r="FM1047" s="7"/>
      <c r="FN1047" s="7"/>
      <c r="FO1047" s="7"/>
      <c r="FP1047" s="7"/>
      <c r="FQ1047" s="7"/>
      <c r="FR1047" s="7"/>
      <c r="FS1047" s="7"/>
      <c r="FT1047" s="7"/>
      <c r="FU1047" s="7"/>
      <c r="FV1047" s="7"/>
      <c r="FW1047" s="7"/>
      <c r="FX1047" s="7"/>
      <c r="FY1047" s="7"/>
      <c r="FZ1047" s="7"/>
      <c r="GA1047" s="7"/>
      <c r="GB1047" s="7"/>
      <c r="GC1047" s="7"/>
      <c r="GD1047" s="7"/>
      <c r="GE1047" s="7"/>
      <c r="GF1047" s="7"/>
      <c r="GG1047" s="7"/>
      <c r="GH1047" s="7"/>
      <c r="GI1047" s="7"/>
      <c r="GJ1047" s="7"/>
      <c r="GK1047" s="7"/>
      <c r="GL1047" s="7"/>
      <c r="GM1047" s="7"/>
      <c r="GN1047" s="7"/>
      <c r="GO1047" s="7"/>
      <c r="GP1047" s="7"/>
      <c r="GQ1047" s="7"/>
      <c r="GR1047" s="7"/>
      <c r="GS1047" s="7"/>
      <c r="GT1047" s="7"/>
      <c r="GU1047" s="7"/>
      <c r="GV1047" s="7"/>
      <c r="GW1047" s="7"/>
      <c r="GX1047" s="7"/>
      <c r="GY1047" s="7"/>
      <c r="GZ1047" s="7"/>
      <c r="HA1047" s="7"/>
      <c r="HB1047" s="7"/>
      <c r="HC1047" s="7"/>
      <c r="HD1047" s="7"/>
      <c r="HE1047" s="7"/>
      <c r="HF1047" s="7"/>
      <c r="HG1047" s="7"/>
      <c r="HH1047" s="7"/>
      <c r="HI1047" s="7"/>
      <c r="HJ1047" s="7"/>
      <c r="HK1047" s="7"/>
      <c r="HL1047" s="7"/>
      <c r="HM1047" s="7"/>
      <c r="HN1047" s="7"/>
      <c r="HO1047" s="7"/>
      <c r="HP1047" s="7"/>
      <c r="HQ1047" s="7"/>
      <c r="HR1047" s="7"/>
      <c r="HS1047" s="7"/>
      <c r="HT1047" s="7"/>
      <c r="HU1047" s="7"/>
      <c r="HV1047" s="7"/>
      <c r="HW1047" s="7"/>
      <c r="HX1047" s="7"/>
      <c r="HY1047" s="7"/>
      <c r="HZ1047" s="7"/>
      <c r="IA1047" s="7"/>
      <c r="IB1047" s="7"/>
      <c r="IC1047" s="7"/>
      <c r="ID1047" s="7"/>
      <c r="IE1047" s="7"/>
      <c r="IF1047" s="7"/>
      <c r="IG1047" s="7"/>
      <c r="IH1047" s="7"/>
      <c r="II1047" s="7"/>
      <c r="IJ1047" s="7"/>
      <c r="IK1047" s="7"/>
      <c r="IL1047" s="7"/>
      <c r="IM1047" s="7"/>
      <c r="IN1047" s="7"/>
      <c r="IO1047" s="7"/>
      <c r="IP1047" s="7"/>
      <c r="IQ1047" s="7"/>
      <c r="IR1047" s="7"/>
      <c r="IS1047" s="7"/>
      <c r="IT1047" s="7"/>
      <c r="IU1047" s="7"/>
      <c r="IV1047" s="7"/>
      <c r="IW1047" s="7"/>
      <c r="IX1047" s="7"/>
    </row>
    <row r="1048" spans="1:258" ht="21.95" customHeight="1" x14ac:dyDescent="0.25">
      <c r="A1048" s="53" t="s">
        <v>1489</v>
      </c>
      <c r="B1048" s="8" t="s">
        <v>738</v>
      </c>
      <c r="C1048" s="2">
        <f>D1048+L1048+N1048+P1048+R1048+S1048+T1048+U1048</f>
        <v>88864265</v>
      </c>
      <c r="D1048" s="3">
        <f>SUM(E1048:J1048)</f>
        <v>37294265</v>
      </c>
      <c r="E1048" s="3">
        <f>350*15869.9</f>
        <v>5554465</v>
      </c>
      <c r="F1048" s="3">
        <f>1050*15869.9</f>
        <v>16663395</v>
      </c>
      <c r="G1048" s="3">
        <f>300*15869.9</f>
        <v>4760970</v>
      </c>
      <c r="H1048" s="3">
        <f>400*15869.9</f>
        <v>6347960</v>
      </c>
      <c r="I1048" s="3">
        <f>250*15869.9</f>
        <v>3967475</v>
      </c>
      <c r="J1048" s="3">
        <v>0</v>
      </c>
      <c r="K1048" s="4">
        <v>0</v>
      </c>
      <c r="L1048" s="3">
        <v>0</v>
      </c>
      <c r="M1048" s="5">
        <v>5060</v>
      </c>
      <c r="N1048" s="3">
        <f>M1048*5500</f>
        <v>27830000</v>
      </c>
      <c r="O1048" s="3">
        <v>0</v>
      </c>
      <c r="P1048" s="3">
        <v>0</v>
      </c>
      <c r="Q1048" s="3">
        <v>7880</v>
      </c>
      <c r="R1048" s="3">
        <f>Q1048*3000</f>
        <v>23640000</v>
      </c>
      <c r="S1048" s="3">
        <v>0</v>
      </c>
      <c r="T1048" s="5">
        <v>0</v>
      </c>
      <c r="U1048" s="3">
        <v>100000</v>
      </c>
      <c r="V1048" s="6">
        <f>N1048/M1048</f>
        <v>5500</v>
      </c>
    </row>
    <row r="1049" spans="1:258" ht="21.95" customHeight="1" x14ac:dyDescent="0.25">
      <c r="A1049" s="53" t="s">
        <v>1490</v>
      </c>
      <c r="B1049" s="8" t="s">
        <v>829</v>
      </c>
      <c r="C1049" s="2">
        <f t="shared" si="612"/>
        <v>4644000</v>
      </c>
      <c r="D1049" s="3">
        <f t="shared" si="611"/>
        <v>0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4">
        <v>0</v>
      </c>
      <c r="L1049" s="3">
        <v>0</v>
      </c>
      <c r="M1049" s="5">
        <v>0</v>
      </c>
      <c r="N1049" s="5">
        <v>0</v>
      </c>
      <c r="O1049" s="3">
        <v>0</v>
      </c>
      <c r="P1049" s="3">
        <v>0</v>
      </c>
      <c r="Q1049" s="3">
        <v>1548</v>
      </c>
      <c r="R1049" s="3">
        <f t="shared" si="609"/>
        <v>4644000</v>
      </c>
      <c r="S1049" s="3">
        <v>0</v>
      </c>
      <c r="T1049" s="5">
        <v>0</v>
      </c>
      <c r="U1049" s="3">
        <v>0</v>
      </c>
      <c r="V1049" s="6" t="e">
        <f t="shared" si="610"/>
        <v>#DIV/0!</v>
      </c>
    </row>
    <row r="1050" spans="1:258" ht="21.95" customHeight="1" x14ac:dyDescent="0.25">
      <c r="A1050" s="53" t="s">
        <v>1491</v>
      </c>
      <c r="B1050" s="8" t="s">
        <v>547</v>
      </c>
      <c r="C1050" s="2">
        <f t="shared" si="612"/>
        <v>2689500</v>
      </c>
      <c r="D1050" s="3">
        <f t="shared" ref="D1050" si="621">SUM(E1050:J1050)</f>
        <v>0</v>
      </c>
      <c r="E1050" s="3">
        <v>0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11">
        <v>0</v>
      </c>
      <c r="L1050" s="5">
        <v>0</v>
      </c>
      <c r="M1050" s="5">
        <v>489</v>
      </c>
      <c r="N1050" s="3">
        <f t="shared" ref="N1050" si="622">M1050*5500</f>
        <v>2689500</v>
      </c>
      <c r="O1050" s="5">
        <v>0</v>
      </c>
      <c r="P1050" s="5">
        <v>0</v>
      </c>
      <c r="Q1050" s="5">
        <v>0</v>
      </c>
      <c r="R1050" s="3">
        <f t="shared" si="609"/>
        <v>0</v>
      </c>
      <c r="S1050" s="5">
        <v>0</v>
      </c>
      <c r="T1050" s="5">
        <v>0</v>
      </c>
      <c r="U1050" s="5">
        <v>0</v>
      </c>
      <c r="V1050" s="6">
        <f t="shared" si="610"/>
        <v>5500</v>
      </c>
    </row>
    <row r="1051" spans="1:258" ht="21.95" customHeight="1" x14ac:dyDescent="0.25">
      <c r="A1051" s="53" t="s">
        <v>1492</v>
      </c>
      <c r="B1051" s="8" t="s">
        <v>813</v>
      </c>
      <c r="C1051" s="2">
        <f t="shared" si="612"/>
        <v>1167100</v>
      </c>
      <c r="D1051" s="3">
        <f t="shared" si="611"/>
        <v>0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  <c r="K1051" s="4">
        <v>0</v>
      </c>
      <c r="L1051" s="3">
        <v>0</v>
      </c>
      <c r="M1051" s="5">
        <v>212.2</v>
      </c>
      <c r="N1051" s="3">
        <f t="shared" ref="N1051" si="623">M1051*5500</f>
        <v>1167100</v>
      </c>
      <c r="O1051" s="3">
        <v>0</v>
      </c>
      <c r="P1051" s="3">
        <v>0</v>
      </c>
      <c r="Q1051" s="3">
        <v>0</v>
      </c>
      <c r="R1051" s="3">
        <f t="shared" si="609"/>
        <v>0</v>
      </c>
      <c r="S1051" s="3">
        <v>0</v>
      </c>
      <c r="T1051" s="5">
        <v>0</v>
      </c>
      <c r="U1051" s="3">
        <v>0</v>
      </c>
      <c r="V1051" s="6">
        <f t="shared" si="610"/>
        <v>5500</v>
      </c>
    </row>
    <row r="1052" spans="1:258" ht="21.95" customHeight="1" x14ac:dyDescent="0.25">
      <c r="A1052" s="53" t="s">
        <v>1493</v>
      </c>
      <c r="B1052" s="23" t="s">
        <v>739</v>
      </c>
      <c r="C1052" s="2">
        <f t="shared" si="612"/>
        <v>1754500</v>
      </c>
      <c r="D1052" s="3">
        <f t="shared" si="611"/>
        <v>0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4">
        <v>0</v>
      </c>
      <c r="L1052" s="3">
        <v>0</v>
      </c>
      <c r="M1052" s="5">
        <v>319</v>
      </c>
      <c r="N1052" s="3">
        <f t="shared" ref="N1052" si="624">M1052*5500</f>
        <v>1754500</v>
      </c>
      <c r="O1052" s="3">
        <v>0</v>
      </c>
      <c r="P1052" s="3">
        <v>0</v>
      </c>
      <c r="Q1052" s="3">
        <v>0</v>
      </c>
      <c r="R1052" s="3">
        <f t="shared" si="609"/>
        <v>0</v>
      </c>
      <c r="S1052" s="3">
        <v>0</v>
      </c>
      <c r="T1052" s="5">
        <v>0</v>
      </c>
      <c r="U1052" s="3">
        <v>0</v>
      </c>
      <c r="V1052" s="6">
        <f t="shared" si="610"/>
        <v>5500</v>
      </c>
    </row>
    <row r="1053" spans="1:258" s="17" customFormat="1" ht="21.95" customHeight="1" x14ac:dyDescent="0.25">
      <c r="A1053" s="53" t="s">
        <v>1494</v>
      </c>
      <c r="B1053" s="8" t="s">
        <v>814</v>
      </c>
      <c r="C1053" s="2">
        <f t="shared" si="612"/>
        <v>3538560</v>
      </c>
      <c r="D1053" s="3">
        <f t="shared" si="611"/>
        <v>0</v>
      </c>
      <c r="E1053" s="3">
        <v>0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4">
        <v>0</v>
      </c>
      <c r="L1053" s="3">
        <v>0</v>
      </c>
      <c r="M1053" s="5">
        <v>960</v>
      </c>
      <c r="N1053" s="3">
        <f>M1053*3686</f>
        <v>3538560</v>
      </c>
      <c r="O1053" s="3">
        <v>0</v>
      </c>
      <c r="P1053" s="3">
        <v>0</v>
      </c>
      <c r="Q1053" s="3">
        <v>0</v>
      </c>
      <c r="R1053" s="3">
        <f t="shared" si="609"/>
        <v>0</v>
      </c>
      <c r="S1053" s="3">
        <v>0</v>
      </c>
      <c r="T1053" s="5">
        <v>0</v>
      </c>
      <c r="U1053" s="3">
        <v>0</v>
      </c>
      <c r="V1053" s="6">
        <f t="shared" si="610"/>
        <v>3686</v>
      </c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  <c r="AU1053" s="7"/>
      <c r="AV1053" s="7"/>
      <c r="AW1053" s="7"/>
      <c r="AX1053" s="7"/>
      <c r="AY1053" s="7"/>
      <c r="AZ1053" s="7"/>
      <c r="BA1053" s="7"/>
      <c r="BB1053" s="7"/>
      <c r="BC1053" s="7"/>
      <c r="BD1053" s="7"/>
      <c r="BE1053" s="7"/>
      <c r="BF1053" s="7"/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7"/>
      <c r="BR1053" s="7"/>
      <c r="BS1053" s="7"/>
      <c r="BT1053" s="7"/>
      <c r="BU1053" s="7"/>
      <c r="BV1053" s="7"/>
      <c r="BW1053" s="7"/>
      <c r="BX1053" s="7"/>
      <c r="BY1053" s="7"/>
      <c r="BZ1053" s="7"/>
      <c r="CA1053" s="7"/>
      <c r="CB1053" s="7"/>
      <c r="CC1053" s="7"/>
      <c r="CD1053" s="7"/>
      <c r="CE1053" s="7"/>
      <c r="CF1053" s="7"/>
      <c r="CG1053" s="7"/>
      <c r="CH1053" s="7"/>
      <c r="CI1053" s="7"/>
      <c r="CJ1053" s="7"/>
      <c r="CK1053" s="7"/>
      <c r="CL1053" s="7"/>
      <c r="CM1053" s="7"/>
      <c r="CN1053" s="7"/>
      <c r="CO1053" s="7"/>
      <c r="CP1053" s="7"/>
      <c r="CQ1053" s="7"/>
      <c r="CR1053" s="7"/>
      <c r="CS1053" s="7"/>
      <c r="CT1053" s="7"/>
      <c r="CU1053" s="7"/>
      <c r="CV1053" s="7"/>
      <c r="CW1053" s="7"/>
      <c r="CX1053" s="7"/>
      <c r="CY1053" s="7"/>
      <c r="CZ1053" s="7"/>
      <c r="DA1053" s="7"/>
      <c r="DB1053" s="7"/>
      <c r="DC1053" s="7"/>
      <c r="DD1053" s="7"/>
      <c r="DE1053" s="7"/>
      <c r="DF1053" s="7"/>
      <c r="DG1053" s="7"/>
      <c r="DH1053" s="7"/>
      <c r="DI1053" s="7"/>
      <c r="DJ1053" s="7"/>
      <c r="DK1053" s="7"/>
      <c r="DL1053" s="7"/>
      <c r="DM1053" s="7"/>
      <c r="DN1053" s="7"/>
      <c r="DO1053" s="7"/>
      <c r="DP1053" s="7"/>
      <c r="DQ1053" s="7"/>
      <c r="DR1053" s="7"/>
      <c r="DS1053" s="7"/>
      <c r="DT1053" s="7"/>
      <c r="DU1053" s="7"/>
      <c r="DV1053" s="7"/>
      <c r="DW1053" s="7"/>
      <c r="DX1053" s="7"/>
      <c r="DY1053" s="7"/>
      <c r="DZ1053" s="7"/>
      <c r="EA1053" s="7"/>
      <c r="EB1053" s="7"/>
      <c r="EC1053" s="7"/>
      <c r="ED1053" s="7"/>
      <c r="EE1053" s="7"/>
      <c r="EF1053" s="7"/>
      <c r="EG1053" s="7"/>
      <c r="EH1053" s="7"/>
      <c r="EI1053" s="7"/>
      <c r="EJ1053" s="7"/>
      <c r="EK1053" s="7"/>
      <c r="EL1053" s="7"/>
      <c r="EM1053" s="7"/>
      <c r="EN1053" s="7"/>
      <c r="EO1053" s="7"/>
      <c r="EP1053" s="7"/>
      <c r="EQ1053" s="7"/>
      <c r="ER1053" s="7"/>
      <c r="ES1053" s="7"/>
      <c r="ET1053" s="7"/>
      <c r="EU1053" s="7"/>
      <c r="EV1053" s="7"/>
      <c r="EW1053" s="7"/>
      <c r="EX1053" s="7"/>
      <c r="EY1053" s="7"/>
      <c r="EZ1053" s="7"/>
      <c r="FA1053" s="7"/>
      <c r="FB1053" s="7"/>
      <c r="FC1053" s="7"/>
      <c r="FD1053" s="7"/>
      <c r="FE1053" s="7"/>
      <c r="FF1053" s="7"/>
      <c r="FG1053" s="7"/>
      <c r="FH1053" s="7"/>
      <c r="FI1053" s="7"/>
      <c r="FJ1053" s="7"/>
      <c r="FK1053" s="7"/>
      <c r="FL1053" s="7"/>
      <c r="FM1053" s="7"/>
      <c r="FN1053" s="7"/>
      <c r="FO1053" s="7"/>
      <c r="FP1053" s="7"/>
      <c r="FQ1053" s="7"/>
      <c r="FR1053" s="7"/>
      <c r="FS1053" s="7"/>
      <c r="FT1053" s="7"/>
      <c r="FU1053" s="7"/>
      <c r="FV1053" s="7"/>
      <c r="FW1053" s="7"/>
      <c r="FX1053" s="7"/>
      <c r="FY1053" s="7"/>
      <c r="FZ1053" s="7"/>
      <c r="GA1053" s="7"/>
      <c r="GB1053" s="7"/>
      <c r="GC1053" s="7"/>
      <c r="GD1053" s="7"/>
      <c r="GE1053" s="7"/>
      <c r="GF1053" s="7"/>
      <c r="GG1053" s="7"/>
      <c r="GH1053" s="7"/>
      <c r="GI1053" s="7"/>
      <c r="GJ1053" s="7"/>
      <c r="GK1053" s="7"/>
      <c r="GL1053" s="7"/>
      <c r="GM1053" s="7"/>
      <c r="GN1053" s="7"/>
      <c r="GO1053" s="7"/>
      <c r="GP1053" s="7"/>
      <c r="GQ1053" s="7"/>
      <c r="GR1053" s="7"/>
      <c r="GS1053" s="7"/>
      <c r="GT1053" s="7"/>
      <c r="GU1053" s="7"/>
      <c r="GV1053" s="7"/>
      <c r="GW1053" s="7"/>
      <c r="GX1053" s="7"/>
      <c r="GY1053" s="7"/>
      <c r="GZ1053" s="7"/>
      <c r="HA1053" s="7"/>
      <c r="HB1053" s="7"/>
      <c r="HC1053" s="7"/>
      <c r="HD1053" s="7"/>
      <c r="HE1053" s="7"/>
      <c r="HF1053" s="7"/>
      <c r="HG1053" s="7"/>
      <c r="HH1053" s="7"/>
      <c r="HI1053" s="7"/>
      <c r="HJ1053" s="7"/>
      <c r="HK1053" s="7"/>
      <c r="HL1053" s="7"/>
      <c r="HM1053" s="7"/>
      <c r="HN1053" s="7"/>
      <c r="HO1053" s="7"/>
      <c r="HP1053" s="7"/>
      <c r="HQ1053" s="7"/>
      <c r="HR1053" s="7"/>
      <c r="HS1053" s="7"/>
      <c r="HT1053" s="7"/>
      <c r="HU1053" s="7"/>
      <c r="HV1053" s="7"/>
      <c r="HW1053" s="7"/>
      <c r="HX1053" s="7"/>
      <c r="HY1053" s="7"/>
      <c r="HZ1053" s="7"/>
      <c r="IA1053" s="7"/>
      <c r="IB1053" s="7"/>
      <c r="IC1053" s="7"/>
      <c r="ID1053" s="7"/>
      <c r="IE1053" s="7"/>
      <c r="IF1053" s="7"/>
      <c r="IG1053" s="7"/>
      <c r="IH1053" s="7"/>
      <c r="II1053" s="7"/>
      <c r="IJ1053" s="7"/>
      <c r="IK1053" s="7"/>
      <c r="IL1053" s="7"/>
      <c r="IM1053" s="7"/>
      <c r="IN1053" s="7"/>
      <c r="IO1053" s="7"/>
      <c r="IP1053" s="7"/>
      <c r="IQ1053" s="7"/>
      <c r="IR1053" s="7"/>
      <c r="IS1053" s="7"/>
      <c r="IT1053" s="7"/>
      <c r="IU1053" s="7"/>
      <c r="IV1053" s="7"/>
      <c r="IW1053" s="7"/>
      <c r="IX1053" s="7"/>
    </row>
    <row r="1054" spans="1:258" ht="21.95" customHeight="1" x14ac:dyDescent="0.25">
      <c r="A1054" s="53" t="s">
        <v>1495</v>
      </c>
      <c r="B1054" s="8" t="s">
        <v>470</v>
      </c>
      <c r="C1054" s="2">
        <f>D1054+L1054+N1054+P1054+R1054+S1054+T1054+U1054</f>
        <v>11528050</v>
      </c>
      <c r="D1054" s="3">
        <f>SUM(E1054:J1054)</f>
        <v>11428050</v>
      </c>
      <c r="E1054" s="3">
        <f>350*4863</f>
        <v>1702050</v>
      </c>
      <c r="F1054" s="3">
        <f>1050*4863</f>
        <v>5106150</v>
      </c>
      <c r="G1054" s="3">
        <f>300*4863</f>
        <v>1458900</v>
      </c>
      <c r="H1054" s="3">
        <f>400*4863</f>
        <v>1945200</v>
      </c>
      <c r="I1054" s="3">
        <f>250*4863</f>
        <v>1215750</v>
      </c>
      <c r="J1054" s="3">
        <v>0</v>
      </c>
      <c r="K1054" s="4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0</v>
      </c>
      <c r="Q1054" s="3">
        <v>0</v>
      </c>
      <c r="R1054" s="3">
        <f>Q1054*3000</f>
        <v>0</v>
      </c>
      <c r="S1054" s="3">
        <v>0</v>
      </c>
      <c r="T1054" s="5">
        <v>0</v>
      </c>
      <c r="U1054" s="3">
        <v>100000</v>
      </c>
      <c r="V1054" s="6" t="e">
        <f>N1054/M1054</f>
        <v>#DIV/0!</v>
      </c>
    </row>
    <row r="1055" spans="1:258" ht="21.95" customHeight="1" x14ac:dyDescent="0.25">
      <c r="A1055" s="53" t="s">
        <v>1496</v>
      </c>
      <c r="B1055" s="8" t="s">
        <v>456</v>
      </c>
      <c r="C1055" s="2">
        <f>D1055+L1055+N1055+P1055+R1055+S1055+T1055+U1055</f>
        <v>19375875</v>
      </c>
      <c r="D1055" s="3">
        <f>SUM(E1055:J1055)</f>
        <v>19275875</v>
      </c>
      <c r="E1055" s="3">
        <f>350*8202.5</f>
        <v>2870875</v>
      </c>
      <c r="F1055" s="3">
        <f>1050*8202.5</f>
        <v>8612625</v>
      </c>
      <c r="G1055" s="3">
        <f>300*8202.5</f>
        <v>2460750</v>
      </c>
      <c r="H1055" s="3">
        <f>400*8202.5</f>
        <v>3281000</v>
      </c>
      <c r="I1055" s="3">
        <f>250*8202.5</f>
        <v>2050625</v>
      </c>
      <c r="J1055" s="3">
        <v>0</v>
      </c>
      <c r="K1055" s="4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0</v>
      </c>
      <c r="Q1055" s="3">
        <v>0</v>
      </c>
      <c r="R1055" s="3">
        <f>Q1055*3000</f>
        <v>0</v>
      </c>
      <c r="S1055" s="3">
        <v>0</v>
      </c>
      <c r="T1055" s="5">
        <v>0</v>
      </c>
      <c r="U1055" s="3">
        <v>100000</v>
      </c>
      <c r="V1055" s="6" t="e">
        <f>N1055/M1055</f>
        <v>#DIV/0!</v>
      </c>
    </row>
    <row r="1056" spans="1:258" ht="21.95" customHeight="1" x14ac:dyDescent="0.25">
      <c r="A1056" s="53" t="s">
        <v>1497</v>
      </c>
      <c r="B1056" s="8" t="s">
        <v>740</v>
      </c>
      <c r="C1056" s="2">
        <f t="shared" si="612"/>
        <v>2476790</v>
      </c>
      <c r="D1056" s="3">
        <f t="shared" si="611"/>
        <v>0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4">
        <v>0</v>
      </c>
      <c r="L1056" s="3">
        <v>0</v>
      </c>
      <c r="M1056" s="3">
        <v>395.78</v>
      </c>
      <c r="N1056" s="3">
        <f t="shared" ref="N1056:N1059" si="625">M1056*5500</f>
        <v>2176790</v>
      </c>
      <c r="O1056" s="3">
        <v>0</v>
      </c>
      <c r="P1056" s="3">
        <v>0</v>
      </c>
      <c r="Q1056" s="3">
        <v>0</v>
      </c>
      <c r="R1056" s="3">
        <f t="shared" si="609"/>
        <v>0</v>
      </c>
      <c r="S1056" s="3">
        <v>0</v>
      </c>
      <c r="T1056" s="5">
        <v>0</v>
      </c>
      <c r="U1056" s="3">
        <v>300000</v>
      </c>
      <c r="V1056" s="6">
        <f t="shared" si="610"/>
        <v>5500</v>
      </c>
    </row>
    <row r="1057" spans="1:258" ht="21.95" customHeight="1" x14ac:dyDescent="0.25">
      <c r="A1057" s="53" t="s">
        <v>1498</v>
      </c>
      <c r="B1057" s="8" t="s">
        <v>815</v>
      </c>
      <c r="C1057" s="2">
        <f t="shared" si="612"/>
        <v>2095500</v>
      </c>
      <c r="D1057" s="3">
        <f t="shared" si="611"/>
        <v>0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4">
        <v>0</v>
      </c>
      <c r="L1057" s="3">
        <v>0</v>
      </c>
      <c r="M1057" s="5">
        <v>381</v>
      </c>
      <c r="N1057" s="3">
        <f t="shared" si="625"/>
        <v>2095500</v>
      </c>
      <c r="O1057" s="3">
        <v>0</v>
      </c>
      <c r="P1057" s="3">
        <v>0</v>
      </c>
      <c r="Q1057" s="3">
        <v>0</v>
      </c>
      <c r="R1057" s="3">
        <f t="shared" si="609"/>
        <v>0</v>
      </c>
      <c r="S1057" s="3">
        <v>0</v>
      </c>
      <c r="T1057" s="5">
        <v>0</v>
      </c>
      <c r="U1057" s="3">
        <v>0</v>
      </c>
      <c r="V1057" s="6">
        <f t="shared" si="610"/>
        <v>5500</v>
      </c>
    </row>
    <row r="1058" spans="1:258" ht="21.95" customHeight="1" x14ac:dyDescent="0.25">
      <c r="A1058" s="53" t="s">
        <v>1499</v>
      </c>
      <c r="B1058" s="8" t="s">
        <v>639</v>
      </c>
      <c r="C1058" s="2">
        <f t="shared" si="612"/>
        <v>892702</v>
      </c>
      <c r="D1058" s="3">
        <f t="shared" ref="D1058" si="626">SUM(E1058:J1058)</f>
        <v>792702</v>
      </c>
      <c r="E1058" s="5">
        <f>350*337.32</f>
        <v>118062</v>
      </c>
      <c r="F1058" s="5">
        <f>1050*337.32</f>
        <v>354186</v>
      </c>
      <c r="G1058" s="5">
        <f>300*337.32</f>
        <v>101196</v>
      </c>
      <c r="H1058" s="5">
        <f>400*337.32</f>
        <v>134928</v>
      </c>
      <c r="I1058" s="5">
        <f>250*337.32</f>
        <v>84330</v>
      </c>
      <c r="J1058" s="5">
        <f>350*0</f>
        <v>0</v>
      </c>
      <c r="K1058" s="11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3">
        <f t="shared" si="609"/>
        <v>0</v>
      </c>
      <c r="S1058" s="5">
        <v>0</v>
      </c>
      <c r="T1058" s="5">
        <v>0</v>
      </c>
      <c r="U1058" s="5">
        <v>100000</v>
      </c>
      <c r="V1058" s="6" t="e">
        <f t="shared" si="610"/>
        <v>#DIV/0!</v>
      </c>
    </row>
    <row r="1059" spans="1:258" s="26" customFormat="1" ht="21.95" customHeight="1" x14ac:dyDescent="0.25">
      <c r="A1059" s="53" t="s">
        <v>1500</v>
      </c>
      <c r="B1059" s="8" t="s">
        <v>741</v>
      </c>
      <c r="C1059" s="2">
        <f t="shared" si="612"/>
        <v>1419000</v>
      </c>
      <c r="D1059" s="3">
        <f t="shared" si="611"/>
        <v>0</v>
      </c>
      <c r="E1059" s="3">
        <v>0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4">
        <v>0</v>
      </c>
      <c r="L1059" s="3">
        <v>0</v>
      </c>
      <c r="M1059" s="5">
        <v>258</v>
      </c>
      <c r="N1059" s="3">
        <f t="shared" si="625"/>
        <v>1419000</v>
      </c>
      <c r="O1059" s="3">
        <v>0</v>
      </c>
      <c r="P1059" s="3">
        <v>0</v>
      </c>
      <c r="Q1059" s="3">
        <v>0</v>
      </c>
      <c r="R1059" s="3">
        <f t="shared" si="609"/>
        <v>0</v>
      </c>
      <c r="S1059" s="3">
        <v>0</v>
      </c>
      <c r="T1059" s="5">
        <v>0</v>
      </c>
      <c r="U1059" s="3">
        <v>0</v>
      </c>
      <c r="V1059" s="6">
        <f t="shared" si="610"/>
        <v>5500</v>
      </c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  <c r="AU1059" s="7"/>
      <c r="AV1059" s="7"/>
      <c r="AW1059" s="7"/>
      <c r="AX1059" s="7"/>
      <c r="AY1059" s="7"/>
      <c r="AZ1059" s="7"/>
      <c r="BA1059" s="7"/>
      <c r="BB1059" s="7"/>
      <c r="BC1059" s="7"/>
      <c r="BD1059" s="7"/>
      <c r="BE1059" s="7"/>
      <c r="BF1059" s="7"/>
      <c r="BG1059" s="7"/>
      <c r="BH1059" s="7"/>
      <c r="BI1059" s="7"/>
      <c r="BJ1059" s="7"/>
      <c r="BK1059" s="7"/>
      <c r="BL1059" s="7"/>
      <c r="BM1059" s="7"/>
      <c r="BN1059" s="7"/>
      <c r="BO1059" s="7"/>
      <c r="BP1059" s="7"/>
      <c r="BQ1059" s="7"/>
      <c r="BR1059" s="7"/>
      <c r="BS1059" s="7"/>
      <c r="BT1059" s="7"/>
      <c r="BU1059" s="7"/>
      <c r="BV1059" s="7"/>
      <c r="BW1059" s="7"/>
      <c r="BX1059" s="7"/>
      <c r="BY1059" s="7"/>
      <c r="BZ1059" s="7"/>
      <c r="CA1059" s="7"/>
      <c r="CB1059" s="7"/>
      <c r="CC1059" s="7"/>
      <c r="CD1059" s="7"/>
      <c r="CE1059" s="7"/>
      <c r="CF1059" s="7"/>
      <c r="CG1059" s="7"/>
      <c r="CH1059" s="7"/>
      <c r="CI1059" s="7"/>
      <c r="CJ1059" s="7"/>
      <c r="CK1059" s="7"/>
      <c r="CL1059" s="7"/>
      <c r="CM1059" s="7"/>
      <c r="CN1059" s="7"/>
      <c r="CO1059" s="7"/>
      <c r="CP1059" s="7"/>
      <c r="CQ1059" s="7"/>
      <c r="CR1059" s="7"/>
      <c r="CS1059" s="7"/>
      <c r="CT1059" s="7"/>
      <c r="CU1059" s="7"/>
      <c r="CV1059" s="7"/>
      <c r="CW1059" s="7"/>
      <c r="CX1059" s="7"/>
      <c r="CY1059" s="7"/>
      <c r="CZ1059" s="7"/>
      <c r="DA1059" s="7"/>
      <c r="DB1059" s="7"/>
      <c r="DC1059" s="7"/>
      <c r="DD1059" s="7"/>
      <c r="DE1059" s="7"/>
      <c r="DF1059" s="7"/>
      <c r="DG1059" s="7"/>
      <c r="DH1059" s="7"/>
      <c r="DI1059" s="7"/>
      <c r="DJ1059" s="7"/>
      <c r="DK1059" s="7"/>
      <c r="DL1059" s="7"/>
      <c r="DM1059" s="7"/>
      <c r="DN1059" s="7"/>
      <c r="DO1059" s="7"/>
      <c r="DP1059" s="7"/>
      <c r="DQ1059" s="7"/>
      <c r="DR1059" s="7"/>
      <c r="DS1059" s="7"/>
      <c r="DT1059" s="7"/>
      <c r="DU1059" s="7"/>
      <c r="DV1059" s="7"/>
      <c r="DW1059" s="7"/>
      <c r="DX1059" s="7"/>
      <c r="DY1059" s="7"/>
      <c r="DZ1059" s="7"/>
      <c r="EA1059" s="7"/>
      <c r="EB1059" s="7"/>
      <c r="EC1059" s="7"/>
      <c r="ED1059" s="7"/>
      <c r="EE1059" s="7"/>
      <c r="EF1059" s="7"/>
      <c r="EG1059" s="7"/>
      <c r="EH1059" s="7"/>
      <c r="EI1059" s="7"/>
      <c r="EJ1059" s="7"/>
      <c r="EK1059" s="7"/>
      <c r="EL1059" s="7"/>
      <c r="EM1059" s="7"/>
      <c r="EN1059" s="7"/>
      <c r="EO1059" s="7"/>
      <c r="EP1059" s="7"/>
      <c r="EQ1059" s="7"/>
      <c r="ER1059" s="7"/>
      <c r="ES1059" s="7"/>
      <c r="ET1059" s="7"/>
      <c r="EU1059" s="7"/>
      <c r="EV1059" s="7"/>
      <c r="EW1059" s="7"/>
      <c r="EX1059" s="7"/>
      <c r="EY1059" s="7"/>
      <c r="EZ1059" s="7"/>
      <c r="FA1059" s="7"/>
      <c r="FB1059" s="7"/>
      <c r="FC1059" s="7"/>
      <c r="FD1059" s="7"/>
      <c r="FE1059" s="7"/>
      <c r="FF1059" s="7"/>
      <c r="FG1059" s="7"/>
      <c r="FH1059" s="7"/>
      <c r="FI1059" s="7"/>
      <c r="FJ1059" s="7"/>
      <c r="FK1059" s="7"/>
      <c r="FL1059" s="7"/>
      <c r="FM1059" s="7"/>
      <c r="FN1059" s="7"/>
      <c r="FO1059" s="7"/>
      <c r="FP1059" s="7"/>
      <c r="FQ1059" s="7"/>
      <c r="FR1059" s="7"/>
      <c r="FS1059" s="7"/>
      <c r="FT1059" s="7"/>
      <c r="FU1059" s="7"/>
      <c r="FV1059" s="7"/>
      <c r="FW1059" s="7"/>
      <c r="FX1059" s="7"/>
      <c r="FY1059" s="7"/>
      <c r="FZ1059" s="7"/>
      <c r="GA1059" s="7"/>
      <c r="GB1059" s="7"/>
      <c r="GC1059" s="7"/>
      <c r="GD1059" s="7"/>
      <c r="GE1059" s="7"/>
      <c r="GF1059" s="7"/>
      <c r="GG1059" s="7"/>
      <c r="GH1059" s="7"/>
      <c r="GI1059" s="7"/>
      <c r="GJ1059" s="7"/>
      <c r="GK1059" s="7"/>
      <c r="GL1059" s="7"/>
      <c r="GM1059" s="7"/>
      <c r="GN1059" s="7"/>
      <c r="GO1059" s="7"/>
      <c r="GP1059" s="7"/>
      <c r="GQ1059" s="7"/>
      <c r="GR1059" s="7"/>
      <c r="GS1059" s="7"/>
      <c r="GT1059" s="7"/>
      <c r="GU1059" s="7"/>
      <c r="GV1059" s="7"/>
      <c r="GW1059" s="7"/>
      <c r="GX1059" s="7"/>
      <c r="GY1059" s="7"/>
      <c r="GZ1059" s="7"/>
      <c r="HA1059" s="7"/>
      <c r="HB1059" s="7"/>
      <c r="HC1059" s="7"/>
      <c r="HD1059" s="7"/>
      <c r="HE1059" s="7"/>
      <c r="HF1059" s="7"/>
      <c r="HG1059" s="7"/>
      <c r="HH1059" s="7"/>
      <c r="HI1059" s="7"/>
      <c r="HJ1059" s="7"/>
      <c r="HK1059" s="7"/>
      <c r="HL1059" s="7"/>
      <c r="HM1059" s="7"/>
      <c r="HN1059" s="7"/>
      <c r="HO1059" s="7"/>
      <c r="HP1059" s="7"/>
      <c r="HQ1059" s="7"/>
      <c r="HR1059" s="7"/>
      <c r="HS1059" s="7"/>
      <c r="HT1059" s="7"/>
      <c r="HU1059" s="7"/>
      <c r="HV1059" s="7"/>
      <c r="HW1059" s="7"/>
      <c r="HX1059" s="7"/>
      <c r="HY1059" s="7"/>
      <c r="HZ1059" s="7"/>
      <c r="IA1059" s="7"/>
      <c r="IB1059" s="7"/>
      <c r="IC1059" s="7"/>
      <c r="ID1059" s="7"/>
      <c r="IE1059" s="7"/>
      <c r="IF1059" s="7"/>
      <c r="IG1059" s="7"/>
      <c r="IH1059" s="7"/>
      <c r="II1059" s="7"/>
      <c r="IJ1059" s="7"/>
      <c r="IK1059" s="7"/>
      <c r="IL1059" s="7"/>
      <c r="IM1059" s="7"/>
      <c r="IN1059" s="7"/>
      <c r="IO1059" s="7"/>
      <c r="IP1059" s="7"/>
      <c r="IQ1059" s="7"/>
      <c r="IR1059" s="7"/>
      <c r="IS1059" s="7"/>
      <c r="IT1059" s="7"/>
      <c r="IU1059" s="7"/>
      <c r="IV1059" s="7"/>
      <c r="IW1059" s="7"/>
      <c r="IX1059" s="7"/>
    </row>
    <row r="1060" spans="1:258" ht="21.95" customHeight="1" x14ac:dyDescent="0.25">
      <c r="A1060" s="53" t="s">
        <v>1501</v>
      </c>
      <c r="B1060" s="8" t="s">
        <v>742</v>
      </c>
      <c r="C1060" s="2">
        <f t="shared" si="612"/>
        <v>2845955</v>
      </c>
      <c r="D1060" s="3">
        <f t="shared" si="611"/>
        <v>663405</v>
      </c>
      <c r="E1060" s="3">
        <f>350*282.3</f>
        <v>98805</v>
      </c>
      <c r="F1060" s="3">
        <f>1050*282.3</f>
        <v>296415</v>
      </c>
      <c r="G1060" s="3">
        <f>300*282.3</f>
        <v>84690</v>
      </c>
      <c r="H1060" s="3">
        <f>400*282.3</f>
        <v>112920</v>
      </c>
      <c r="I1060" s="3">
        <f>250*282.3</f>
        <v>70575</v>
      </c>
      <c r="J1060" s="3">
        <v>0</v>
      </c>
      <c r="K1060" s="4">
        <v>0</v>
      </c>
      <c r="L1060" s="3">
        <v>0</v>
      </c>
      <c r="M1060" s="5">
        <v>202.1</v>
      </c>
      <c r="N1060" s="3">
        <f t="shared" ref="N1060" si="627">M1060*5500</f>
        <v>1111550</v>
      </c>
      <c r="O1060" s="3">
        <v>0</v>
      </c>
      <c r="P1060" s="3">
        <v>0</v>
      </c>
      <c r="Q1060" s="3">
        <v>357</v>
      </c>
      <c r="R1060" s="3">
        <f t="shared" si="609"/>
        <v>1071000</v>
      </c>
      <c r="S1060" s="3">
        <v>0</v>
      </c>
      <c r="T1060" s="5">
        <v>0</v>
      </c>
      <c r="U1060" s="3">
        <v>0</v>
      </c>
      <c r="V1060" s="6">
        <f t="shared" si="610"/>
        <v>5500</v>
      </c>
    </row>
    <row r="1061" spans="1:258" ht="21.95" customHeight="1" x14ac:dyDescent="0.25">
      <c r="A1061" s="53" t="s">
        <v>1502</v>
      </c>
      <c r="B1061" s="23" t="s">
        <v>816</v>
      </c>
      <c r="C1061" s="2">
        <f t="shared" si="612"/>
        <v>5170000</v>
      </c>
      <c r="D1061" s="3">
        <f t="shared" si="611"/>
        <v>0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4">
        <v>0</v>
      </c>
      <c r="L1061" s="3">
        <v>0</v>
      </c>
      <c r="M1061" s="5">
        <v>940</v>
      </c>
      <c r="N1061" s="3">
        <f t="shared" ref="N1061:N1068" si="628">M1061*5500</f>
        <v>5170000</v>
      </c>
      <c r="O1061" s="3">
        <v>0</v>
      </c>
      <c r="P1061" s="3">
        <v>0</v>
      </c>
      <c r="Q1061" s="3">
        <v>0</v>
      </c>
      <c r="R1061" s="3">
        <f t="shared" si="609"/>
        <v>0</v>
      </c>
      <c r="S1061" s="3">
        <v>0</v>
      </c>
      <c r="T1061" s="5">
        <v>0</v>
      </c>
      <c r="U1061" s="3">
        <v>0</v>
      </c>
      <c r="V1061" s="6">
        <f t="shared" si="610"/>
        <v>5500</v>
      </c>
    </row>
    <row r="1062" spans="1:258" ht="21.95" customHeight="1" x14ac:dyDescent="0.25">
      <c r="A1062" s="53" t="s">
        <v>1503</v>
      </c>
      <c r="B1062" s="23" t="s">
        <v>817</v>
      </c>
      <c r="C1062" s="2">
        <f t="shared" si="612"/>
        <v>5131500</v>
      </c>
      <c r="D1062" s="3">
        <f t="shared" si="611"/>
        <v>0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4">
        <v>0</v>
      </c>
      <c r="L1062" s="3">
        <v>0</v>
      </c>
      <c r="M1062" s="5">
        <v>933</v>
      </c>
      <c r="N1062" s="3">
        <f t="shared" si="628"/>
        <v>5131500</v>
      </c>
      <c r="O1062" s="3">
        <v>0</v>
      </c>
      <c r="P1062" s="3">
        <v>0</v>
      </c>
      <c r="Q1062" s="3">
        <v>0</v>
      </c>
      <c r="R1062" s="3">
        <f t="shared" si="609"/>
        <v>0</v>
      </c>
      <c r="S1062" s="3">
        <v>0</v>
      </c>
      <c r="T1062" s="5">
        <v>0</v>
      </c>
      <c r="U1062" s="3">
        <v>0</v>
      </c>
      <c r="V1062" s="6">
        <f t="shared" si="610"/>
        <v>5500</v>
      </c>
    </row>
    <row r="1063" spans="1:258" ht="21.95" customHeight="1" x14ac:dyDescent="0.25">
      <c r="A1063" s="53" t="s">
        <v>1504</v>
      </c>
      <c r="B1063" s="8" t="s">
        <v>818</v>
      </c>
      <c r="C1063" s="2">
        <f t="shared" si="612"/>
        <v>3465000</v>
      </c>
      <c r="D1063" s="3">
        <f t="shared" si="611"/>
        <v>0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4">
        <v>0</v>
      </c>
      <c r="L1063" s="3">
        <v>0</v>
      </c>
      <c r="M1063" s="5">
        <v>630</v>
      </c>
      <c r="N1063" s="3">
        <f t="shared" si="628"/>
        <v>3465000</v>
      </c>
      <c r="O1063" s="3">
        <v>0</v>
      </c>
      <c r="P1063" s="3">
        <v>0</v>
      </c>
      <c r="Q1063" s="3">
        <v>0</v>
      </c>
      <c r="R1063" s="3">
        <f t="shared" si="609"/>
        <v>0</v>
      </c>
      <c r="S1063" s="3">
        <v>0</v>
      </c>
      <c r="T1063" s="5">
        <v>0</v>
      </c>
      <c r="U1063" s="3">
        <v>0</v>
      </c>
      <c r="V1063" s="6">
        <f t="shared" si="610"/>
        <v>5500</v>
      </c>
    </row>
    <row r="1064" spans="1:258" ht="21.95" customHeight="1" x14ac:dyDescent="0.25">
      <c r="A1064" s="53" t="s">
        <v>1505</v>
      </c>
      <c r="B1064" s="8" t="s">
        <v>819</v>
      </c>
      <c r="C1064" s="2">
        <f t="shared" si="612"/>
        <v>1661000</v>
      </c>
      <c r="D1064" s="3">
        <f t="shared" si="611"/>
        <v>0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4">
        <v>0</v>
      </c>
      <c r="L1064" s="3">
        <v>0</v>
      </c>
      <c r="M1064" s="5">
        <v>302</v>
      </c>
      <c r="N1064" s="3">
        <f t="shared" si="628"/>
        <v>1661000</v>
      </c>
      <c r="O1064" s="3">
        <v>0</v>
      </c>
      <c r="P1064" s="3">
        <v>0</v>
      </c>
      <c r="Q1064" s="3">
        <v>0</v>
      </c>
      <c r="R1064" s="3">
        <f t="shared" si="609"/>
        <v>0</v>
      </c>
      <c r="S1064" s="3">
        <v>0</v>
      </c>
      <c r="T1064" s="5">
        <v>0</v>
      </c>
      <c r="U1064" s="3">
        <v>0</v>
      </c>
      <c r="V1064" s="6">
        <f t="shared" si="610"/>
        <v>5500</v>
      </c>
    </row>
    <row r="1065" spans="1:258" ht="21.95" customHeight="1" x14ac:dyDescent="0.25">
      <c r="A1065" s="53" t="s">
        <v>1506</v>
      </c>
      <c r="B1065" s="8" t="s">
        <v>743</v>
      </c>
      <c r="C1065" s="2">
        <f t="shared" si="612"/>
        <v>1255650</v>
      </c>
      <c r="D1065" s="3">
        <f t="shared" si="611"/>
        <v>0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4">
        <v>0</v>
      </c>
      <c r="L1065" s="3">
        <v>0</v>
      </c>
      <c r="M1065" s="5">
        <v>228.3</v>
      </c>
      <c r="N1065" s="3">
        <f t="shared" si="628"/>
        <v>1255650</v>
      </c>
      <c r="O1065" s="3">
        <v>0</v>
      </c>
      <c r="P1065" s="3">
        <v>0</v>
      </c>
      <c r="Q1065" s="3">
        <v>0</v>
      </c>
      <c r="R1065" s="3">
        <f t="shared" si="609"/>
        <v>0</v>
      </c>
      <c r="S1065" s="3">
        <v>0</v>
      </c>
      <c r="T1065" s="5">
        <v>0</v>
      </c>
      <c r="U1065" s="3">
        <v>0</v>
      </c>
      <c r="V1065" s="6">
        <f t="shared" si="610"/>
        <v>5500</v>
      </c>
    </row>
    <row r="1066" spans="1:258" ht="21.95" customHeight="1" x14ac:dyDescent="0.25">
      <c r="A1066" s="53" t="s">
        <v>1507</v>
      </c>
      <c r="B1066" s="8" t="s">
        <v>820</v>
      </c>
      <c r="C1066" s="2">
        <f t="shared" si="612"/>
        <v>1259500</v>
      </c>
      <c r="D1066" s="3">
        <f t="shared" si="611"/>
        <v>0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4">
        <v>0</v>
      </c>
      <c r="L1066" s="3">
        <v>0</v>
      </c>
      <c r="M1066" s="5">
        <v>229</v>
      </c>
      <c r="N1066" s="3">
        <f t="shared" si="628"/>
        <v>1259500</v>
      </c>
      <c r="O1066" s="3">
        <v>0</v>
      </c>
      <c r="P1066" s="3">
        <v>0</v>
      </c>
      <c r="Q1066" s="3">
        <v>0</v>
      </c>
      <c r="R1066" s="3">
        <f t="shared" si="609"/>
        <v>0</v>
      </c>
      <c r="S1066" s="3">
        <v>0</v>
      </c>
      <c r="T1066" s="5">
        <v>0</v>
      </c>
      <c r="U1066" s="3">
        <v>0</v>
      </c>
      <c r="V1066" s="6">
        <f t="shared" si="610"/>
        <v>5500</v>
      </c>
    </row>
    <row r="1067" spans="1:258" ht="21.95" customHeight="1" x14ac:dyDescent="0.25">
      <c r="A1067" s="53" t="s">
        <v>1508</v>
      </c>
      <c r="B1067" s="8" t="s">
        <v>821</v>
      </c>
      <c r="C1067" s="2">
        <f t="shared" si="612"/>
        <v>1589500</v>
      </c>
      <c r="D1067" s="3">
        <f t="shared" si="611"/>
        <v>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4">
        <v>0</v>
      </c>
      <c r="L1067" s="3">
        <v>0</v>
      </c>
      <c r="M1067" s="5">
        <v>289</v>
      </c>
      <c r="N1067" s="3">
        <f t="shared" si="628"/>
        <v>1589500</v>
      </c>
      <c r="O1067" s="3">
        <v>0</v>
      </c>
      <c r="P1067" s="3">
        <v>0</v>
      </c>
      <c r="Q1067" s="3">
        <v>0</v>
      </c>
      <c r="R1067" s="3">
        <f t="shared" si="609"/>
        <v>0</v>
      </c>
      <c r="S1067" s="3">
        <v>0</v>
      </c>
      <c r="T1067" s="5">
        <v>0</v>
      </c>
      <c r="U1067" s="3">
        <v>0</v>
      </c>
      <c r="V1067" s="6">
        <f t="shared" si="610"/>
        <v>5500</v>
      </c>
    </row>
    <row r="1068" spans="1:258" ht="21.95" customHeight="1" x14ac:dyDescent="0.25">
      <c r="A1068" s="53" t="s">
        <v>1509</v>
      </c>
      <c r="B1068" s="8" t="s">
        <v>744</v>
      </c>
      <c r="C1068" s="2">
        <f t="shared" si="612"/>
        <v>2057000</v>
      </c>
      <c r="D1068" s="3">
        <f t="shared" si="611"/>
        <v>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4">
        <v>0</v>
      </c>
      <c r="L1068" s="3">
        <v>0</v>
      </c>
      <c r="M1068" s="3">
        <v>374</v>
      </c>
      <c r="N1068" s="3">
        <f t="shared" si="628"/>
        <v>2057000</v>
      </c>
      <c r="O1068" s="3">
        <v>0</v>
      </c>
      <c r="P1068" s="3">
        <v>0</v>
      </c>
      <c r="Q1068" s="3">
        <v>0</v>
      </c>
      <c r="R1068" s="3">
        <f t="shared" ref="R1068:R1117" si="629">Q1068*3000</f>
        <v>0</v>
      </c>
      <c r="S1068" s="3">
        <v>0</v>
      </c>
      <c r="T1068" s="5">
        <v>0</v>
      </c>
      <c r="U1068" s="3">
        <v>0</v>
      </c>
      <c r="V1068" s="6">
        <f t="shared" ref="V1068:V1117" si="630">N1068/M1068</f>
        <v>5500</v>
      </c>
    </row>
    <row r="1069" spans="1:258" ht="21.95" customHeight="1" x14ac:dyDescent="0.25">
      <c r="A1069" s="53" t="s">
        <v>1510</v>
      </c>
      <c r="B1069" s="8" t="s">
        <v>822</v>
      </c>
      <c r="C1069" s="2">
        <f>D1069+L1069+N1069+P1069+R1069+S1069+T1069+U1069</f>
        <v>2931500</v>
      </c>
      <c r="D1069" s="3">
        <f>SUM(E1069:J1069)</f>
        <v>0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4">
        <v>0</v>
      </c>
      <c r="L1069" s="3">
        <v>0</v>
      </c>
      <c r="M1069" s="5">
        <v>533</v>
      </c>
      <c r="N1069" s="3">
        <f>M1069*5500</f>
        <v>2931500</v>
      </c>
      <c r="O1069" s="3">
        <v>0</v>
      </c>
      <c r="P1069" s="3">
        <v>0</v>
      </c>
      <c r="Q1069" s="3">
        <v>0</v>
      </c>
      <c r="R1069" s="3">
        <f>Q1069*3000</f>
        <v>0</v>
      </c>
      <c r="S1069" s="3">
        <v>0</v>
      </c>
      <c r="T1069" s="5">
        <v>0</v>
      </c>
      <c r="U1069" s="3">
        <v>0</v>
      </c>
      <c r="V1069" s="6">
        <f>N1069/M1069</f>
        <v>5500</v>
      </c>
    </row>
    <row r="1070" spans="1:258" ht="21.95" customHeight="1" x14ac:dyDescent="0.25">
      <c r="A1070" s="53" t="s">
        <v>1511</v>
      </c>
      <c r="B1070" s="8" t="s">
        <v>749</v>
      </c>
      <c r="C1070" s="2">
        <f>D1070+L1070+N1070+P1070+R1070+S1070+T1070+U1070</f>
        <v>7550400</v>
      </c>
      <c r="D1070" s="3">
        <f>SUM(E1070:J1070)</f>
        <v>0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4">
        <v>0</v>
      </c>
      <c r="L1070" s="3">
        <v>0</v>
      </c>
      <c r="M1070" s="5">
        <v>1372.8</v>
      </c>
      <c r="N1070" s="3">
        <f>M1070*5500</f>
        <v>7550400</v>
      </c>
      <c r="O1070" s="3">
        <v>0</v>
      </c>
      <c r="P1070" s="3">
        <v>0</v>
      </c>
      <c r="Q1070" s="3">
        <v>0</v>
      </c>
      <c r="R1070" s="3">
        <f>Q1070*3000</f>
        <v>0</v>
      </c>
      <c r="S1070" s="3">
        <v>0</v>
      </c>
      <c r="T1070" s="5">
        <v>0</v>
      </c>
      <c r="U1070" s="3">
        <v>0</v>
      </c>
      <c r="V1070" s="6">
        <f>N1070/M1070</f>
        <v>5500</v>
      </c>
    </row>
    <row r="1071" spans="1:258" ht="21.95" customHeight="1" x14ac:dyDescent="0.25">
      <c r="A1071" s="53" t="s">
        <v>1512</v>
      </c>
      <c r="B1071" s="8" t="s">
        <v>745</v>
      </c>
      <c r="C1071" s="2">
        <f t="shared" si="612"/>
        <v>3737500</v>
      </c>
      <c r="D1071" s="3">
        <f t="shared" ref="D1071:D1117" si="631">SUM(E1071:J1071)</f>
        <v>0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4">
        <v>0</v>
      </c>
      <c r="L1071" s="3">
        <v>0</v>
      </c>
      <c r="M1071" s="5">
        <v>625</v>
      </c>
      <c r="N1071" s="3">
        <f t="shared" ref="N1071:N1080" si="632">M1071*5500</f>
        <v>3437500</v>
      </c>
      <c r="O1071" s="3">
        <v>0</v>
      </c>
      <c r="P1071" s="3">
        <v>0</v>
      </c>
      <c r="Q1071" s="3">
        <v>0</v>
      </c>
      <c r="R1071" s="3">
        <f t="shared" si="629"/>
        <v>0</v>
      </c>
      <c r="S1071" s="3">
        <v>0</v>
      </c>
      <c r="T1071" s="5">
        <v>0</v>
      </c>
      <c r="U1071" s="3">
        <v>300000</v>
      </c>
      <c r="V1071" s="6">
        <f t="shared" si="630"/>
        <v>5500</v>
      </c>
    </row>
    <row r="1072" spans="1:258" ht="21.95" customHeight="1" x14ac:dyDescent="0.25">
      <c r="A1072" s="53" t="s">
        <v>1513</v>
      </c>
      <c r="B1072" s="8" t="s">
        <v>746</v>
      </c>
      <c r="C1072" s="2">
        <f t="shared" si="612"/>
        <v>1859000</v>
      </c>
      <c r="D1072" s="3">
        <f t="shared" si="631"/>
        <v>0</v>
      </c>
      <c r="E1072" s="3">
        <v>0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4">
        <v>0</v>
      </c>
      <c r="L1072" s="3">
        <v>0</v>
      </c>
      <c r="M1072" s="3">
        <v>338</v>
      </c>
      <c r="N1072" s="3">
        <f t="shared" si="632"/>
        <v>1859000</v>
      </c>
      <c r="O1072" s="3">
        <v>0</v>
      </c>
      <c r="P1072" s="3">
        <v>0</v>
      </c>
      <c r="Q1072" s="3">
        <v>0</v>
      </c>
      <c r="R1072" s="3">
        <f t="shared" si="629"/>
        <v>0</v>
      </c>
      <c r="S1072" s="3">
        <v>0</v>
      </c>
      <c r="T1072" s="5">
        <v>0</v>
      </c>
      <c r="U1072" s="3">
        <v>0</v>
      </c>
      <c r="V1072" s="6">
        <f t="shared" si="630"/>
        <v>5500</v>
      </c>
    </row>
    <row r="1073" spans="1:258" ht="21.95" customHeight="1" x14ac:dyDescent="0.25">
      <c r="A1073" s="53" t="s">
        <v>1514</v>
      </c>
      <c r="B1073" s="8" t="s">
        <v>747</v>
      </c>
      <c r="C1073" s="2">
        <f t="shared" si="612"/>
        <v>1458600</v>
      </c>
      <c r="D1073" s="3">
        <f t="shared" si="631"/>
        <v>0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4">
        <v>0</v>
      </c>
      <c r="L1073" s="3">
        <v>0</v>
      </c>
      <c r="M1073" s="5">
        <v>265.2</v>
      </c>
      <c r="N1073" s="3">
        <f t="shared" si="632"/>
        <v>1458600</v>
      </c>
      <c r="O1073" s="3">
        <v>0</v>
      </c>
      <c r="P1073" s="3">
        <v>0</v>
      </c>
      <c r="Q1073" s="3">
        <v>0</v>
      </c>
      <c r="R1073" s="3">
        <f t="shared" si="629"/>
        <v>0</v>
      </c>
      <c r="S1073" s="3">
        <v>0</v>
      </c>
      <c r="T1073" s="5">
        <v>0</v>
      </c>
      <c r="U1073" s="3">
        <v>0</v>
      </c>
      <c r="V1073" s="6">
        <f t="shared" si="630"/>
        <v>5500</v>
      </c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  <c r="BU1073" s="6"/>
      <c r="BV1073" s="6"/>
      <c r="BW1073" s="6"/>
      <c r="BX1073" s="6"/>
      <c r="BY1073" s="6"/>
      <c r="BZ1073" s="6"/>
      <c r="CA1073" s="6"/>
      <c r="CB1073" s="6"/>
      <c r="CC1073" s="6"/>
      <c r="CD1073" s="6"/>
      <c r="CE1073" s="6"/>
      <c r="CF1073" s="6"/>
      <c r="CG1073" s="6"/>
      <c r="CH1073" s="6"/>
      <c r="CI1073" s="6"/>
      <c r="CJ1073" s="6"/>
      <c r="CK1073" s="6"/>
      <c r="CL1073" s="6"/>
      <c r="CM1073" s="6"/>
      <c r="CN1073" s="6"/>
      <c r="CO1073" s="6"/>
      <c r="CP1073" s="6"/>
      <c r="CQ1073" s="6"/>
      <c r="CR1073" s="6"/>
      <c r="CS1073" s="6"/>
      <c r="CT1073" s="6"/>
      <c r="CU1073" s="6"/>
      <c r="CV1073" s="6"/>
      <c r="CW1073" s="6"/>
      <c r="CX1073" s="6"/>
      <c r="CY1073" s="6"/>
      <c r="CZ1073" s="6"/>
      <c r="DA1073" s="6"/>
      <c r="DB1073" s="6"/>
      <c r="DC1073" s="6"/>
      <c r="DD1073" s="6"/>
      <c r="DE1073" s="6"/>
      <c r="DF1073" s="6"/>
      <c r="DG1073" s="6"/>
      <c r="DH1073" s="6"/>
      <c r="DI1073" s="6"/>
      <c r="DJ1073" s="6"/>
      <c r="DK1073" s="6"/>
      <c r="DL1073" s="6"/>
      <c r="DM1073" s="6"/>
      <c r="DN1073" s="6"/>
      <c r="DO1073" s="6"/>
      <c r="DP1073" s="6"/>
      <c r="DQ1073" s="6"/>
      <c r="DR1073" s="6"/>
      <c r="DS1073" s="6"/>
      <c r="DT1073" s="6"/>
      <c r="DU1073" s="6"/>
      <c r="DV1073" s="6"/>
      <c r="DW1073" s="6"/>
      <c r="DX1073" s="6"/>
      <c r="DY1073" s="6"/>
      <c r="DZ1073" s="6"/>
      <c r="EA1073" s="6"/>
      <c r="EB1073" s="6"/>
      <c r="EC1073" s="6"/>
      <c r="ED1073" s="6"/>
      <c r="EE1073" s="6"/>
      <c r="EF1073" s="6"/>
      <c r="EG1073" s="6"/>
      <c r="EH1073" s="6"/>
      <c r="EI1073" s="6"/>
      <c r="EJ1073" s="6"/>
      <c r="EK1073" s="6"/>
      <c r="EL1073" s="6"/>
      <c r="EM1073" s="6"/>
      <c r="EN1073" s="6"/>
      <c r="EO1073" s="6"/>
      <c r="EP1073" s="6"/>
      <c r="EQ1073" s="6"/>
      <c r="ER1073" s="6"/>
      <c r="ES1073" s="6"/>
      <c r="ET1073" s="6"/>
      <c r="EU1073" s="6"/>
      <c r="EV1073" s="6"/>
      <c r="EW1073" s="6"/>
      <c r="EX1073" s="6"/>
      <c r="EY1073" s="6"/>
      <c r="EZ1073" s="6"/>
      <c r="FA1073" s="6"/>
      <c r="FB1073" s="6"/>
      <c r="FC1073" s="6"/>
      <c r="FD1073" s="6"/>
      <c r="FE1073" s="6"/>
      <c r="FF1073" s="6"/>
      <c r="FG1073" s="6"/>
      <c r="FH1073" s="6"/>
      <c r="FI1073" s="6"/>
      <c r="FJ1073" s="6"/>
      <c r="FK1073" s="6"/>
      <c r="FL1073" s="6"/>
      <c r="FM1073" s="6"/>
      <c r="FN1073" s="6"/>
      <c r="FO1073" s="6"/>
      <c r="FP1073" s="6"/>
      <c r="FQ1073" s="6"/>
      <c r="FR1073" s="6"/>
      <c r="FS1073" s="6"/>
      <c r="FT1073" s="6"/>
      <c r="FU1073" s="6"/>
      <c r="FV1073" s="6"/>
      <c r="FW1073" s="6"/>
      <c r="FX1073" s="6"/>
      <c r="FY1073" s="6"/>
      <c r="FZ1073" s="6"/>
      <c r="GA1073" s="6"/>
      <c r="GB1073" s="6"/>
      <c r="GC1073" s="6"/>
      <c r="GD1073" s="6"/>
      <c r="GE1073" s="6"/>
      <c r="GF1073" s="6"/>
      <c r="GG1073" s="6"/>
      <c r="GH1073" s="6"/>
      <c r="GI1073" s="6"/>
      <c r="GJ1073" s="6"/>
      <c r="GK1073" s="6"/>
      <c r="GL1073" s="6"/>
      <c r="GM1073" s="6"/>
      <c r="GN1073" s="6"/>
      <c r="GO1073" s="6"/>
      <c r="GP1073" s="6"/>
      <c r="GQ1073" s="6"/>
      <c r="GR1073" s="6"/>
      <c r="GS1073" s="6"/>
      <c r="GT1073" s="6"/>
      <c r="GU1073" s="6"/>
      <c r="GV1073" s="6"/>
      <c r="GW1073" s="6"/>
      <c r="GX1073" s="6"/>
      <c r="GY1073" s="6"/>
      <c r="GZ1073" s="6"/>
      <c r="HA1073" s="6"/>
      <c r="HB1073" s="6"/>
      <c r="HC1073" s="6"/>
      <c r="HD1073" s="6"/>
      <c r="HE1073" s="6"/>
      <c r="HF1073" s="6"/>
      <c r="HG1073" s="6"/>
      <c r="HH1073" s="6"/>
      <c r="HI1073" s="6"/>
      <c r="HJ1073" s="6"/>
      <c r="HK1073" s="6"/>
      <c r="HL1073" s="6"/>
      <c r="HM1073" s="6"/>
      <c r="HN1073" s="6"/>
      <c r="HO1073" s="6"/>
      <c r="HP1073" s="6"/>
      <c r="HQ1073" s="6"/>
      <c r="HR1073" s="6"/>
      <c r="HS1073" s="6"/>
      <c r="HT1073" s="6"/>
      <c r="HU1073" s="6"/>
      <c r="HV1073" s="6"/>
      <c r="HW1073" s="6"/>
      <c r="HX1073" s="6"/>
      <c r="HY1073" s="6"/>
      <c r="HZ1073" s="6"/>
      <c r="IA1073" s="6"/>
      <c r="IB1073" s="6"/>
      <c r="IC1073" s="6"/>
      <c r="ID1073" s="6"/>
      <c r="IE1073" s="6"/>
      <c r="IF1073" s="6"/>
      <c r="IG1073" s="6"/>
      <c r="IH1073" s="6"/>
      <c r="II1073" s="6"/>
      <c r="IJ1073" s="6"/>
      <c r="IK1073" s="6"/>
      <c r="IL1073" s="6"/>
      <c r="IM1073" s="6"/>
      <c r="IN1073" s="6"/>
      <c r="IO1073" s="6"/>
      <c r="IP1073" s="6"/>
      <c r="IQ1073" s="6"/>
      <c r="IR1073" s="6"/>
      <c r="IS1073" s="6"/>
      <c r="IT1073" s="6"/>
      <c r="IU1073" s="6"/>
      <c r="IV1073" s="6"/>
      <c r="IW1073" s="6"/>
      <c r="IX1073" s="6"/>
    </row>
    <row r="1074" spans="1:258" ht="21.95" customHeight="1" x14ac:dyDescent="0.25">
      <c r="A1074" s="53" t="s">
        <v>1633</v>
      </c>
      <c r="B1074" s="8" t="s">
        <v>748</v>
      </c>
      <c r="C1074" s="2">
        <f t="shared" ref="C1074:C1139" si="633">D1074+L1074+N1074+P1074+R1074+S1074+T1074+U1074</f>
        <v>1456400</v>
      </c>
      <c r="D1074" s="3">
        <f t="shared" si="631"/>
        <v>0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4">
        <v>0</v>
      </c>
      <c r="L1074" s="3">
        <v>0</v>
      </c>
      <c r="M1074" s="5">
        <v>264.8</v>
      </c>
      <c r="N1074" s="3">
        <f t="shared" si="632"/>
        <v>1456400</v>
      </c>
      <c r="O1074" s="3">
        <v>0</v>
      </c>
      <c r="P1074" s="3">
        <v>0</v>
      </c>
      <c r="Q1074" s="3">
        <v>0</v>
      </c>
      <c r="R1074" s="3">
        <f t="shared" si="629"/>
        <v>0</v>
      </c>
      <c r="S1074" s="3">
        <v>0</v>
      </c>
      <c r="T1074" s="5">
        <v>0</v>
      </c>
      <c r="U1074" s="3">
        <v>0</v>
      </c>
      <c r="V1074" s="6">
        <f t="shared" si="630"/>
        <v>5500</v>
      </c>
    </row>
    <row r="1075" spans="1:258" ht="21.95" customHeight="1" x14ac:dyDescent="0.25">
      <c r="A1075" s="53" t="s">
        <v>1515</v>
      </c>
      <c r="B1075" s="8" t="s">
        <v>823</v>
      </c>
      <c r="C1075" s="2">
        <f t="shared" si="633"/>
        <v>2137000</v>
      </c>
      <c r="D1075" s="3">
        <f t="shared" si="631"/>
        <v>0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4">
        <v>0</v>
      </c>
      <c r="L1075" s="3">
        <v>0</v>
      </c>
      <c r="M1075" s="3">
        <v>334</v>
      </c>
      <c r="N1075" s="3">
        <f t="shared" si="632"/>
        <v>1837000</v>
      </c>
      <c r="O1075" s="3">
        <v>0</v>
      </c>
      <c r="P1075" s="3">
        <v>0</v>
      </c>
      <c r="Q1075" s="3">
        <v>0</v>
      </c>
      <c r="R1075" s="3">
        <f t="shared" si="629"/>
        <v>0</v>
      </c>
      <c r="S1075" s="3">
        <v>0</v>
      </c>
      <c r="T1075" s="5">
        <v>0</v>
      </c>
      <c r="U1075" s="3">
        <v>300000</v>
      </c>
      <c r="V1075" s="6">
        <f t="shared" si="630"/>
        <v>5500</v>
      </c>
    </row>
    <row r="1076" spans="1:258" ht="21.95" customHeight="1" x14ac:dyDescent="0.25">
      <c r="A1076" s="53" t="s">
        <v>1516</v>
      </c>
      <c r="B1076" s="8" t="s">
        <v>652</v>
      </c>
      <c r="C1076" s="2">
        <f t="shared" si="633"/>
        <v>2321000</v>
      </c>
      <c r="D1076" s="3">
        <f t="shared" ref="D1076" si="634">SUM(E1076:J1076)</f>
        <v>0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11">
        <v>0</v>
      </c>
      <c r="L1076" s="5">
        <v>0</v>
      </c>
      <c r="M1076" s="5">
        <v>422</v>
      </c>
      <c r="N1076" s="3">
        <f t="shared" si="632"/>
        <v>2321000</v>
      </c>
      <c r="O1076" s="5">
        <v>0</v>
      </c>
      <c r="P1076" s="5">
        <v>0</v>
      </c>
      <c r="Q1076" s="5">
        <v>0</v>
      </c>
      <c r="R1076" s="3">
        <f t="shared" si="629"/>
        <v>0</v>
      </c>
      <c r="S1076" s="5">
        <v>0</v>
      </c>
      <c r="T1076" s="5">
        <v>0</v>
      </c>
      <c r="U1076" s="5">
        <v>0</v>
      </c>
      <c r="V1076" s="6">
        <f t="shared" si="630"/>
        <v>5500</v>
      </c>
    </row>
    <row r="1077" spans="1:258" ht="21.95" customHeight="1" x14ac:dyDescent="0.25">
      <c r="A1077" s="53" t="s">
        <v>1517</v>
      </c>
      <c r="B1077" s="23" t="s">
        <v>750</v>
      </c>
      <c r="C1077" s="2">
        <f t="shared" si="633"/>
        <v>8041000</v>
      </c>
      <c r="D1077" s="3">
        <f t="shared" si="631"/>
        <v>0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4">
        <v>0</v>
      </c>
      <c r="L1077" s="3">
        <v>0</v>
      </c>
      <c r="M1077" s="3">
        <v>1462</v>
      </c>
      <c r="N1077" s="3">
        <f t="shared" si="632"/>
        <v>8041000</v>
      </c>
      <c r="O1077" s="3">
        <v>0</v>
      </c>
      <c r="P1077" s="3">
        <v>0</v>
      </c>
      <c r="Q1077" s="3">
        <v>0</v>
      </c>
      <c r="R1077" s="3">
        <f t="shared" si="629"/>
        <v>0</v>
      </c>
      <c r="S1077" s="3">
        <v>0</v>
      </c>
      <c r="T1077" s="5">
        <v>0</v>
      </c>
      <c r="U1077" s="3">
        <v>0</v>
      </c>
      <c r="V1077" s="6">
        <f t="shared" si="630"/>
        <v>5500</v>
      </c>
    </row>
    <row r="1078" spans="1:258" ht="21.95" customHeight="1" x14ac:dyDescent="0.25">
      <c r="A1078" s="53" t="s">
        <v>1518</v>
      </c>
      <c r="B1078" s="23" t="s">
        <v>752</v>
      </c>
      <c r="C1078" s="2">
        <f>D1078+L1078+N1078+P1078+R1078+S1078+T1078+U1078</f>
        <v>5742000</v>
      </c>
      <c r="D1078" s="3">
        <f>SUM(E1078:J1078)</f>
        <v>0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4">
        <v>0</v>
      </c>
      <c r="L1078" s="3">
        <v>0</v>
      </c>
      <c r="M1078" s="3">
        <v>1044</v>
      </c>
      <c r="N1078" s="3">
        <f>M1078*5500</f>
        <v>5742000</v>
      </c>
      <c r="O1078" s="3">
        <v>0</v>
      </c>
      <c r="P1078" s="3">
        <v>0</v>
      </c>
      <c r="Q1078" s="3">
        <v>0</v>
      </c>
      <c r="R1078" s="3">
        <f>Q1078*3000</f>
        <v>0</v>
      </c>
      <c r="S1078" s="3">
        <v>0</v>
      </c>
      <c r="T1078" s="5">
        <v>0</v>
      </c>
      <c r="U1078" s="3">
        <v>0</v>
      </c>
      <c r="V1078" s="6">
        <f>N1078/M1078</f>
        <v>5500</v>
      </c>
    </row>
    <row r="1079" spans="1:258" ht="21.95" customHeight="1" x14ac:dyDescent="0.25">
      <c r="A1079" s="53" t="s">
        <v>1519</v>
      </c>
      <c r="B1079" s="23" t="s">
        <v>753</v>
      </c>
      <c r="C1079" s="2">
        <f>D1079+L1079+N1079+P1079+R1079+S1079+T1079+U1079</f>
        <v>5703500</v>
      </c>
      <c r="D1079" s="3">
        <f>SUM(E1079:J1079)</f>
        <v>0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4">
        <v>0</v>
      </c>
      <c r="L1079" s="3">
        <v>0</v>
      </c>
      <c r="M1079" s="3">
        <v>1037</v>
      </c>
      <c r="N1079" s="3">
        <f>M1079*5500</f>
        <v>5703500</v>
      </c>
      <c r="O1079" s="3">
        <v>0</v>
      </c>
      <c r="P1079" s="3">
        <v>0</v>
      </c>
      <c r="Q1079" s="3">
        <v>0</v>
      </c>
      <c r="R1079" s="3">
        <f>Q1079*3000</f>
        <v>0</v>
      </c>
      <c r="S1079" s="3">
        <v>0</v>
      </c>
      <c r="T1079" s="5">
        <v>0</v>
      </c>
      <c r="U1079" s="3">
        <v>0</v>
      </c>
      <c r="V1079" s="6">
        <f>N1079/M1079</f>
        <v>5500</v>
      </c>
      <c r="W1079" s="17"/>
      <c r="X1079" s="17"/>
      <c r="Y1079" s="17"/>
      <c r="Z1079" s="17"/>
      <c r="AA1079" s="17"/>
      <c r="AB1079" s="17"/>
      <c r="AC1079" s="17"/>
      <c r="AD1079" s="17"/>
      <c r="AE1079" s="17"/>
      <c r="AF1079" s="17"/>
      <c r="AG1079" s="17"/>
      <c r="AH1079" s="17"/>
      <c r="AI1079" s="17"/>
      <c r="AJ1079" s="17"/>
      <c r="AK1079" s="17"/>
      <c r="AL1079" s="17"/>
      <c r="AM1079" s="17"/>
      <c r="AN1079" s="17"/>
      <c r="AO1079" s="17"/>
      <c r="AP1079" s="17"/>
      <c r="AQ1079" s="17"/>
      <c r="AR1079" s="17"/>
      <c r="AS1079" s="17"/>
      <c r="AT1079" s="17"/>
      <c r="AU1079" s="17"/>
      <c r="AV1079" s="17"/>
      <c r="AW1079" s="17"/>
      <c r="AX1079" s="17"/>
      <c r="AY1079" s="17"/>
      <c r="AZ1079" s="17"/>
      <c r="BA1079" s="17"/>
      <c r="BB1079" s="17"/>
      <c r="BC1079" s="17"/>
      <c r="BD1079" s="17"/>
      <c r="BE1079" s="17"/>
      <c r="BF1079" s="17"/>
      <c r="BG1079" s="17"/>
      <c r="BH1079" s="17"/>
      <c r="BI1079" s="17"/>
      <c r="BJ1079" s="17"/>
      <c r="BK1079" s="17"/>
      <c r="BL1079" s="17"/>
      <c r="BM1079" s="17"/>
      <c r="BN1079" s="17"/>
      <c r="BO1079" s="17"/>
      <c r="BP1079" s="17"/>
      <c r="BQ1079" s="17"/>
      <c r="BR1079" s="17"/>
      <c r="BS1079" s="17"/>
      <c r="BT1079" s="17"/>
      <c r="BU1079" s="17"/>
      <c r="BV1079" s="17"/>
      <c r="BW1079" s="17"/>
      <c r="BX1079" s="17"/>
      <c r="BY1079" s="17"/>
      <c r="BZ1079" s="17"/>
      <c r="CA1079" s="17"/>
      <c r="CB1079" s="17"/>
      <c r="CC1079" s="17"/>
      <c r="CD1079" s="17"/>
      <c r="CE1079" s="17"/>
      <c r="CF1079" s="17"/>
      <c r="CG1079" s="17"/>
      <c r="CH1079" s="17"/>
      <c r="CI1079" s="17"/>
      <c r="CJ1079" s="17"/>
      <c r="CK1079" s="17"/>
      <c r="CL1079" s="17"/>
      <c r="CM1079" s="17"/>
      <c r="CN1079" s="17"/>
      <c r="CO1079" s="17"/>
      <c r="CP1079" s="17"/>
      <c r="CQ1079" s="17"/>
      <c r="CR1079" s="17"/>
      <c r="CS1079" s="17"/>
      <c r="CT1079" s="17"/>
      <c r="CU1079" s="17"/>
      <c r="CV1079" s="17"/>
      <c r="CW1079" s="17"/>
      <c r="CX1079" s="17"/>
      <c r="CY1079" s="17"/>
      <c r="CZ1079" s="17"/>
      <c r="DA1079" s="17"/>
      <c r="DB1079" s="17"/>
      <c r="DC1079" s="17"/>
      <c r="DD1079" s="17"/>
      <c r="DE1079" s="17"/>
      <c r="DF1079" s="17"/>
      <c r="DG1079" s="17"/>
      <c r="DH1079" s="17"/>
      <c r="DI1079" s="17"/>
      <c r="DJ1079" s="17"/>
      <c r="DK1079" s="17"/>
      <c r="DL1079" s="17"/>
      <c r="DM1079" s="17"/>
      <c r="DN1079" s="17"/>
      <c r="DO1079" s="17"/>
      <c r="DP1079" s="17"/>
      <c r="DQ1079" s="17"/>
      <c r="DR1079" s="17"/>
      <c r="DS1079" s="17"/>
      <c r="DT1079" s="17"/>
      <c r="DU1079" s="17"/>
      <c r="DV1079" s="17"/>
      <c r="DW1079" s="17"/>
      <c r="DX1079" s="17"/>
      <c r="DY1079" s="17"/>
      <c r="DZ1079" s="17"/>
      <c r="EA1079" s="17"/>
      <c r="EB1079" s="17"/>
      <c r="EC1079" s="17"/>
      <c r="ED1079" s="17"/>
      <c r="EE1079" s="17"/>
      <c r="EF1079" s="17"/>
      <c r="EG1079" s="17"/>
      <c r="EH1079" s="17"/>
      <c r="EI1079" s="17"/>
      <c r="EJ1079" s="17"/>
      <c r="EK1079" s="17"/>
      <c r="EL1079" s="17"/>
      <c r="EM1079" s="17"/>
      <c r="EN1079" s="17"/>
      <c r="EO1079" s="17"/>
      <c r="EP1079" s="17"/>
      <c r="EQ1079" s="17"/>
      <c r="ER1079" s="17"/>
      <c r="ES1079" s="17"/>
      <c r="ET1079" s="17"/>
      <c r="EU1079" s="17"/>
      <c r="EV1079" s="17"/>
      <c r="EW1079" s="17"/>
      <c r="EX1079" s="17"/>
      <c r="EY1079" s="17"/>
      <c r="EZ1079" s="17"/>
      <c r="FA1079" s="17"/>
      <c r="FB1079" s="17"/>
      <c r="FC1079" s="17"/>
      <c r="FD1079" s="17"/>
      <c r="FE1079" s="17"/>
      <c r="FF1079" s="17"/>
      <c r="FG1079" s="17"/>
      <c r="FH1079" s="17"/>
      <c r="FI1079" s="17"/>
      <c r="FJ1079" s="17"/>
      <c r="FK1079" s="17"/>
      <c r="FL1079" s="17"/>
      <c r="FM1079" s="17"/>
      <c r="FN1079" s="17"/>
      <c r="FO1079" s="17"/>
      <c r="FP1079" s="17"/>
      <c r="FQ1079" s="17"/>
      <c r="FR1079" s="17"/>
      <c r="FS1079" s="17"/>
      <c r="FT1079" s="17"/>
      <c r="FU1079" s="17"/>
      <c r="FV1079" s="17"/>
      <c r="FW1079" s="17"/>
      <c r="FX1079" s="17"/>
      <c r="FY1079" s="17"/>
      <c r="FZ1079" s="17"/>
      <c r="GA1079" s="17"/>
      <c r="GB1079" s="17"/>
      <c r="GC1079" s="17"/>
      <c r="GD1079" s="17"/>
      <c r="GE1079" s="17"/>
      <c r="GF1079" s="17"/>
      <c r="GG1079" s="17"/>
      <c r="GH1079" s="17"/>
      <c r="GI1079" s="17"/>
      <c r="GJ1079" s="17"/>
      <c r="GK1079" s="17"/>
      <c r="GL1079" s="17"/>
      <c r="GM1079" s="17"/>
      <c r="GN1079" s="17"/>
      <c r="GO1079" s="17"/>
      <c r="GP1079" s="17"/>
      <c r="GQ1079" s="17"/>
      <c r="GR1079" s="17"/>
      <c r="GS1079" s="17"/>
      <c r="GT1079" s="17"/>
      <c r="GU1079" s="17"/>
      <c r="GV1079" s="17"/>
      <c r="GW1079" s="17"/>
      <c r="GX1079" s="17"/>
      <c r="GY1079" s="17"/>
      <c r="GZ1079" s="17"/>
      <c r="HA1079" s="17"/>
      <c r="HB1079" s="17"/>
      <c r="HC1079" s="17"/>
      <c r="HD1079" s="17"/>
      <c r="HE1079" s="17"/>
      <c r="HF1079" s="17"/>
      <c r="HG1079" s="17"/>
      <c r="HH1079" s="17"/>
      <c r="HI1079" s="17"/>
      <c r="HJ1079" s="17"/>
      <c r="HK1079" s="17"/>
      <c r="HL1079" s="17"/>
      <c r="HM1079" s="17"/>
      <c r="HN1079" s="17"/>
      <c r="HO1079" s="17"/>
      <c r="HP1079" s="17"/>
      <c r="HQ1079" s="17"/>
      <c r="HR1079" s="17"/>
      <c r="HS1079" s="17"/>
      <c r="HT1079" s="17"/>
      <c r="HU1079" s="17"/>
      <c r="HV1079" s="17"/>
      <c r="HW1079" s="17"/>
      <c r="HX1079" s="17"/>
      <c r="HY1079" s="17"/>
      <c r="HZ1079" s="17"/>
      <c r="IA1079" s="17"/>
      <c r="IB1079" s="17"/>
      <c r="IC1079" s="17"/>
      <c r="ID1079" s="17"/>
      <c r="IE1079" s="17"/>
      <c r="IF1079" s="17"/>
      <c r="IG1079" s="17"/>
      <c r="IH1079" s="17"/>
      <c r="II1079" s="17"/>
      <c r="IJ1079" s="17"/>
      <c r="IK1079" s="17"/>
      <c r="IL1079" s="17"/>
      <c r="IM1079" s="17"/>
      <c r="IN1079" s="17"/>
      <c r="IO1079" s="17"/>
      <c r="IP1079" s="17"/>
      <c r="IQ1079" s="17"/>
      <c r="IR1079" s="17"/>
      <c r="IS1079" s="17"/>
      <c r="IT1079" s="17"/>
      <c r="IU1079" s="17"/>
      <c r="IV1079" s="17"/>
      <c r="IW1079" s="17"/>
      <c r="IX1079" s="17"/>
    </row>
    <row r="1080" spans="1:258" ht="21.95" customHeight="1" x14ac:dyDescent="0.25">
      <c r="A1080" s="53" t="s">
        <v>1520</v>
      </c>
      <c r="B1080" s="23" t="s">
        <v>751</v>
      </c>
      <c r="C1080" s="2">
        <f t="shared" si="633"/>
        <v>5698000</v>
      </c>
      <c r="D1080" s="3">
        <f t="shared" si="631"/>
        <v>0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4">
        <v>0</v>
      </c>
      <c r="L1080" s="3">
        <v>0</v>
      </c>
      <c r="M1080" s="3">
        <v>1036</v>
      </c>
      <c r="N1080" s="3">
        <f t="shared" si="632"/>
        <v>5698000</v>
      </c>
      <c r="O1080" s="3">
        <v>0</v>
      </c>
      <c r="P1080" s="3">
        <v>0</v>
      </c>
      <c r="Q1080" s="3">
        <v>0</v>
      </c>
      <c r="R1080" s="3">
        <f t="shared" si="629"/>
        <v>0</v>
      </c>
      <c r="S1080" s="3">
        <v>0</v>
      </c>
      <c r="T1080" s="5">
        <v>0</v>
      </c>
      <c r="U1080" s="3">
        <v>0</v>
      </c>
      <c r="V1080" s="6">
        <f t="shared" si="630"/>
        <v>5500</v>
      </c>
    </row>
    <row r="1081" spans="1:258" ht="21.95" customHeight="1" x14ac:dyDescent="0.25">
      <c r="A1081" s="53" t="s">
        <v>1521</v>
      </c>
      <c r="B1081" s="8" t="s">
        <v>754</v>
      </c>
      <c r="C1081" s="2">
        <f t="shared" si="633"/>
        <v>2670688.5</v>
      </c>
      <c r="D1081" s="3">
        <f t="shared" si="631"/>
        <v>2570688.5</v>
      </c>
      <c r="E1081" s="3">
        <f>350*1093.91</f>
        <v>382868.5</v>
      </c>
      <c r="F1081" s="3">
        <f>1050*1093.91</f>
        <v>1148605.5</v>
      </c>
      <c r="G1081" s="3">
        <f>300*1093.91</f>
        <v>328173</v>
      </c>
      <c r="H1081" s="3">
        <f>400*1093.91</f>
        <v>437564.00000000006</v>
      </c>
      <c r="I1081" s="3">
        <f>250*1093.91</f>
        <v>273477.5</v>
      </c>
      <c r="J1081" s="3">
        <v>0</v>
      </c>
      <c r="K1081" s="4">
        <v>0</v>
      </c>
      <c r="L1081" s="3">
        <v>0</v>
      </c>
      <c r="M1081" s="5">
        <v>0</v>
      </c>
      <c r="N1081" s="5">
        <v>0</v>
      </c>
      <c r="O1081" s="3">
        <v>0</v>
      </c>
      <c r="P1081" s="3">
        <v>0</v>
      </c>
      <c r="Q1081" s="3">
        <v>0</v>
      </c>
      <c r="R1081" s="3">
        <f t="shared" si="629"/>
        <v>0</v>
      </c>
      <c r="S1081" s="3">
        <v>0</v>
      </c>
      <c r="T1081" s="5">
        <v>0</v>
      </c>
      <c r="U1081" s="3">
        <v>100000</v>
      </c>
      <c r="V1081" s="6" t="e">
        <f t="shared" si="630"/>
        <v>#DIV/0!</v>
      </c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  <c r="BU1081" s="6"/>
      <c r="BV1081" s="6"/>
      <c r="BW1081" s="6"/>
      <c r="BX1081" s="6"/>
      <c r="BY1081" s="6"/>
      <c r="BZ1081" s="6"/>
      <c r="CA1081" s="6"/>
      <c r="CB1081" s="6"/>
      <c r="CC1081" s="6"/>
      <c r="CD1081" s="6"/>
      <c r="CE1081" s="6"/>
      <c r="CF1081" s="6"/>
      <c r="CG1081" s="6"/>
      <c r="CH1081" s="6"/>
      <c r="CI1081" s="6"/>
      <c r="CJ1081" s="6"/>
      <c r="CK1081" s="6"/>
      <c r="CL1081" s="6"/>
      <c r="CM1081" s="6"/>
      <c r="CN1081" s="6"/>
      <c r="CO1081" s="6"/>
      <c r="CP1081" s="6"/>
      <c r="CQ1081" s="6"/>
      <c r="CR1081" s="6"/>
      <c r="CS1081" s="6"/>
      <c r="CT1081" s="6"/>
      <c r="CU1081" s="6"/>
      <c r="CV1081" s="6"/>
      <c r="CW1081" s="6"/>
      <c r="CX1081" s="6"/>
      <c r="CY1081" s="6"/>
      <c r="CZ1081" s="6"/>
      <c r="DA1081" s="6"/>
      <c r="DB1081" s="6"/>
      <c r="DC1081" s="6"/>
      <c r="DD1081" s="6"/>
      <c r="DE1081" s="6"/>
      <c r="DF1081" s="6"/>
      <c r="DG1081" s="6"/>
      <c r="DH1081" s="6"/>
      <c r="DI1081" s="6"/>
      <c r="DJ1081" s="6"/>
      <c r="DK1081" s="6"/>
      <c r="DL1081" s="6"/>
      <c r="DM1081" s="6"/>
      <c r="DN1081" s="6"/>
      <c r="DO1081" s="6"/>
      <c r="DP1081" s="6"/>
      <c r="DQ1081" s="6"/>
      <c r="DR1081" s="6"/>
      <c r="DS1081" s="6"/>
      <c r="DT1081" s="6"/>
      <c r="DU1081" s="6"/>
      <c r="DV1081" s="6"/>
      <c r="DW1081" s="6"/>
      <c r="DX1081" s="6"/>
      <c r="DY1081" s="6"/>
      <c r="DZ1081" s="6"/>
      <c r="EA1081" s="6"/>
      <c r="EB1081" s="6"/>
      <c r="EC1081" s="6"/>
      <c r="ED1081" s="6"/>
      <c r="EE1081" s="6"/>
      <c r="EF1081" s="6"/>
      <c r="EG1081" s="6"/>
      <c r="EH1081" s="6"/>
      <c r="EI1081" s="6"/>
      <c r="EJ1081" s="6"/>
      <c r="EK1081" s="6"/>
      <c r="EL1081" s="6"/>
      <c r="EM1081" s="6"/>
      <c r="EN1081" s="6"/>
      <c r="EO1081" s="6"/>
      <c r="EP1081" s="6"/>
      <c r="EQ1081" s="6"/>
      <c r="ER1081" s="6"/>
      <c r="ES1081" s="6"/>
      <c r="ET1081" s="6"/>
      <c r="EU1081" s="6"/>
      <c r="EV1081" s="6"/>
      <c r="EW1081" s="6"/>
      <c r="EX1081" s="6"/>
      <c r="EY1081" s="6"/>
      <c r="EZ1081" s="6"/>
      <c r="FA1081" s="6"/>
      <c r="FB1081" s="6"/>
      <c r="FC1081" s="6"/>
      <c r="FD1081" s="6"/>
      <c r="FE1081" s="6"/>
      <c r="FF1081" s="6"/>
      <c r="FG1081" s="6"/>
      <c r="FH1081" s="6"/>
      <c r="FI1081" s="6"/>
      <c r="FJ1081" s="6"/>
      <c r="FK1081" s="6"/>
      <c r="FL1081" s="6"/>
      <c r="FM1081" s="6"/>
      <c r="FN1081" s="6"/>
      <c r="FO1081" s="6"/>
      <c r="FP1081" s="6"/>
      <c r="FQ1081" s="6"/>
      <c r="FR1081" s="6"/>
      <c r="FS1081" s="6"/>
      <c r="FT1081" s="6"/>
      <c r="FU1081" s="6"/>
      <c r="FV1081" s="6"/>
      <c r="FW1081" s="6"/>
      <c r="FX1081" s="6"/>
      <c r="FY1081" s="6"/>
      <c r="FZ1081" s="6"/>
      <c r="GA1081" s="6"/>
      <c r="GB1081" s="6"/>
      <c r="GC1081" s="6"/>
      <c r="GD1081" s="6"/>
      <c r="GE1081" s="6"/>
      <c r="GF1081" s="6"/>
      <c r="GG1081" s="6"/>
      <c r="GH1081" s="6"/>
      <c r="GI1081" s="6"/>
      <c r="GJ1081" s="6"/>
      <c r="GK1081" s="6"/>
      <c r="GL1081" s="6"/>
      <c r="GM1081" s="6"/>
      <c r="GN1081" s="6"/>
      <c r="GO1081" s="6"/>
      <c r="GP1081" s="6"/>
      <c r="GQ1081" s="6"/>
      <c r="GR1081" s="6"/>
      <c r="GS1081" s="6"/>
      <c r="GT1081" s="6"/>
      <c r="GU1081" s="6"/>
      <c r="GV1081" s="6"/>
      <c r="GW1081" s="6"/>
      <c r="GX1081" s="6"/>
      <c r="GY1081" s="6"/>
      <c r="GZ1081" s="6"/>
      <c r="HA1081" s="6"/>
      <c r="HB1081" s="6"/>
      <c r="HC1081" s="6"/>
      <c r="HD1081" s="6"/>
      <c r="HE1081" s="6"/>
      <c r="HF1081" s="6"/>
      <c r="HG1081" s="6"/>
      <c r="HH1081" s="6"/>
      <c r="HI1081" s="6"/>
      <c r="HJ1081" s="6"/>
      <c r="HK1081" s="6"/>
      <c r="HL1081" s="6"/>
      <c r="HM1081" s="6"/>
      <c r="HN1081" s="6"/>
      <c r="HO1081" s="6"/>
      <c r="HP1081" s="6"/>
      <c r="HQ1081" s="6"/>
      <c r="HR1081" s="6"/>
      <c r="HS1081" s="6"/>
      <c r="HT1081" s="6"/>
      <c r="HU1081" s="6"/>
      <c r="HV1081" s="6"/>
      <c r="HW1081" s="6"/>
      <c r="HX1081" s="6"/>
      <c r="HY1081" s="6"/>
      <c r="HZ1081" s="6"/>
      <c r="IA1081" s="6"/>
      <c r="IB1081" s="6"/>
      <c r="IC1081" s="6"/>
      <c r="ID1081" s="6"/>
      <c r="IE1081" s="6"/>
      <c r="IF1081" s="6"/>
      <c r="IG1081" s="6"/>
      <c r="IH1081" s="6"/>
      <c r="II1081" s="6"/>
      <c r="IJ1081" s="6"/>
      <c r="IK1081" s="6"/>
      <c r="IL1081" s="6"/>
      <c r="IM1081" s="6"/>
      <c r="IN1081" s="6"/>
      <c r="IO1081" s="6"/>
      <c r="IP1081" s="6"/>
      <c r="IQ1081" s="6"/>
      <c r="IR1081" s="6"/>
      <c r="IS1081" s="6"/>
      <c r="IT1081" s="6"/>
      <c r="IU1081" s="6"/>
      <c r="IV1081" s="6"/>
      <c r="IW1081" s="6"/>
      <c r="IX1081" s="6"/>
    </row>
    <row r="1082" spans="1:258" ht="21.95" customHeight="1" x14ac:dyDescent="0.25">
      <c r="A1082" s="53" t="s">
        <v>1522</v>
      </c>
      <c r="B1082" s="8" t="s">
        <v>755</v>
      </c>
      <c r="C1082" s="2">
        <f t="shared" si="633"/>
        <v>2738450</v>
      </c>
      <c r="D1082" s="3">
        <f t="shared" si="631"/>
        <v>0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4">
        <v>0</v>
      </c>
      <c r="L1082" s="3">
        <v>0</v>
      </c>
      <c r="M1082" s="3">
        <v>497.9</v>
      </c>
      <c r="N1082" s="3">
        <f t="shared" ref="N1082:N1090" si="635">M1082*5500</f>
        <v>2738450</v>
      </c>
      <c r="O1082" s="3">
        <v>0</v>
      </c>
      <c r="P1082" s="3">
        <v>0</v>
      </c>
      <c r="Q1082" s="3">
        <v>0</v>
      </c>
      <c r="R1082" s="3">
        <f t="shared" si="629"/>
        <v>0</v>
      </c>
      <c r="S1082" s="3">
        <v>0</v>
      </c>
      <c r="T1082" s="5">
        <v>0</v>
      </c>
      <c r="U1082" s="3">
        <v>0</v>
      </c>
      <c r="V1082" s="6">
        <f t="shared" si="630"/>
        <v>5500</v>
      </c>
      <c r="W1082" s="17"/>
      <c r="X1082" s="17"/>
      <c r="Y1082" s="17"/>
      <c r="Z1082" s="17"/>
      <c r="AA1082" s="17"/>
      <c r="AB1082" s="17"/>
      <c r="AC1082" s="17"/>
      <c r="AD1082" s="17"/>
      <c r="AE1082" s="17"/>
      <c r="AF1082" s="17"/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17"/>
      <c r="AS1082" s="17"/>
      <c r="AT1082" s="17"/>
      <c r="AU1082" s="17"/>
      <c r="AV1082" s="17"/>
      <c r="AW1082" s="17"/>
      <c r="AX1082" s="17"/>
      <c r="AY1082" s="17"/>
      <c r="AZ1082" s="17"/>
      <c r="BA1082" s="17"/>
      <c r="BB1082" s="17"/>
      <c r="BC1082" s="17"/>
      <c r="BD1082" s="17"/>
      <c r="BE1082" s="17"/>
      <c r="BF1082" s="17"/>
      <c r="BG1082" s="17"/>
      <c r="BH1082" s="17"/>
      <c r="BI1082" s="17"/>
      <c r="BJ1082" s="17"/>
      <c r="BK1082" s="17"/>
      <c r="BL1082" s="17"/>
      <c r="BM1082" s="17"/>
      <c r="BN1082" s="17"/>
      <c r="BO1082" s="17"/>
      <c r="BP1082" s="17"/>
      <c r="BQ1082" s="17"/>
      <c r="BR1082" s="17"/>
      <c r="BS1082" s="17"/>
      <c r="BT1082" s="17"/>
      <c r="BU1082" s="17"/>
      <c r="BV1082" s="17"/>
      <c r="BW1082" s="17"/>
      <c r="BX1082" s="17"/>
      <c r="BY1082" s="17"/>
      <c r="BZ1082" s="17"/>
      <c r="CA1082" s="17"/>
      <c r="CB1082" s="17"/>
      <c r="CC1082" s="17"/>
      <c r="CD1082" s="17"/>
      <c r="CE1082" s="17"/>
      <c r="CF1082" s="17"/>
      <c r="CG1082" s="17"/>
      <c r="CH1082" s="17"/>
      <c r="CI1082" s="17"/>
      <c r="CJ1082" s="17"/>
      <c r="CK1082" s="17"/>
      <c r="CL1082" s="17"/>
      <c r="CM1082" s="17"/>
      <c r="CN1082" s="17"/>
      <c r="CO1082" s="17"/>
      <c r="CP1082" s="17"/>
      <c r="CQ1082" s="17"/>
      <c r="CR1082" s="17"/>
      <c r="CS1082" s="17"/>
      <c r="CT1082" s="17"/>
      <c r="CU1082" s="17"/>
      <c r="CV1082" s="17"/>
      <c r="CW1082" s="17"/>
      <c r="CX1082" s="17"/>
      <c r="CY1082" s="17"/>
      <c r="CZ1082" s="17"/>
      <c r="DA1082" s="17"/>
      <c r="DB1082" s="17"/>
      <c r="DC1082" s="17"/>
      <c r="DD1082" s="17"/>
      <c r="DE1082" s="17"/>
      <c r="DF1082" s="17"/>
      <c r="DG1082" s="17"/>
      <c r="DH1082" s="17"/>
      <c r="DI1082" s="17"/>
      <c r="DJ1082" s="17"/>
      <c r="DK1082" s="17"/>
      <c r="DL1082" s="17"/>
      <c r="DM1082" s="17"/>
      <c r="DN1082" s="17"/>
      <c r="DO1082" s="17"/>
      <c r="DP1082" s="17"/>
      <c r="DQ1082" s="17"/>
      <c r="DR1082" s="17"/>
      <c r="DS1082" s="17"/>
      <c r="DT1082" s="17"/>
      <c r="DU1082" s="17"/>
      <c r="DV1082" s="17"/>
      <c r="DW1082" s="17"/>
      <c r="DX1082" s="17"/>
      <c r="DY1082" s="17"/>
      <c r="DZ1082" s="17"/>
      <c r="EA1082" s="17"/>
      <c r="EB1082" s="17"/>
      <c r="EC1082" s="17"/>
      <c r="ED1082" s="17"/>
      <c r="EE1082" s="17"/>
      <c r="EF1082" s="17"/>
      <c r="EG1082" s="17"/>
      <c r="EH1082" s="17"/>
      <c r="EI1082" s="17"/>
      <c r="EJ1082" s="17"/>
      <c r="EK1082" s="17"/>
      <c r="EL1082" s="17"/>
      <c r="EM1082" s="17"/>
      <c r="EN1082" s="17"/>
      <c r="EO1082" s="17"/>
      <c r="EP1082" s="17"/>
      <c r="EQ1082" s="17"/>
      <c r="ER1082" s="17"/>
      <c r="ES1082" s="17"/>
      <c r="ET1082" s="17"/>
      <c r="EU1082" s="17"/>
      <c r="EV1082" s="17"/>
      <c r="EW1082" s="17"/>
      <c r="EX1082" s="17"/>
      <c r="EY1082" s="17"/>
      <c r="EZ1082" s="17"/>
      <c r="FA1082" s="17"/>
      <c r="FB1082" s="17"/>
      <c r="FC1082" s="17"/>
      <c r="FD1082" s="17"/>
      <c r="FE1082" s="17"/>
      <c r="FF1082" s="17"/>
      <c r="FG1082" s="17"/>
      <c r="FH1082" s="17"/>
      <c r="FI1082" s="17"/>
      <c r="FJ1082" s="17"/>
      <c r="FK1082" s="17"/>
      <c r="FL1082" s="17"/>
      <c r="FM1082" s="17"/>
      <c r="FN1082" s="17"/>
      <c r="FO1082" s="17"/>
      <c r="FP1082" s="17"/>
      <c r="FQ1082" s="17"/>
      <c r="FR1082" s="17"/>
      <c r="FS1082" s="17"/>
      <c r="FT1082" s="17"/>
      <c r="FU1082" s="17"/>
      <c r="FV1082" s="17"/>
      <c r="FW1082" s="17"/>
      <c r="FX1082" s="17"/>
      <c r="FY1082" s="17"/>
      <c r="FZ1082" s="17"/>
      <c r="GA1082" s="17"/>
      <c r="GB1082" s="17"/>
      <c r="GC1082" s="17"/>
      <c r="GD1082" s="17"/>
      <c r="GE1082" s="17"/>
      <c r="GF1082" s="17"/>
      <c r="GG1082" s="17"/>
      <c r="GH1082" s="17"/>
      <c r="GI1082" s="17"/>
      <c r="GJ1082" s="17"/>
      <c r="GK1082" s="17"/>
      <c r="GL1082" s="17"/>
      <c r="GM1082" s="17"/>
      <c r="GN1082" s="17"/>
      <c r="GO1082" s="17"/>
      <c r="GP1082" s="17"/>
      <c r="GQ1082" s="17"/>
      <c r="GR1082" s="17"/>
      <c r="GS1082" s="17"/>
      <c r="GT1082" s="17"/>
      <c r="GU1082" s="17"/>
      <c r="GV1082" s="17"/>
      <c r="GW1082" s="17"/>
      <c r="GX1082" s="17"/>
      <c r="GY1082" s="17"/>
      <c r="GZ1082" s="17"/>
      <c r="HA1082" s="17"/>
      <c r="HB1082" s="17"/>
      <c r="HC1082" s="17"/>
      <c r="HD1082" s="17"/>
      <c r="HE1082" s="17"/>
      <c r="HF1082" s="17"/>
      <c r="HG1082" s="17"/>
      <c r="HH1082" s="17"/>
      <c r="HI1082" s="17"/>
      <c r="HJ1082" s="17"/>
      <c r="HK1082" s="17"/>
      <c r="HL1082" s="17"/>
      <c r="HM1082" s="17"/>
      <c r="HN1082" s="17"/>
      <c r="HO1082" s="17"/>
      <c r="HP1082" s="17"/>
      <c r="HQ1082" s="17"/>
      <c r="HR1082" s="17"/>
      <c r="HS1082" s="17"/>
      <c r="HT1082" s="17"/>
      <c r="HU1082" s="17"/>
      <c r="HV1082" s="17"/>
      <c r="HW1082" s="17"/>
      <c r="HX1082" s="17"/>
      <c r="HY1082" s="17"/>
      <c r="HZ1082" s="17"/>
      <c r="IA1082" s="17"/>
      <c r="IB1082" s="17"/>
      <c r="IC1082" s="17"/>
      <c r="ID1082" s="17"/>
      <c r="IE1082" s="17"/>
      <c r="IF1082" s="17"/>
      <c r="IG1082" s="17"/>
      <c r="IH1082" s="17"/>
      <c r="II1082" s="17"/>
      <c r="IJ1082" s="17"/>
      <c r="IK1082" s="17"/>
      <c r="IL1082" s="17"/>
      <c r="IM1082" s="17"/>
      <c r="IN1082" s="17"/>
      <c r="IO1082" s="17"/>
      <c r="IP1082" s="17"/>
      <c r="IQ1082" s="17"/>
      <c r="IR1082" s="17"/>
      <c r="IS1082" s="17"/>
      <c r="IT1082" s="17"/>
      <c r="IU1082" s="17"/>
      <c r="IV1082" s="17"/>
      <c r="IW1082" s="17"/>
      <c r="IX1082" s="17"/>
    </row>
    <row r="1083" spans="1:258" ht="21.95" customHeight="1" x14ac:dyDescent="0.25">
      <c r="A1083" s="53" t="s">
        <v>1523</v>
      </c>
      <c r="B1083" s="8" t="s">
        <v>559</v>
      </c>
      <c r="C1083" s="2">
        <f t="shared" si="633"/>
        <v>1512500</v>
      </c>
      <c r="D1083" s="3">
        <f t="shared" ref="D1083" si="636">SUM(E1083:J1083)</f>
        <v>0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11">
        <v>0</v>
      </c>
      <c r="L1083" s="5">
        <v>0</v>
      </c>
      <c r="M1083" s="5">
        <v>275</v>
      </c>
      <c r="N1083" s="3">
        <f t="shared" si="635"/>
        <v>1512500</v>
      </c>
      <c r="O1083" s="5">
        <v>0</v>
      </c>
      <c r="P1083" s="5">
        <v>0</v>
      </c>
      <c r="Q1083" s="5">
        <v>0</v>
      </c>
      <c r="R1083" s="3">
        <f t="shared" si="629"/>
        <v>0</v>
      </c>
      <c r="S1083" s="5">
        <v>0</v>
      </c>
      <c r="T1083" s="5">
        <v>0</v>
      </c>
      <c r="U1083" s="5">
        <v>0</v>
      </c>
      <c r="V1083" s="6">
        <f t="shared" si="630"/>
        <v>5500</v>
      </c>
    </row>
    <row r="1084" spans="1:258" ht="21.95" customHeight="1" x14ac:dyDescent="0.25">
      <c r="A1084" s="53" t="s">
        <v>1524</v>
      </c>
      <c r="B1084" s="8" t="s">
        <v>758</v>
      </c>
      <c r="C1084" s="2">
        <f>D1084+L1084+N1084+P1084+R1084+S1084+T1084+U1084</f>
        <v>1452000</v>
      </c>
      <c r="D1084" s="3">
        <f>SUM(E1084:J1084)</f>
        <v>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4">
        <v>0</v>
      </c>
      <c r="L1084" s="3">
        <v>0</v>
      </c>
      <c r="M1084" s="5">
        <v>264</v>
      </c>
      <c r="N1084" s="3">
        <f>M1084*5500</f>
        <v>1452000</v>
      </c>
      <c r="O1084" s="3">
        <v>0</v>
      </c>
      <c r="P1084" s="3">
        <v>0</v>
      </c>
      <c r="Q1084" s="3">
        <v>0</v>
      </c>
      <c r="R1084" s="3">
        <f>Q1084*3000</f>
        <v>0</v>
      </c>
      <c r="S1084" s="3">
        <v>0</v>
      </c>
      <c r="T1084" s="5">
        <v>0</v>
      </c>
      <c r="U1084" s="3">
        <v>0</v>
      </c>
      <c r="V1084" s="6">
        <f>N1084/M1084</f>
        <v>5500</v>
      </c>
    </row>
    <row r="1085" spans="1:258" ht="21.95" customHeight="1" x14ac:dyDescent="0.25">
      <c r="A1085" s="53" t="s">
        <v>1525</v>
      </c>
      <c r="B1085" s="8" t="s">
        <v>759</v>
      </c>
      <c r="C1085" s="2">
        <f>D1085+L1085+N1085+P1085+R1085+S1085+T1085+U1085</f>
        <v>1170000</v>
      </c>
      <c r="D1085" s="3">
        <f>SUM(E1085:J1085)</f>
        <v>0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11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390</v>
      </c>
      <c r="R1085" s="3">
        <f>Q1085*3000</f>
        <v>1170000</v>
      </c>
      <c r="S1085" s="5">
        <v>0</v>
      </c>
      <c r="T1085" s="5">
        <v>0</v>
      </c>
      <c r="U1085" s="5">
        <v>0</v>
      </c>
      <c r="V1085" s="6" t="e">
        <f>N1085/M1085</f>
        <v>#DIV/0!</v>
      </c>
    </row>
    <row r="1086" spans="1:258" ht="21.95" customHeight="1" x14ac:dyDescent="0.25">
      <c r="A1086" s="53" t="s">
        <v>1648</v>
      </c>
      <c r="B1086" s="8" t="s">
        <v>760</v>
      </c>
      <c r="C1086" s="2">
        <f>D1086+L1086+N1086+P1086+R1086+S1086+T1086+U1086</f>
        <v>1080000</v>
      </c>
      <c r="D1086" s="3">
        <f>SUM(E1086:J1086)</f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4">
        <v>0</v>
      </c>
      <c r="L1086" s="3">
        <v>0</v>
      </c>
      <c r="M1086" s="5">
        <v>0</v>
      </c>
      <c r="N1086" s="5">
        <v>0</v>
      </c>
      <c r="O1086" s="3">
        <v>0</v>
      </c>
      <c r="P1086" s="3">
        <v>0</v>
      </c>
      <c r="Q1086" s="3">
        <v>360</v>
      </c>
      <c r="R1086" s="3">
        <f>Q1086*3000</f>
        <v>1080000</v>
      </c>
      <c r="S1086" s="3">
        <v>0</v>
      </c>
      <c r="T1086" s="5">
        <v>0</v>
      </c>
      <c r="U1086" s="3">
        <v>0</v>
      </c>
      <c r="V1086" s="6" t="e">
        <f>N1086/M1086</f>
        <v>#DIV/0!</v>
      </c>
      <c r="W1086" s="30"/>
      <c r="X1086" s="30"/>
      <c r="Y1086" s="30"/>
      <c r="Z1086" s="30"/>
      <c r="AA1086" s="30"/>
      <c r="AB1086" s="30"/>
      <c r="AC1086" s="30"/>
      <c r="AD1086" s="30"/>
      <c r="AE1086" s="30"/>
      <c r="AF1086" s="30"/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  <c r="AS1086" s="30"/>
      <c r="AT1086" s="30"/>
      <c r="AU1086" s="30"/>
      <c r="AV1086" s="30"/>
      <c r="AW1086" s="30"/>
      <c r="AX1086" s="30"/>
      <c r="AY1086" s="30"/>
      <c r="AZ1086" s="30"/>
      <c r="BA1086" s="30"/>
      <c r="BB1086" s="30"/>
      <c r="BC1086" s="30"/>
      <c r="BD1086" s="30"/>
      <c r="BE1086" s="30"/>
      <c r="BF1086" s="30"/>
      <c r="BG1086" s="30"/>
      <c r="BH1086" s="30"/>
      <c r="BI1086" s="30"/>
      <c r="BJ1086" s="30"/>
      <c r="BK1086" s="30"/>
      <c r="BL1086" s="30"/>
      <c r="BM1086" s="30"/>
      <c r="BN1086" s="30"/>
      <c r="BO1086" s="30"/>
      <c r="BP1086" s="30"/>
      <c r="BQ1086" s="30"/>
      <c r="BR1086" s="30"/>
      <c r="BS1086" s="30"/>
      <c r="BT1086" s="30"/>
      <c r="BU1086" s="30"/>
      <c r="BV1086" s="30"/>
      <c r="BW1086" s="30"/>
      <c r="BX1086" s="30"/>
      <c r="BY1086" s="30"/>
      <c r="BZ1086" s="30"/>
      <c r="CA1086" s="30"/>
      <c r="CB1086" s="30"/>
      <c r="CC1086" s="30"/>
      <c r="CD1086" s="30"/>
      <c r="CE1086" s="30"/>
      <c r="CF1086" s="30"/>
      <c r="CG1086" s="30"/>
      <c r="CH1086" s="30"/>
      <c r="CI1086" s="30"/>
      <c r="CJ1086" s="30"/>
      <c r="CK1086" s="30"/>
      <c r="CL1086" s="30"/>
      <c r="CM1086" s="30"/>
      <c r="CN1086" s="30"/>
      <c r="CO1086" s="30"/>
      <c r="CP1086" s="30"/>
      <c r="CQ1086" s="30"/>
      <c r="CR1086" s="30"/>
      <c r="CS1086" s="30"/>
      <c r="CT1086" s="30"/>
      <c r="CU1086" s="30"/>
      <c r="CV1086" s="30"/>
      <c r="CW1086" s="30"/>
      <c r="CX1086" s="30"/>
      <c r="CY1086" s="30"/>
      <c r="CZ1086" s="30"/>
      <c r="DA1086" s="30"/>
      <c r="DB1086" s="30"/>
      <c r="DC1086" s="30"/>
      <c r="DD1086" s="30"/>
      <c r="DE1086" s="30"/>
      <c r="DF1086" s="30"/>
      <c r="DG1086" s="30"/>
      <c r="DH1086" s="30"/>
      <c r="DI1086" s="30"/>
      <c r="DJ1086" s="30"/>
      <c r="DK1086" s="30"/>
      <c r="DL1086" s="30"/>
      <c r="DM1086" s="30"/>
      <c r="DN1086" s="30"/>
      <c r="DO1086" s="30"/>
      <c r="DP1086" s="30"/>
      <c r="DQ1086" s="30"/>
      <c r="DR1086" s="30"/>
      <c r="DS1086" s="30"/>
      <c r="DT1086" s="30"/>
      <c r="DU1086" s="30"/>
      <c r="DV1086" s="30"/>
      <c r="DW1086" s="30"/>
      <c r="DX1086" s="30"/>
      <c r="DY1086" s="30"/>
      <c r="DZ1086" s="30"/>
      <c r="EA1086" s="30"/>
      <c r="EB1086" s="30"/>
      <c r="EC1086" s="30"/>
      <c r="ED1086" s="30"/>
      <c r="EE1086" s="30"/>
      <c r="EF1086" s="30"/>
      <c r="EG1086" s="30"/>
      <c r="EH1086" s="30"/>
      <c r="EI1086" s="30"/>
      <c r="EJ1086" s="30"/>
      <c r="EK1086" s="30"/>
      <c r="EL1086" s="30"/>
      <c r="EM1086" s="30"/>
      <c r="EN1086" s="30"/>
      <c r="EO1086" s="30"/>
      <c r="EP1086" s="30"/>
      <c r="EQ1086" s="30"/>
      <c r="ER1086" s="30"/>
      <c r="ES1086" s="30"/>
      <c r="ET1086" s="30"/>
      <c r="EU1086" s="30"/>
      <c r="EV1086" s="30"/>
      <c r="EW1086" s="30"/>
      <c r="EX1086" s="30"/>
      <c r="EY1086" s="30"/>
      <c r="EZ1086" s="30"/>
      <c r="FA1086" s="30"/>
      <c r="FB1086" s="30"/>
      <c r="FC1086" s="30"/>
      <c r="FD1086" s="30"/>
      <c r="FE1086" s="30"/>
      <c r="FF1086" s="30"/>
      <c r="FG1086" s="30"/>
      <c r="FH1086" s="30"/>
      <c r="FI1086" s="30"/>
      <c r="FJ1086" s="30"/>
      <c r="FK1086" s="30"/>
      <c r="FL1086" s="30"/>
      <c r="FM1086" s="30"/>
      <c r="FN1086" s="30"/>
      <c r="FO1086" s="30"/>
      <c r="FP1086" s="30"/>
      <c r="FQ1086" s="30"/>
      <c r="FR1086" s="30"/>
      <c r="FS1086" s="30"/>
      <c r="FT1086" s="30"/>
      <c r="FU1086" s="30"/>
      <c r="FV1086" s="30"/>
      <c r="FW1086" s="30"/>
      <c r="FX1086" s="30"/>
      <c r="FY1086" s="30"/>
      <c r="FZ1086" s="30"/>
      <c r="GA1086" s="30"/>
      <c r="GB1086" s="30"/>
      <c r="GC1086" s="30"/>
      <c r="GD1086" s="30"/>
      <c r="GE1086" s="30"/>
      <c r="GF1086" s="30"/>
      <c r="GG1086" s="30"/>
      <c r="GH1086" s="30"/>
      <c r="GI1086" s="30"/>
      <c r="GJ1086" s="30"/>
      <c r="GK1086" s="30"/>
      <c r="GL1086" s="30"/>
      <c r="GM1086" s="30"/>
      <c r="GN1086" s="30"/>
      <c r="GO1086" s="30"/>
      <c r="GP1086" s="30"/>
      <c r="GQ1086" s="30"/>
      <c r="GR1086" s="30"/>
      <c r="GS1086" s="30"/>
      <c r="GT1086" s="30"/>
      <c r="GU1086" s="30"/>
      <c r="GV1086" s="30"/>
      <c r="GW1086" s="30"/>
      <c r="GX1086" s="30"/>
      <c r="GY1086" s="30"/>
      <c r="GZ1086" s="30"/>
      <c r="HA1086" s="30"/>
      <c r="HB1086" s="30"/>
      <c r="HC1086" s="30"/>
      <c r="HD1086" s="30"/>
      <c r="HE1086" s="30"/>
      <c r="HF1086" s="30"/>
      <c r="HG1086" s="30"/>
      <c r="HH1086" s="30"/>
      <c r="HI1086" s="30"/>
      <c r="HJ1086" s="30"/>
      <c r="HK1086" s="30"/>
      <c r="HL1086" s="30"/>
      <c r="HM1086" s="30"/>
      <c r="HN1086" s="30"/>
      <c r="HO1086" s="30"/>
      <c r="HP1086" s="30"/>
      <c r="HQ1086" s="30"/>
      <c r="HR1086" s="30"/>
      <c r="HS1086" s="30"/>
      <c r="HT1086" s="30"/>
      <c r="HU1086" s="30"/>
      <c r="HV1086" s="30"/>
      <c r="HW1086" s="30"/>
      <c r="HX1086" s="30"/>
      <c r="HY1086" s="30"/>
      <c r="HZ1086" s="30"/>
      <c r="IA1086" s="30"/>
      <c r="IB1086" s="30"/>
      <c r="IC1086" s="30"/>
      <c r="ID1086" s="30"/>
      <c r="IE1086" s="30"/>
      <c r="IF1086" s="30"/>
      <c r="IG1086" s="30"/>
      <c r="IH1086" s="30"/>
      <c r="II1086" s="30"/>
      <c r="IJ1086" s="30"/>
      <c r="IK1086" s="30"/>
      <c r="IL1086" s="30"/>
      <c r="IM1086" s="30"/>
      <c r="IN1086" s="30"/>
      <c r="IO1086" s="30"/>
      <c r="IP1086" s="30"/>
      <c r="IQ1086" s="30"/>
      <c r="IR1086" s="30"/>
      <c r="IS1086" s="30"/>
      <c r="IT1086" s="30"/>
      <c r="IU1086" s="30"/>
      <c r="IV1086" s="30"/>
      <c r="IW1086" s="30"/>
      <c r="IX1086" s="30"/>
    </row>
    <row r="1087" spans="1:258" ht="21.95" customHeight="1" x14ac:dyDescent="0.25">
      <c r="A1087" s="53" t="s">
        <v>1649</v>
      </c>
      <c r="B1087" s="8" t="s">
        <v>661</v>
      </c>
      <c r="C1087" s="2">
        <f t="shared" ref="C1087" si="637">D1087+L1087+N1087+P1087+R1087+S1087+T1087+U1087</f>
        <v>1474000</v>
      </c>
      <c r="D1087" s="3">
        <f t="shared" ref="D1087" si="638">SUM(E1087:J1087)</f>
        <v>0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11">
        <v>0</v>
      </c>
      <c r="L1087" s="5">
        <v>0</v>
      </c>
      <c r="M1087" s="5">
        <v>268</v>
      </c>
      <c r="N1087" s="3">
        <f t="shared" ref="N1087" si="639">M1087*5500</f>
        <v>1474000</v>
      </c>
      <c r="O1087" s="5">
        <v>0</v>
      </c>
      <c r="P1087" s="5">
        <v>0</v>
      </c>
      <c r="Q1087" s="5">
        <v>0</v>
      </c>
      <c r="R1087" s="3">
        <f t="shared" ref="R1087" si="640">Q1087*3000</f>
        <v>0</v>
      </c>
      <c r="S1087" s="5">
        <v>0</v>
      </c>
      <c r="T1087" s="5">
        <v>0</v>
      </c>
      <c r="U1087" s="5">
        <v>0</v>
      </c>
      <c r="V1087" s="6">
        <f t="shared" ref="V1087" si="641">N1087/M1087</f>
        <v>5500</v>
      </c>
    </row>
    <row r="1088" spans="1:258" ht="21.95" customHeight="1" x14ac:dyDescent="0.25">
      <c r="A1088" s="53" t="s">
        <v>1650</v>
      </c>
      <c r="B1088" s="8" t="s">
        <v>756</v>
      </c>
      <c r="C1088" s="2">
        <f t="shared" si="633"/>
        <v>1474000</v>
      </c>
      <c r="D1088" s="3">
        <f t="shared" si="631"/>
        <v>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4">
        <v>0</v>
      </c>
      <c r="L1088" s="3">
        <v>0</v>
      </c>
      <c r="M1088" s="3">
        <v>268</v>
      </c>
      <c r="N1088" s="3">
        <f t="shared" si="635"/>
        <v>1474000</v>
      </c>
      <c r="O1088" s="3">
        <v>0</v>
      </c>
      <c r="P1088" s="3">
        <v>0</v>
      </c>
      <c r="Q1088" s="3">
        <v>0</v>
      </c>
      <c r="R1088" s="3">
        <f t="shared" si="629"/>
        <v>0</v>
      </c>
      <c r="S1088" s="3">
        <v>0</v>
      </c>
      <c r="T1088" s="5">
        <v>0</v>
      </c>
      <c r="U1088" s="3">
        <v>0</v>
      </c>
      <c r="V1088" s="6">
        <f t="shared" si="630"/>
        <v>5500</v>
      </c>
      <c r="W1088" s="17"/>
      <c r="X1088" s="17"/>
      <c r="Y1088" s="17"/>
      <c r="Z1088" s="17"/>
      <c r="AA1088" s="17"/>
      <c r="AB1088" s="17"/>
      <c r="AC1088" s="17"/>
      <c r="AD1088" s="17"/>
      <c r="AE1088" s="17"/>
      <c r="AF1088" s="17"/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17"/>
      <c r="AS1088" s="17"/>
      <c r="AT1088" s="17"/>
      <c r="AU1088" s="17"/>
      <c r="AV1088" s="17"/>
      <c r="AW1088" s="17"/>
      <c r="AX1088" s="17"/>
      <c r="AY1088" s="17"/>
      <c r="AZ1088" s="17"/>
      <c r="BA1088" s="17"/>
      <c r="BB1088" s="17"/>
      <c r="BC1088" s="17"/>
      <c r="BD1088" s="17"/>
      <c r="BE1088" s="17"/>
      <c r="BF1088" s="17"/>
      <c r="BG1088" s="17"/>
      <c r="BH1088" s="17"/>
      <c r="BI1088" s="17"/>
      <c r="BJ1088" s="17"/>
      <c r="BK1088" s="17"/>
      <c r="BL1088" s="17"/>
      <c r="BM1088" s="17"/>
      <c r="BN1088" s="17"/>
      <c r="BO1088" s="17"/>
      <c r="BP1088" s="17"/>
      <c r="BQ1088" s="17"/>
      <c r="BR1088" s="17"/>
      <c r="BS1088" s="17"/>
      <c r="BT1088" s="17"/>
      <c r="BU1088" s="17"/>
      <c r="BV1088" s="17"/>
      <c r="BW1088" s="17"/>
      <c r="BX1088" s="17"/>
      <c r="BY1088" s="17"/>
      <c r="BZ1088" s="17"/>
      <c r="CA1088" s="17"/>
      <c r="CB1088" s="17"/>
      <c r="CC1088" s="17"/>
      <c r="CD1088" s="17"/>
      <c r="CE1088" s="17"/>
      <c r="CF1088" s="17"/>
      <c r="CG1088" s="17"/>
      <c r="CH1088" s="17"/>
      <c r="CI1088" s="17"/>
      <c r="CJ1088" s="17"/>
      <c r="CK1088" s="17"/>
      <c r="CL1088" s="17"/>
      <c r="CM1088" s="17"/>
      <c r="CN1088" s="17"/>
      <c r="CO1088" s="17"/>
      <c r="CP1088" s="17"/>
      <c r="CQ1088" s="17"/>
      <c r="CR1088" s="17"/>
      <c r="CS1088" s="17"/>
      <c r="CT1088" s="17"/>
      <c r="CU1088" s="17"/>
      <c r="CV1088" s="17"/>
      <c r="CW1088" s="17"/>
      <c r="CX1088" s="17"/>
      <c r="CY1088" s="17"/>
      <c r="CZ1088" s="17"/>
      <c r="DA1088" s="17"/>
      <c r="DB1088" s="17"/>
      <c r="DC1088" s="17"/>
      <c r="DD1088" s="17"/>
      <c r="DE1088" s="17"/>
      <c r="DF1088" s="17"/>
      <c r="DG1088" s="17"/>
      <c r="DH1088" s="17"/>
      <c r="DI1088" s="17"/>
      <c r="DJ1088" s="17"/>
      <c r="DK1088" s="17"/>
      <c r="DL1088" s="17"/>
      <c r="DM1088" s="17"/>
      <c r="DN1088" s="17"/>
      <c r="DO1088" s="17"/>
      <c r="DP1088" s="17"/>
      <c r="DQ1088" s="17"/>
      <c r="DR1088" s="17"/>
      <c r="DS1088" s="17"/>
      <c r="DT1088" s="17"/>
      <c r="DU1088" s="17"/>
      <c r="DV1088" s="17"/>
      <c r="DW1088" s="17"/>
      <c r="DX1088" s="17"/>
      <c r="DY1088" s="17"/>
      <c r="DZ1088" s="17"/>
      <c r="EA1088" s="17"/>
      <c r="EB1088" s="17"/>
      <c r="EC1088" s="17"/>
      <c r="ED1088" s="17"/>
      <c r="EE1088" s="17"/>
      <c r="EF1088" s="17"/>
      <c r="EG1088" s="17"/>
      <c r="EH1088" s="17"/>
      <c r="EI1088" s="17"/>
      <c r="EJ1088" s="17"/>
      <c r="EK1088" s="17"/>
      <c r="EL1088" s="17"/>
      <c r="EM1088" s="17"/>
      <c r="EN1088" s="17"/>
      <c r="EO1088" s="17"/>
      <c r="EP1088" s="17"/>
      <c r="EQ1088" s="17"/>
      <c r="ER1088" s="17"/>
      <c r="ES1088" s="17"/>
      <c r="ET1088" s="17"/>
      <c r="EU1088" s="17"/>
      <c r="EV1088" s="17"/>
      <c r="EW1088" s="17"/>
      <c r="EX1088" s="17"/>
      <c r="EY1088" s="17"/>
      <c r="EZ1088" s="17"/>
      <c r="FA1088" s="17"/>
      <c r="FB1088" s="17"/>
      <c r="FC1088" s="17"/>
      <c r="FD1088" s="17"/>
      <c r="FE1088" s="17"/>
      <c r="FF1088" s="17"/>
      <c r="FG1088" s="17"/>
      <c r="FH1088" s="17"/>
      <c r="FI1088" s="17"/>
      <c r="FJ1088" s="17"/>
      <c r="FK1088" s="17"/>
      <c r="FL1088" s="17"/>
      <c r="FM1088" s="17"/>
      <c r="FN1088" s="17"/>
      <c r="FO1088" s="17"/>
      <c r="FP1088" s="17"/>
      <c r="FQ1088" s="17"/>
      <c r="FR1088" s="17"/>
      <c r="FS1088" s="17"/>
      <c r="FT1088" s="17"/>
      <c r="FU1088" s="17"/>
      <c r="FV1088" s="17"/>
      <c r="FW1088" s="17"/>
      <c r="FX1088" s="17"/>
      <c r="FY1088" s="17"/>
      <c r="FZ1088" s="17"/>
      <c r="GA1088" s="17"/>
      <c r="GB1088" s="17"/>
      <c r="GC1088" s="17"/>
      <c r="GD1088" s="17"/>
      <c r="GE1088" s="17"/>
      <c r="GF1088" s="17"/>
      <c r="GG1088" s="17"/>
      <c r="GH1088" s="17"/>
      <c r="GI1088" s="17"/>
      <c r="GJ1088" s="17"/>
      <c r="GK1088" s="17"/>
      <c r="GL1088" s="17"/>
      <c r="GM1088" s="17"/>
      <c r="GN1088" s="17"/>
      <c r="GO1088" s="17"/>
      <c r="GP1088" s="17"/>
      <c r="GQ1088" s="17"/>
      <c r="GR1088" s="17"/>
      <c r="GS1088" s="17"/>
      <c r="GT1088" s="17"/>
      <c r="GU1088" s="17"/>
      <c r="GV1088" s="17"/>
      <c r="GW1088" s="17"/>
      <c r="GX1088" s="17"/>
      <c r="GY1088" s="17"/>
      <c r="GZ1088" s="17"/>
      <c r="HA1088" s="17"/>
      <c r="HB1088" s="17"/>
      <c r="HC1088" s="17"/>
      <c r="HD1088" s="17"/>
      <c r="HE1088" s="17"/>
      <c r="HF1088" s="17"/>
      <c r="HG1088" s="17"/>
      <c r="HH1088" s="17"/>
      <c r="HI1088" s="17"/>
      <c r="HJ1088" s="17"/>
      <c r="HK1088" s="17"/>
      <c r="HL1088" s="17"/>
      <c r="HM1088" s="17"/>
      <c r="HN1088" s="17"/>
      <c r="HO1088" s="17"/>
      <c r="HP1088" s="17"/>
      <c r="HQ1088" s="17"/>
      <c r="HR1088" s="17"/>
      <c r="HS1088" s="17"/>
      <c r="HT1088" s="17"/>
      <c r="HU1088" s="17"/>
      <c r="HV1088" s="17"/>
      <c r="HW1088" s="17"/>
      <c r="HX1088" s="17"/>
      <c r="HY1088" s="17"/>
      <c r="HZ1088" s="17"/>
      <c r="IA1088" s="17"/>
      <c r="IB1088" s="17"/>
      <c r="IC1088" s="17"/>
      <c r="ID1088" s="17"/>
      <c r="IE1088" s="17"/>
      <c r="IF1088" s="17"/>
      <c r="IG1088" s="17"/>
      <c r="IH1088" s="17"/>
      <c r="II1088" s="17"/>
      <c r="IJ1088" s="17"/>
      <c r="IK1088" s="17"/>
      <c r="IL1088" s="17"/>
      <c r="IM1088" s="17"/>
      <c r="IN1088" s="17"/>
      <c r="IO1088" s="17"/>
      <c r="IP1088" s="17"/>
      <c r="IQ1088" s="17"/>
      <c r="IR1088" s="17"/>
      <c r="IS1088" s="17"/>
      <c r="IT1088" s="17"/>
      <c r="IU1088" s="17"/>
      <c r="IV1088" s="17"/>
      <c r="IW1088" s="17"/>
      <c r="IX1088" s="17"/>
    </row>
    <row r="1089" spans="1:258" ht="21.95" customHeight="1" x14ac:dyDescent="0.25">
      <c r="A1089" s="53" t="s">
        <v>1651</v>
      </c>
      <c r="B1089" s="8" t="s">
        <v>757</v>
      </c>
      <c r="C1089" s="2">
        <f t="shared" si="633"/>
        <v>1556500</v>
      </c>
      <c r="D1089" s="3">
        <f t="shared" si="631"/>
        <v>0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4">
        <v>0</v>
      </c>
      <c r="L1089" s="3">
        <v>0</v>
      </c>
      <c r="M1089" s="5">
        <v>283</v>
      </c>
      <c r="N1089" s="3">
        <f t="shared" si="635"/>
        <v>1556500</v>
      </c>
      <c r="O1089" s="3">
        <v>0</v>
      </c>
      <c r="P1089" s="3">
        <v>0</v>
      </c>
      <c r="Q1089" s="3">
        <v>0</v>
      </c>
      <c r="R1089" s="3">
        <f t="shared" si="629"/>
        <v>0</v>
      </c>
      <c r="S1089" s="3">
        <v>0</v>
      </c>
      <c r="T1089" s="5">
        <v>0</v>
      </c>
      <c r="U1089" s="3">
        <v>0</v>
      </c>
      <c r="V1089" s="6">
        <f t="shared" si="630"/>
        <v>5500</v>
      </c>
    </row>
    <row r="1090" spans="1:258" ht="21.95" customHeight="1" x14ac:dyDescent="0.25">
      <c r="A1090" s="53" t="s">
        <v>1652</v>
      </c>
      <c r="B1090" s="8" t="s">
        <v>665</v>
      </c>
      <c r="C1090" s="2">
        <f t="shared" si="633"/>
        <v>1472350</v>
      </c>
      <c r="D1090" s="3">
        <f t="shared" ref="D1090" si="642">SUM(E1090:J1090)</f>
        <v>0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11">
        <v>0</v>
      </c>
      <c r="L1090" s="5">
        <v>0</v>
      </c>
      <c r="M1090" s="5">
        <v>267.7</v>
      </c>
      <c r="N1090" s="3">
        <f t="shared" si="635"/>
        <v>1472350</v>
      </c>
      <c r="O1090" s="5">
        <v>0</v>
      </c>
      <c r="P1090" s="5">
        <v>0</v>
      </c>
      <c r="Q1090" s="5">
        <v>0</v>
      </c>
      <c r="R1090" s="3">
        <f t="shared" si="629"/>
        <v>0</v>
      </c>
      <c r="S1090" s="5">
        <v>0</v>
      </c>
      <c r="T1090" s="5">
        <v>0</v>
      </c>
      <c r="U1090" s="5">
        <v>0</v>
      </c>
      <c r="V1090" s="6">
        <f t="shared" si="630"/>
        <v>5500</v>
      </c>
    </row>
    <row r="1091" spans="1:258" ht="21.95" customHeight="1" x14ac:dyDescent="0.25">
      <c r="A1091" s="53" t="s">
        <v>1653</v>
      </c>
      <c r="B1091" s="8" t="s">
        <v>666</v>
      </c>
      <c r="C1091" s="2">
        <f t="shared" ref="C1091:C1092" si="643">D1091+L1091+N1091+P1091+R1091+S1091+T1091+U1091</f>
        <v>1483350</v>
      </c>
      <c r="D1091" s="3">
        <f t="shared" ref="D1091" si="644">SUM(E1091:J1091)</f>
        <v>0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11">
        <v>0</v>
      </c>
      <c r="L1091" s="5">
        <v>0</v>
      </c>
      <c r="M1091" s="5">
        <v>269.7</v>
      </c>
      <c r="N1091" s="3">
        <f t="shared" ref="N1091:N1092" si="645">M1091*5500</f>
        <v>1483350</v>
      </c>
      <c r="O1091" s="5">
        <v>0</v>
      </c>
      <c r="P1091" s="5">
        <v>0</v>
      </c>
      <c r="Q1091" s="5">
        <v>0</v>
      </c>
      <c r="R1091" s="3">
        <f t="shared" ref="R1091:R1092" si="646">Q1091*3000</f>
        <v>0</v>
      </c>
      <c r="S1091" s="5">
        <v>0</v>
      </c>
      <c r="T1091" s="5">
        <v>0</v>
      </c>
      <c r="U1091" s="5">
        <v>0</v>
      </c>
      <c r="V1091" s="6">
        <f t="shared" ref="V1091:V1092" si="647">N1091/M1091</f>
        <v>5500</v>
      </c>
    </row>
    <row r="1092" spans="1:258" ht="21.95" customHeight="1" x14ac:dyDescent="0.25">
      <c r="A1092" s="53" t="s">
        <v>1654</v>
      </c>
      <c r="B1092" s="8" t="s">
        <v>667</v>
      </c>
      <c r="C1092" s="2">
        <f t="shared" si="643"/>
        <v>1488850</v>
      </c>
      <c r="D1092" s="3">
        <f t="shared" ref="D1092" si="648">SUM(E1092:J1092)</f>
        <v>0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  <c r="K1092" s="11">
        <v>0</v>
      </c>
      <c r="L1092" s="5">
        <v>0</v>
      </c>
      <c r="M1092" s="5">
        <v>270.7</v>
      </c>
      <c r="N1092" s="3">
        <f t="shared" si="645"/>
        <v>1488850</v>
      </c>
      <c r="O1092" s="5">
        <v>0</v>
      </c>
      <c r="P1092" s="5">
        <v>0</v>
      </c>
      <c r="Q1092" s="5">
        <v>0</v>
      </c>
      <c r="R1092" s="3">
        <f t="shared" si="646"/>
        <v>0</v>
      </c>
      <c r="S1092" s="5">
        <v>0</v>
      </c>
      <c r="T1092" s="5">
        <v>0</v>
      </c>
      <c r="U1092" s="5">
        <v>0</v>
      </c>
      <c r="V1092" s="6">
        <f t="shared" si="647"/>
        <v>5500</v>
      </c>
    </row>
    <row r="1093" spans="1:258" ht="21.95" customHeight="1" x14ac:dyDescent="0.25">
      <c r="A1093" s="53" t="s">
        <v>1655</v>
      </c>
      <c r="B1093" s="8" t="s">
        <v>761</v>
      </c>
      <c r="C1093" s="2">
        <f t="shared" si="633"/>
        <v>1991550.0000000002</v>
      </c>
      <c r="D1093" s="3">
        <f t="shared" si="631"/>
        <v>0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4">
        <v>0</v>
      </c>
      <c r="L1093" s="3">
        <v>0</v>
      </c>
      <c r="M1093" s="5">
        <v>362.1</v>
      </c>
      <c r="N1093" s="3">
        <f t="shared" ref="N1093:N1103" si="649">M1093*5500</f>
        <v>1991550.0000000002</v>
      </c>
      <c r="O1093" s="3">
        <v>0</v>
      </c>
      <c r="P1093" s="3">
        <v>0</v>
      </c>
      <c r="Q1093" s="3">
        <v>0</v>
      </c>
      <c r="R1093" s="3">
        <f t="shared" si="629"/>
        <v>0</v>
      </c>
      <c r="S1093" s="3">
        <v>0</v>
      </c>
      <c r="T1093" s="5">
        <v>0</v>
      </c>
      <c r="U1093" s="3">
        <v>0</v>
      </c>
      <c r="V1093" s="6">
        <f t="shared" si="630"/>
        <v>5500</v>
      </c>
      <c r="W1093" s="30"/>
      <c r="X1093" s="30"/>
      <c r="Y1093" s="30"/>
      <c r="Z1093" s="30"/>
      <c r="AA1093" s="30"/>
      <c r="AB1093" s="30"/>
      <c r="AC1093" s="30"/>
      <c r="AD1093" s="30"/>
      <c r="AE1093" s="30"/>
      <c r="AF1093" s="30"/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  <c r="AV1093" s="30"/>
      <c r="AW1093" s="30"/>
      <c r="AX1093" s="30"/>
      <c r="AY1093" s="30"/>
      <c r="AZ1093" s="30"/>
      <c r="BA1093" s="30"/>
      <c r="BB1093" s="30"/>
      <c r="BC1093" s="30"/>
      <c r="BD1093" s="30"/>
      <c r="BE1093" s="30"/>
      <c r="BF1093" s="30"/>
      <c r="BG1093" s="30"/>
      <c r="BH1093" s="30"/>
      <c r="BI1093" s="30"/>
      <c r="BJ1093" s="30"/>
      <c r="BK1093" s="30"/>
      <c r="BL1093" s="30"/>
      <c r="BM1093" s="30"/>
      <c r="BN1093" s="30"/>
      <c r="BO1093" s="30"/>
      <c r="BP1093" s="30"/>
      <c r="BQ1093" s="30"/>
      <c r="BR1093" s="30"/>
      <c r="BS1093" s="30"/>
      <c r="BT1093" s="30"/>
      <c r="BU1093" s="30"/>
      <c r="BV1093" s="30"/>
      <c r="BW1093" s="30"/>
      <c r="BX1093" s="30"/>
      <c r="BY1093" s="30"/>
      <c r="BZ1093" s="30"/>
      <c r="CA1093" s="30"/>
      <c r="CB1093" s="30"/>
      <c r="CC1093" s="30"/>
      <c r="CD1093" s="30"/>
      <c r="CE1093" s="30"/>
      <c r="CF1093" s="30"/>
      <c r="CG1093" s="30"/>
      <c r="CH1093" s="30"/>
      <c r="CI1093" s="30"/>
      <c r="CJ1093" s="30"/>
      <c r="CK1093" s="30"/>
      <c r="CL1093" s="30"/>
      <c r="CM1093" s="30"/>
      <c r="CN1093" s="30"/>
      <c r="CO1093" s="30"/>
      <c r="CP1093" s="30"/>
      <c r="CQ1093" s="30"/>
      <c r="CR1093" s="30"/>
      <c r="CS1093" s="30"/>
      <c r="CT1093" s="30"/>
      <c r="CU1093" s="30"/>
      <c r="CV1093" s="30"/>
      <c r="CW1093" s="30"/>
      <c r="CX1093" s="30"/>
      <c r="CY1093" s="30"/>
      <c r="CZ1093" s="30"/>
      <c r="DA1093" s="30"/>
      <c r="DB1093" s="30"/>
      <c r="DC1093" s="30"/>
      <c r="DD1093" s="30"/>
      <c r="DE1093" s="30"/>
      <c r="DF1093" s="30"/>
      <c r="DG1093" s="30"/>
      <c r="DH1093" s="30"/>
      <c r="DI1093" s="30"/>
      <c r="DJ1093" s="30"/>
      <c r="DK1093" s="30"/>
      <c r="DL1093" s="30"/>
      <c r="DM1093" s="30"/>
      <c r="DN1093" s="30"/>
      <c r="DO1093" s="30"/>
      <c r="DP1093" s="30"/>
      <c r="DQ1093" s="30"/>
      <c r="DR1093" s="30"/>
      <c r="DS1093" s="30"/>
      <c r="DT1093" s="30"/>
      <c r="DU1093" s="30"/>
      <c r="DV1093" s="30"/>
      <c r="DW1093" s="30"/>
      <c r="DX1093" s="30"/>
      <c r="DY1093" s="30"/>
      <c r="DZ1093" s="30"/>
      <c r="EA1093" s="30"/>
      <c r="EB1093" s="30"/>
      <c r="EC1093" s="30"/>
      <c r="ED1093" s="30"/>
      <c r="EE1093" s="30"/>
      <c r="EF1093" s="30"/>
      <c r="EG1093" s="30"/>
      <c r="EH1093" s="30"/>
      <c r="EI1093" s="30"/>
      <c r="EJ1093" s="30"/>
      <c r="EK1093" s="30"/>
      <c r="EL1093" s="30"/>
      <c r="EM1093" s="30"/>
      <c r="EN1093" s="30"/>
      <c r="EO1093" s="30"/>
      <c r="EP1093" s="30"/>
      <c r="EQ1093" s="30"/>
      <c r="ER1093" s="30"/>
      <c r="ES1093" s="30"/>
      <c r="ET1093" s="30"/>
      <c r="EU1093" s="30"/>
      <c r="EV1093" s="30"/>
      <c r="EW1093" s="30"/>
      <c r="EX1093" s="30"/>
      <c r="EY1093" s="30"/>
      <c r="EZ1093" s="30"/>
      <c r="FA1093" s="30"/>
      <c r="FB1093" s="30"/>
      <c r="FC1093" s="30"/>
      <c r="FD1093" s="30"/>
      <c r="FE1093" s="30"/>
      <c r="FF1093" s="30"/>
      <c r="FG1093" s="30"/>
      <c r="FH1093" s="30"/>
      <c r="FI1093" s="30"/>
      <c r="FJ1093" s="30"/>
      <c r="FK1093" s="30"/>
      <c r="FL1093" s="30"/>
      <c r="FM1093" s="30"/>
      <c r="FN1093" s="30"/>
      <c r="FO1093" s="30"/>
      <c r="FP1093" s="30"/>
      <c r="FQ1093" s="30"/>
      <c r="FR1093" s="30"/>
      <c r="FS1093" s="30"/>
      <c r="FT1093" s="30"/>
      <c r="FU1093" s="30"/>
      <c r="FV1093" s="30"/>
      <c r="FW1093" s="30"/>
      <c r="FX1093" s="30"/>
      <c r="FY1093" s="30"/>
      <c r="FZ1093" s="30"/>
      <c r="GA1093" s="30"/>
      <c r="GB1093" s="30"/>
      <c r="GC1093" s="30"/>
      <c r="GD1093" s="30"/>
      <c r="GE1093" s="30"/>
      <c r="GF1093" s="30"/>
      <c r="GG1093" s="30"/>
      <c r="GH1093" s="30"/>
      <c r="GI1093" s="30"/>
      <c r="GJ1093" s="30"/>
      <c r="GK1093" s="30"/>
      <c r="GL1093" s="30"/>
      <c r="GM1093" s="30"/>
      <c r="GN1093" s="30"/>
      <c r="GO1093" s="30"/>
      <c r="GP1093" s="30"/>
      <c r="GQ1093" s="30"/>
      <c r="GR1093" s="30"/>
      <c r="GS1093" s="30"/>
      <c r="GT1093" s="30"/>
      <c r="GU1093" s="30"/>
      <c r="GV1093" s="30"/>
      <c r="GW1093" s="30"/>
      <c r="GX1093" s="30"/>
      <c r="GY1093" s="30"/>
      <c r="GZ1093" s="30"/>
      <c r="HA1093" s="30"/>
      <c r="HB1093" s="30"/>
      <c r="HC1093" s="30"/>
      <c r="HD1093" s="30"/>
      <c r="HE1093" s="30"/>
      <c r="HF1093" s="30"/>
      <c r="HG1093" s="30"/>
      <c r="HH1093" s="30"/>
      <c r="HI1093" s="30"/>
      <c r="HJ1093" s="30"/>
      <c r="HK1093" s="30"/>
      <c r="HL1093" s="30"/>
      <c r="HM1093" s="30"/>
      <c r="HN1093" s="30"/>
      <c r="HO1093" s="30"/>
      <c r="HP1093" s="30"/>
      <c r="HQ1093" s="30"/>
      <c r="HR1093" s="30"/>
      <c r="HS1093" s="30"/>
      <c r="HT1093" s="30"/>
      <c r="HU1093" s="30"/>
      <c r="HV1093" s="30"/>
      <c r="HW1093" s="30"/>
      <c r="HX1093" s="30"/>
      <c r="HY1093" s="30"/>
      <c r="HZ1093" s="30"/>
      <c r="IA1093" s="30"/>
      <c r="IB1093" s="30"/>
      <c r="IC1093" s="30"/>
      <c r="ID1093" s="30"/>
      <c r="IE1093" s="30"/>
      <c r="IF1093" s="30"/>
      <c r="IG1093" s="30"/>
      <c r="IH1093" s="30"/>
      <c r="II1093" s="30"/>
      <c r="IJ1093" s="30"/>
      <c r="IK1093" s="30"/>
      <c r="IL1093" s="30"/>
      <c r="IM1093" s="30"/>
      <c r="IN1093" s="30"/>
      <c r="IO1093" s="30"/>
      <c r="IP1093" s="30"/>
      <c r="IQ1093" s="30"/>
      <c r="IR1093" s="30"/>
      <c r="IS1093" s="30"/>
      <c r="IT1093" s="30"/>
      <c r="IU1093" s="30"/>
      <c r="IV1093" s="30"/>
      <c r="IW1093" s="30"/>
      <c r="IX1093" s="30"/>
    </row>
    <row r="1094" spans="1:258" ht="21.95" customHeight="1" x14ac:dyDescent="0.25">
      <c r="A1094" s="53" t="s">
        <v>1656</v>
      </c>
      <c r="B1094" s="8" t="s">
        <v>762</v>
      </c>
      <c r="C1094" s="2">
        <f t="shared" si="633"/>
        <v>1355750</v>
      </c>
      <c r="D1094" s="3">
        <f t="shared" si="631"/>
        <v>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4">
        <v>0</v>
      </c>
      <c r="L1094" s="3">
        <v>0</v>
      </c>
      <c r="M1094" s="5">
        <v>246.5</v>
      </c>
      <c r="N1094" s="3">
        <f t="shared" si="649"/>
        <v>1355750</v>
      </c>
      <c r="O1094" s="3">
        <v>0</v>
      </c>
      <c r="P1094" s="3">
        <v>0</v>
      </c>
      <c r="Q1094" s="3">
        <v>0</v>
      </c>
      <c r="R1094" s="3">
        <f t="shared" si="629"/>
        <v>0</v>
      </c>
      <c r="S1094" s="3">
        <v>0</v>
      </c>
      <c r="T1094" s="5">
        <v>0</v>
      </c>
      <c r="U1094" s="3">
        <v>0</v>
      </c>
      <c r="V1094" s="6">
        <f t="shared" si="630"/>
        <v>5500</v>
      </c>
      <c r="W1094" s="30"/>
      <c r="X1094" s="30"/>
      <c r="Y1094" s="30"/>
      <c r="Z1094" s="30"/>
      <c r="AA1094" s="30"/>
      <c r="AB1094" s="30"/>
      <c r="AC1094" s="30"/>
      <c r="AD1094" s="30"/>
      <c r="AE1094" s="30"/>
      <c r="AF1094" s="30"/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  <c r="AS1094" s="30"/>
      <c r="AT1094" s="30"/>
      <c r="AU1094" s="30"/>
      <c r="AV1094" s="30"/>
      <c r="AW1094" s="30"/>
      <c r="AX1094" s="30"/>
      <c r="AY1094" s="30"/>
      <c r="AZ1094" s="30"/>
      <c r="BA1094" s="30"/>
      <c r="BB1094" s="30"/>
      <c r="BC1094" s="30"/>
      <c r="BD1094" s="30"/>
      <c r="BE1094" s="30"/>
      <c r="BF1094" s="30"/>
      <c r="BG1094" s="30"/>
      <c r="BH1094" s="30"/>
      <c r="BI1094" s="30"/>
      <c r="BJ1094" s="30"/>
      <c r="BK1094" s="30"/>
      <c r="BL1094" s="30"/>
      <c r="BM1094" s="30"/>
      <c r="BN1094" s="30"/>
      <c r="BO1094" s="30"/>
      <c r="BP1094" s="30"/>
      <c r="BQ1094" s="30"/>
      <c r="BR1094" s="30"/>
      <c r="BS1094" s="30"/>
      <c r="BT1094" s="30"/>
      <c r="BU1094" s="30"/>
      <c r="BV1094" s="30"/>
      <c r="BW1094" s="30"/>
      <c r="BX1094" s="30"/>
      <c r="BY1094" s="30"/>
      <c r="BZ1094" s="30"/>
      <c r="CA1094" s="30"/>
      <c r="CB1094" s="30"/>
      <c r="CC1094" s="30"/>
      <c r="CD1094" s="30"/>
      <c r="CE1094" s="30"/>
      <c r="CF1094" s="30"/>
      <c r="CG1094" s="30"/>
      <c r="CH1094" s="30"/>
      <c r="CI1094" s="30"/>
      <c r="CJ1094" s="30"/>
      <c r="CK1094" s="30"/>
      <c r="CL1094" s="30"/>
      <c r="CM1094" s="30"/>
      <c r="CN1094" s="30"/>
      <c r="CO1094" s="30"/>
      <c r="CP1094" s="30"/>
      <c r="CQ1094" s="30"/>
      <c r="CR1094" s="30"/>
      <c r="CS1094" s="30"/>
      <c r="CT1094" s="30"/>
      <c r="CU1094" s="30"/>
      <c r="CV1094" s="30"/>
      <c r="CW1094" s="30"/>
      <c r="CX1094" s="30"/>
      <c r="CY1094" s="30"/>
      <c r="CZ1094" s="30"/>
      <c r="DA1094" s="30"/>
      <c r="DB1094" s="30"/>
      <c r="DC1094" s="30"/>
      <c r="DD1094" s="30"/>
      <c r="DE1094" s="30"/>
      <c r="DF1094" s="30"/>
      <c r="DG1094" s="30"/>
      <c r="DH1094" s="30"/>
      <c r="DI1094" s="30"/>
      <c r="DJ1094" s="30"/>
      <c r="DK1094" s="30"/>
      <c r="DL1094" s="30"/>
      <c r="DM1094" s="30"/>
      <c r="DN1094" s="30"/>
      <c r="DO1094" s="30"/>
      <c r="DP1094" s="30"/>
      <c r="DQ1094" s="30"/>
      <c r="DR1094" s="30"/>
      <c r="DS1094" s="30"/>
      <c r="DT1094" s="30"/>
      <c r="DU1094" s="30"/>
      <c r="DV1094" s="30"/>
      <c r="DW1094" s="30"/>
      <c r="DX1094" s="30"/>
      <c r="DY1094" s="30"/>
      <c r="DZ1094" s="30"/>
      <c r="EA1094" s="30"/>
      <c r="EB1094" s="30"/>
      <c r="EC1094" s="30"/>
      <c r="ED1094" s="30"/>
      <c r="EE1094" s="30"/>
      <c r="EF1094" s="30"/>
      <c r="EG1094" s="30"/>
      <c r="EH1094" s="30"/>
      <c r="EI1094" s="30"/>
      <c r="EJ1094" s="30"/>
      <c r="EK1094" s="30"/>
      <c r="EL1094" s="30"/>
      <c r="EM1094" s="30"/>
      <c r="EN1094" s="30"/>
      <c r="EO1094" s="30"/>
      <c r="EP1094" s="30"/>
      <c r="EQ1094" s="30"/>
      <c r="ER1094" s="30"/>
      <c r="ES1094" s="30"/>
      <c r="ET1094" s="30"/>
      <c r="EU1094" s="30"/>
      <c r="EV1094" s="30"/>
      <c r="EW1094" s="30"/>
      <c r="EX1094" s="30"/>
      <c r="EY1094" s="30"/>
      <c r="EZ1094" s="30"/>
      <c r="FA1094" s="30"/>
      <c r="FB1094" s="30"/>
      <c r="FC1094" s="30"/>
      <c r="FD1094" s="30"/>
      <c r="FE1094" s="30"/>
      <c r="FF1094" s="30"/>
      <c r="FG1094" s="30"/>
      <c r="FH1094" s="30"/>
      <c r="FI1094" s="30"/>
      <c r="FJ1094" s="30"/>
      <c r="FK1094" s="30"/>
      <c r="FL1094" s="30"/>
      <c r="FM1094" s="30"/>
      <c r="FN1094" s="30"/>
      <c r="FO1094" s="30"/>
      <c r="FP1094" s="30"/>
      <c r="FQ1094" s="30"/>
      <c r="FR1094" s="30"/>
      <c r="FS1094" s="30"/>
      <c r="FT1094" s="30"/>
      <c r="FU1094" s="30"/>
      <c r="FV1094" s="30"/>
      <c r="FW1094" s="30"/>
      <c r="FX1094" s="30"/>
      <c r="FY1094" s="30"/>
      <c r="FZ1094" s="30"/>
      <c r="GA1094" s="30"/>
      <c r="GB1094" s="30"/>
      <c r="GC1094" s="30"/>
      <c r="GD1094" s="30"/>
      <c r="GE1094" s="30"/>
      <c r="GF1094" s="30"/>
      <c r="GG1094" s="30"/>
      <c r="GH1094" s="30"/>
      <c r="GI1094" s="30"/>
      <c r="GJ1094" s="30"/>
      <c r="GK1094" s="30"/>
      <c r="GL1094" s="30"/>
      <c r="GM1094" s="30"/>
      <c r="GN1094" s="30"/>
      <c r="GO1094" s="30"/>
      <c r="GP1094" s="30"/>
      <c r="GQ1094" s="30"/>
      <c r="GR1094" s="30"/>
      <c r="GS1094" s="30"/>
      <c r="GT1094" s="30"/>
      <c r="GU1094" s="30"/>
      <c r="GV1094" s="30"/>
      <c r="GW1094" s="30"/>
      <c r="GX1094" s="30"/>
      <c r="GY1094" s="30"/>
      <c r="GZ1094" s="30"/>
      <c r="HA1094" s="30"/>
      <c r="HB1094" s="30"/>
      <c r="HC1094" s="30"/>
      <c r="HD1094" s="30"/>
      <c r="HE1094" s="30"/>
      <c r="HF1094" s="30"/>
      <c r="HG1094" s="30"/>
      <c r="HH1094" s="30"/>
      <c r="HI1094" s="30"/>
      <c r="HJ1094" s="30"/>
      <c r="HK1094" s="30"/>
      <c r="HL1094" s="30"/>
      <c r="HM1094" s="30"/>
      <c r="HN1094" s="30"/>
      <c r="HO1094" s="30"/>
      <c r="HP1094" s="30"/>
      <c r="HQ1094" s="30"/>
      <c r="HR1094" s="30"/>
      <c r="HS1094" s="30"/>
      <c r="HT1094" s="30"/>
      <c r="HU1094" s="30"/>
      <c r="HV1094" s="30"/>
      <c r="HW1094" s="30"/>
      <c r="HX1094" s="30"/>
      <c r="HY1094" s="30"/>
      <c r="HZ1094" s="30"/>
      <c r="IA1094" s="30"/>
      <c r="IB1094" s="30"/>
      <c r="IC1094" s="30"/>
      <c r="ID1094" s="30"/>
      <c r="IE1094" s="30"/>
      <c r="IF1094" s="30"/>
      <c r="IG1094" s="30"/>
      <c r="IH1094" s="30"/>
      <c r="II1094" s="30"/>
      <c r="IJ1094" s="30"/>
      <c r="IK1094" s="30"/>
      <c r="IL1094" s="30"/>
      <c r="IM1094" s="30"/>
      <c r="IN1094" s="30"/>
      <c r="IO1094" s="30"/>
      <c r="IP1094" s="30"/>
      <c r="IQ1094" s="30"/>
      <c r="IR1094" s="30"/>
      <c r="IS1094" s="30"/>
      <c r="IT1094" s="30"/>
      <c r="IU1094" s="30"/>
      <c r="IV1094" s="30"/>
      <c r="IW1094" s="30"/>
      <c r="IX1094" s="30"/>
    </row>
    <row r="1095" spans="1:258" ht="21.95" customHeight="1" x14ac:dyDescent="0.25">
      <c r="A1095" s="53" t="s">
        <v>1657</v>
      </c>
      <c r="B1095" s="8" t="s">
        <v>669</v>
      </c>
      <c r="C1095" s="2">
        <f t="shared" si="633"/>
        <v>1340900</v>
      </c>
      <c r="D1095" s="3">
        <f t="shared" si="631"/>
        <v>0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4">
        <v>0</v>
      </c>
      <c r="L1095" s="3">
        <v>0</v>
      </c>
      <c r="M1095" s="5">
        <v>243.8</v>
      </c>
      <c r="N1095" s="3">
        <f t="shared" si="649"/>
        <v>1340900</v>
      </c>
      <c r="O1095" s="3">
        <v>0</v>
      </c>
      <c r="P1095" s="3">
        <v>0</v>
      </c>
      <c r="Q1095" s="3">
        <v>0</v>
      </c>
      <c r="R1095" s="3">
        <f t="shared" si="629"/>
        <v>0</v>
      </c>
      <c r="S1095" s="3">
        <v>0</v>
      </c>
      <c r="T1095" s="5">
        <v>0</v>
      </c>
      <c r="U1095" s="3">
        <v>0</v>
      </c>
      <c r="V1095" s="6">
        <f t="shared" si="630"/>
        <v>5500</v>
      </c>
    </row>
    <row r="1096" spans="1:258" ht="21.95" customHeight="1" x14ac:dyDescent="0.25">
      <c r="A1096" s="53" t="s">
        <v>1681</v>
      </c>
      <c r="B1096" s="8" t="s">
        <v>670</v>
      </c>
      <c r="C1096" s="2">
        <f t="shared" si="633"/>
        <v>1352450</v>
      </c>
      <c r="D1096" s="3">
        <f t="shared" si="631"/>
        <v>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4">
        <v>0</v>
      </c>
      <c r="L1096" s="3">
        <v>0</v>
      </c>
      <c r="M1096" s="3">
        <v>245.9</v>
      </c>
      <c r="N1096" s="3">
        <f t="shared" si="649"/>
        <v>1352450</v>
      </c>
      <c r="O1096" s="3">
        <v>0</v>
      </c>
      <c r="P1096" s="3">
        <v>0</v>
      </c>
      <c r="Q1096" s="3">
        <v>0</v>
      </c>
      <c r="R1096" s="3">
        <f t="shared" si="629"/>
        <v>0</v>
      </c>
      <c r="S1096" s="3">
        <v>0</v>
      </c>
      <c r="T1096" s="5">
        <v>0</v>
      </c>
      <c r="U1096" s="3">
        <v>0</v>
      </c>
      <c r="V1096" s="6">
        <f t="shared" si="630"/>
        <v>5500</v>
      </c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27"/>
      <c r="AJ1096" s="27"/>
      <c r="AK1096" s="27"/>
      <c r="AL1096" s="27"/>
      <c r="AM1096" s="27"/>
      <c r="AN1096" s="27"/>
      <c r="AO1096" s="27"/>
      <c r="AP1096" s="27"/>
      <c r="AQ1096" s="27"/>
      <c r="AR1096" s="27"/>
      <c r="AS1096" s="27"/>
      <c r="AT1096" s="27"/>
      <c r="AU1096" s="27"/>
      <c r="AV1096" s="27"/>
      <c r="AW1096" s="27"/>
      <c r="AX1096" s="27"/>
      <c r="AY1096" s="27"/>
      <c r="AZ1096" s="27"/>
      <c r="BA1096" s="27"/>
      <c r="BB1096" s="27"/>
      <c r="BC1096" s="27"/>
      <c r="BD1096" s="27"/>
      <c r="BE1096" s="27"/>
      <c r="BF1096" s="27"/>
      <c r="BG1096" s="27"/>
      <c r="BH1096" s="27"/>
      <c r="BI1096" s="27"/>
      <c r="BJ1096" s="27"/>
      <c r="BK1096" s="27"/>
      <c r="BL1096" s="27"/>
      <c r="BM1096" s="27"/>
      <c r="BN1096" s="27"/>
      <c r="BO1096" s="27"/>
      <c r="BP1096" s="27"/>
      <c r="BQ1096" s="27"/>
      <c r="BR1096" s="27"/>
      <c r="BS1096" s="27"/>
      <c r="BT1096" s="27"/>
      <c r="BU1096" s="27"/>
      <c r="BV1096" s="27"/>
      <c r="BW1096" s="27"/>
      <c r="BX1096" s="27"/>
      <c r="BY1096" s="27"/>
      <c r="BZ1096" s="27"/>
      <c r="CA1096" s="27"/>
      <c r="CB1096" s="27"/>
      <c r="CC1096" s="27"/>
      <c r="CD1096" s="27"/>
      <c r="CE1096" s="27"/>
      <c r="CF1096" s="27"/>
      <c r="CG1096" s="27"/>
      <c r="CH1096" s="27"/>
      <c r="CI1096" s="27"/>
      <c r="CJ1096" s="27"/>
      <c r="CK1096" s="27"/>
      <c r="CL1096" s="27"/>
      <c r="CM1096" s="27"/>
      <c r="CN1096" s="27"/>
      <c r="CO1096" s="27"/>
      <c r="CP1096" s="27"/>
      <c r="CQ1096" s="27"/>
      <c r="CR1096" s="27"/>
      <c r="CS1096" s="27"/>
      <c r="CT1096" s="27"/>
      <c r="CU1096" s="27"/>
      <c r="CV1096" s="27"/>
      <c r="CW1096" s="27"/>
      <c r="CX1096" s="27"/>
      <c r="CY1096" s="27"/>
      <c r="CZ1096" s="27"/>
      <c r="DA1096" s="27"/>
      <c r="DB1096" s="27"/>
      <c r="DC1096" s="27"/>
      <c r="DD1096" s="27"/>
      <c r="DE1096" s="27"/>
      <c r="DF1096" s="27"/>
      <c r="DG1096" s="27"/>
      <c r="DH1096" s="27"/>
      <c r="DI1096" s="27"/>
      <c r="DJ1096" s="27"/>
      <c r="DK1096" s="27"/>
      <c r="DL1096" s="27"/>
      <c r="DM1096" s="27"/>
      <c r="DN1096" s="27"/>
      <c r="DO1096" s="27"/>
      <c r="DP1096" s="27"/>
      <c r="DQ1096" s="27"/>
      <c r="DR1096" s="27"/>
      <c r="DS1096" s="27"/>
      <c r="DT1096" s="27"/>
      <c r="DU1096" s="27"/>
      <c r="DV1096" s="27"/>
      <c r="DW1096" s="27"/>
      <c r="DX1096" s="27"/>
      <c r="DY1096" s="27"/>
      <c r="DZ1096" s="27"/>
      <c r="EA1096" s="27"/>
      <c r="EB1096" s="27"/>
      <c r="EC1096" s="27"/>
      <c r="ED1096" s="27"/>
      <c r="EE1096" s="27"/>
      <c r="EF1096" s="27"/>
      <c r="EG1096" s="27"/>
      <c r="EH1096" s="27"/>
      <c r="EI1096" s="27"/>
      <c r="EJ1096" s="27"/>
      <c r="EK1096" s="27"/>
      <c r="EL1096" s="27"/>
      <c r="EM1096" s="27"/>
      <c r="EN1096" s="27"/>
      <c r="EO1096" s="27"/>
      <c r="EP1096" s="27"/>
      <c r="EQ1096" s="27"/>
      <c r="ER1096" s="27"/>
      <c r="ES1096" s="27"/>
      <c r="ET1096" s="27"/>
      <c r="EU1096" s="27"/>
      <c r="EV1096" s="27"/>
      <c r="EW1096" s="27"/>
      <c r="EX1096" s="27"/>
      <c r="EY1096" s="27"/>
      <c r="EZ1096" s="27"/>
      <c r="FA1096" s="27"/>
      <c r="FB1096" s="27"/>
      <c r="FC1096" s="27"/>
      <c r="FD1096" s="27"/>
      <c r="FE1096" s="27"/>
      <c r="FF1096" s="27"/>
      <c r="FG1096" s="27"/>
      <c r="FH1096" s="27"/>
      <c r="FI1096" s="27"/>
      <c r="FJ1096" s="27"/>
      <c r="FK1096" s="27"/>
      <c r="FL1096" s="27"/>
      <c r="FM1096" s="27"/>
      <c r="FN1096" s="27"/>
      <c r="FO1096" s="27"/>
      <c r="FP1096" s="27"/>
      <c r="FQ1096" s="27"/>
      <c r="FR1096" s="27"/>
      <c r="FS1096" s="27"/>
      <c r="FT1096" s="27"/>
      <c r="FU1096" s="27"/>
      <c r="FV1096" s="27"/>
      <c r="FW1096" s="27"/>
      <c r="FX1096" s="27"/>
      <c r="FY1096" s="27"/>
      <c r="FZ1096" s="27"/>
      <c r="GA1096" s="27"/>
      <c r="GB1096" s="27"/>
      <c r="GC1096" s="27"/>
      <c r="GD1096" s="27"/>
      <c r="GE1096" s="27"/>
      <c r="GF1096" s="27"/>
      <c r="GG1096" s="27"/>
      <c r="GH1096" s="27"/>
      <c r="GI1096" s="27"/>
      <c r="GJ1096" s="27"/>
      <c r="GK1096" s="27"/>
      <c r="GL1096" s="27"/>
      <c r="GM1096" s="27"/>
      <c r="GN1096" s="27"/>
      <c r="GO1096" s="27"/>
      <c r="GP1096" s="27"/>
      <c r="GQ1096" s="27"/>
      <c r="GR1096" s="27"/>
      <c r="GS1096" s="27"/>
      <c r="GT1096" s="27"/>
      <c r="GU1096" s="27"/>
      <c r="GV1096" s="27"/>
      <c r="GW1096" s="27"/>
      <c r="GX1096" s="27"/>
      <c r="GY1096" s="27"/>
      <c r="GZ1096" s="27"/>
      <c r="HA1096" s="27"/>
      <c r="HB1096" s="27"/>
      <c r="HC1096" s="27"/>
      <c r="HD1096" s="27"/>
      <c r="HE1096" s="27"/>
      <c r="HF1096" s="27"/>
      <c r="HG1096" s="27"/>
      <c r="HH1096" s="27"/>
      <c r="HI1096" s="27"/>
      <c r="HJ1096" s="27"/>
      <c r="HK1096" s="27"/>
      <c r="HL1096" s="27"/>
      <c r="HM1096" s="27"/>
      <c r="HN1096" s="27"/>
      <c r="HO1096" s="27"/>
      <c r="HP1096" s="27"/>
      <c r="HQ1096" s="27"/>
      <c r="HR1096" s="27"/>
      <c r="HS1096" s="27"/>
      <c r="HT1096" s="27"/>
      <c r="HU1096" s="27"/>
      <c r="HV1096" s="27"/>
      <c r="HW1096" s="27"/>
      <c r="HX1096" s="27"/>
      <c r="HY1096" s="27"/>
      <c r="HZ1096" s="27"/>
      <c r="IA1096" s="27"/>
      <c r="IB1096" s="27"/>
      <c r="IC1096" s="27"/>
      <c r="ID1096" s="27"/>
      <c r="IE1096" s="27"/>
      <c r="IF1096" s="27"/>
      <c r="IG1096" s="27"/>
      <c r="IH1096" s="27"/>
      <c r="II1096" s="27"/>
      <c r="IJ1096" s="27"/>
      <c r="IK1096" s="27"/>
      <c r="IL1096" s="27"/>
      <c r="IM1096" s="27"/>
      <c r="IN1096" s="27"/>
      <c r="IO1096" s="27"/>
      <c r="IP1096" s="27"/>
      <c r="IQ1096" s="27"/>
      <c r="IR1096" s="27"/>
      <c r="IS1096" s="27"/>
      <c r="IT1096" s="27"/>
      <c r="IU1096" s="27"/>
      <c r="IV1096" s="27"/>
      <c r="IW1096" s="27"/>
      <c r="IX1096" s="27"/>
    </row>
    <row r="1097" spans="1:258" ht="21.95" customHeight="1" x14ac:dyDescent="0.25">
      <c r="A1097" s="53" t="s">
        <v>1680</v>
      </c>
      <c r="B1097" s="8" t="s">
        <v>671</v>
      </c>
      <c r="C1097" s="2">
        <f t="shared" si="633"/>
        <v>1342550</v>
      </c>
      <c r="D1097" s="3">
        <f t="shared" si="631"/>
        <v>0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4">
        <v>0</v>
      </c>
      <c r="L1097" s="3">
        <v>0</v>
      </c>
      <c r="M1097" s="3">
        <v>244.1</v>
      </c>
      <c r="N1097" s="3">
        <f t="shared" si="649"/>
        <v>1342550</v>
      </c>
      <c r="O1097" s="3">
        <v>0</v>
      </c>
      <c r="P1097" s="3">
        <v>0</v>
      </c>
      <c r="Q1097" s="3">
        <v>0</v>
      </c>
      <c r="R1097" s="3">
        <f t="shared" si="629"/>
        <v>0</v>
      </c>
      <c r="S1097" s="3">
        <v>0</v>
      </c>
      <c r="T1097" s="5">
        <v>0</v>
      </c>
      <c r="U1097" s="3">
        <v>0</v>
      </c>
      <c r="V1097" s="6">
        <f t="shared" si="630"/>
        <v>5500</v>
      </c>
      <c r="W1097" s="17"/>
      <c r="X1097" s="17"/>
      <c r="Y1097" s="17"/>
      <c r="Z1097" s="17"/>
      <c r="AA1097" s="17"/>
      <c r="AB1097" s="17"/>
      <c r="AC1097" s="17"/>
      <c r="AD1097" s="17"/>
      <c r="AE1097" s="17"/>
      <c r="AF1097" s="17"/>
      <c r="AG1097" s="17"/>
      <c r="AH1097" s="17"/>
      <c r="AI1097" s="17"/>
      <c r="AJ1097" s="17"/>
      <c r="AK1097" s="17"/>
      <c r="AL1097" s="17"/>
      <c r="AM1097" s="17"/>
      <c r="AN1097" s="17"/>
      <c r="AO1097" s="17"/>
      <c r="AP1097" s="17"/>
      <c r="AQ1097" s="17"/>
      <c r="AR1097" s="17"/>
      <c r="AS1097" s="17"/>
      <c r="AT1097" s="17"/>
      <c r="AU1097" s="17"/>
      <c r="AV1097" s="17"/>
      <c r="AW1097" s="17"/>
      <c r="AX1097" s="17"/>
      <c r="AY1097" s="17"/>
      <c r="AZ1097" s="17"/>
      <c r="BA1097" s="17"/>
      <c r="BB1097" s="17"/>
      <c r="BC1097" s="17"/>
      <c r="BD1097" s="17"/>
      <c r="BE1097" s="17"/>
      <c r="BF1097" s="17"/>
      <c r="BG1097" s="17"/>
      <c r="BH1097" s="17"/>
      <c r="BI1097" s="17"/>
      <c r="BJ1097" s="17"/>
      <c r="BK1097" s="17"/>
      <c r="BL1097" s="17"/>
      <c r="BM1097" s="17"/>
      <c r="BN1097" s="17"/>
      <c r="BO1097" s="17"/>
      <c r="BP1097" s="17"/>
      <c r="BQ1097" s="17"/>
      <c r="BR1097" s="17"/>
      <c r="BS1097" s="17"/>
      <c r="BT1097" s="17"/>
      <c r="BU1097" s="17"/>
      <c r="BV1097" s="17"/>
      <c r="BW1097" s="17"/>
      <c r="BX1097" s="17"/>
      <c r="BY1097" s="17"/>
      <c r="BZ1097" s="17"/>
      <c r="CA1097" s="17"/>
      <c r="CB1097" s="17"/>
      <c r="CC1097" s="17"/>
      <c r="CD1097" s="17"/>
      <c r="CE1097" s="17"/>
      <c r="CF1097" s="17"/>
      <c r="CG1097" s="17"/>
      <c r="CH1097" s="17"/>
      <c r="CI1097" s="17"/>
      <c r="CJ1097" s="17"/>
      <c r="CK1097" s="17"/>
      <c r="CL1097" s="17"/>
      <c r="CM1097" s="17"/>
      <c r="CN1097" s="17"/>
      <c r="CO1097" s="17"/>
      <c r="CP1097" s="17"/>
      <c r="CQ1097" s="17"/>
      <c r="CR1097" s="17"/>
      <c r="CS1097" s="17"/>
      <c r="CT1097" s="17"/>
      <c r="CU1097" s="17"/>
      <c r="CV1097" s="17"/>
      <c r="CW1097" s="17"/>
      <c r="CX1097" s="17"/>
      <c r="CY1097" s="17"/>
      <c r="CZ1097" s="17"/>
      <c r="DA1097" s="17"/>
      <c r="DB1097" s="17"/>
      <c r="DC1097" s="17"/>
      <c r="DD1097" s="17"/>
      <c r="DE1097" s="17"/>
      <c r="DF1097" s="17"/>
      <c r="DG1097" s="17"/>
      <c r="DH1097" s="17"/>
      <c r="DI1097" s="17"/>
      <c r="DJ1097" s="17"/>
      <c r="DK1097" s="17"/>
      <c r="DL1097" s="17"/>
      <c r="DM1097" s="17"/>
      <c r="DN1097" s="17"/>
      <c r="DO1097" s="17"/>
      <c r="DP1097" s="17"/>
      <c r="DQ1097" s="17"/>
      <c r="DR1097" s="17"/>
      <c r="DS1097" s="17"/>
      <c r="DT1097" s="17"/>
      <c r="DU1097" s="17"/>
      <c r="DV1097" s="17"/>
      <c r="DW1097" s="17"/>
      <c r="DX1097" s="17"/>
      <c r="DY1097" s="17"/>
      <c r="DZ1097" s="17"/>
      <c r="EA1097" s="17"/>
      <c r="EB1097" s="17"/>
      <c r="EC1097" s="17"/>
      <c r="ED1097" s="17"/>
      <c r="EE1097" s="17"/>
      <c r="EF1097" s="17"/>
      <c r="EG1097" s="17"/>
      <c r="EH1097" s="17"/>
      <c r="EI1097" s="17"/>
      <c r="EJ1097" s="17"/>
      <c r="EK1097" s="17"/>
      <c r="EL1097" s="17"/>
      <c r="EM1097" s="17"/>
      <c r="EN1097" s="17"/>
      <c r="EO1097" s="17"/>
      <c r="EP1097" s="17"/>
      <c r="EQ1097" s="17"/>
      <c r="ER1097" s="17"/>
      <c r="ES1097" s="17"/>
      <c r="ET1097" s="17"/>
      <c r="EU1097" s="17"/>
      <c r="EV1097" s="17"/>
      <c r="EW1097" s="17"/>
      <c r="EX1097" s="17"/>
      <c r="EY1097" s="17"/>
      <c r="EZ1097" s="17"/>
      <c r="FA1097" s="17"/>
      <c r="FB1097" s="17"/>
      <c r="FC1097" s="17"/>
      <c r="FD1097" s="17"/>
      <c r="FE1097" s="17"/>
      <c r="FF1097" s="17"/>
      <c r="FG1097" s="17"/>
      <c r="FH1097" s="17"/>
      <c r="FI1097" s="17"/>
      <c r="FJ1097" s="17"/>
      <c r="FK1097" s="17"/>
      <c r="FL1097" s="17"/>
      <c r="FM1097" s="17"/>
      <c r="FN1097" s="17"/>
      <c r="FO1097" s="17"/>
      <c r="FP1097" s="17"/>
      <c r="FQ1097" s="17"/>
      <c r="FR1097" s="17"/>
      <c r="FS1097" s="17"/>
      <c r="FT1097" s="17"/>
      <c r="FU1097" s="17"/>
      <c r="FV1097" s="17"/>
      <c r="FW1097" s="17"/>
      <c r="FX1097" s="17"/>
      <c r="FY1097" s="17"/>
      <c r="FZ1097" s="17"/>
      <c r="GA1097" s="17"/>
      <c r="GB1097" s="17"/>
      <c r="GC1097" s="17"/>
      <c r="GD1097" s="17"/>
      <c r="GE1097" s="17"/>
      <c r="GF1097" s="17"/>
      <c r="GG1097" s="17"/>
      <c r="GH1097" s="17"/>
      <c r="GI1097" s="17"/>
      <c r="GJ1097" s="17"/>
      <c r="GK1097" s="17"/>
      <c r="GL1097" s="17"/>
      <c r="GM1097" s="17"/>
      <c r="GN1097" s="17"/>
      <c r="GO1097" s="17"/>
      <c r="GP1097" s="17"/>
      <c r="GQ1097" s="17"/>
      <c r="GR1097" s="17"/>
      <c r="GS1097" s="17"/>
      <c r="GT1097" s="17"/>
      <c r="GU1097" s="17"/>
      <c r="GV1097" s="17"/>
      <c r="GW1097" s="17"/>
      <c r="GX1097" s="17"/>
      <c r="GY1097" s="17"/>
      <c r="GZ1097" s="17"/>
      <c r="HA1097" s="17"/>
      <c r="HB1097" s="17"/>
      <c r="HC1097" s="17"/>
      <c r="HD1097" s="17"/>
      <c r="HE1097" s="17"/>
      <c r="HF1097" s="17"/>
      <c r="HG1097" s="17"/>
      <c r="HH1097" s="17"/>
      <c r="HI1097" s="17"/>
      <c r="HJ1097" s="17"/>
      <c r="HK1097" s="17"/>
      <c r="HL1097" s="17"/>
      <c r="HM1097" s="17"/>
      <c r="HN1097" s="17"/>
      <c r="HO1097" s="17"/>
      <c r="HP1097" s="17"/>
      <c r="HQ1097" s="17"/>
      <c r="HR1097" s="17"/>
      <c r="HS1097" s="17"/>
      <c r="HT1097" s="17"/>
      <c r="HU1097" s="17"/>
      <c r="HV1097" s="17"/>
      <c r="HW1097" s="17"/>
      <c r="HX1097" s="17"/>
      <c r="HY1097" s="17"/>
      <c r="HZ1097" s="17"/>
      <c r="IA1097" s="17"/>
      <c r="IB1097" s="17"/>
      <c r="IC1097" s="17"/>
      <c r="ID1097" s="17"/>
      <c r="IE1097" s="17"/>
      <c r="IF1097" s="17"/>
      <c r="IG1097" s="17"/>
      <c r="IH1097" s="17"/>
      <c r="II1097" s="17"/>
      <c r="IJ1097" s="17"/>
      <c r="IK1097" s="17"/>
      <c r="IL1097" s="17"/>
      <c r="IM1097" s="17"/>
      <c r="IN1097" s="17"/>
      <c r="IO1097" s="17"/>
      <c r="IP1097" s="17"/>
      <c r="IQ1097" s="17"/>
      <c r="IR1097" s="17"/>
      <c r="IS1097" s="17"/>
      <c r="IT1097" s="17"/>
      <c r="IU1097" s="17"/>
      <c r="IV1097" s="17"/>
      <c r="IW1097" s="17"/>
      <c r="IX1097" s="17"/>
    </row>
    <row r="1098" spans="1:258" ht="21.95" customHeight="1" x14ac:dyDescent="0.25">
      <c r="A1098" s="53" t="s">
        <v>1679</v>
      </c>
      <c r="B1098" s="8" t="s">
        <v>763</v>
      </c>
      <c r="C1098" s="2">
        <f t="shared" si="633"/>
        <v>1346400</v>
      </c>
      <c r="D1098" s="3">
        <f t="shared" si="631"/>
        <v>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4">
        <v>0</v>
      </c>
      <c r="L1098" s="3">
        <v>0</v>
      </c>
      <c r="M1098" s="5">
        <v>244.8</v>
      </c>
      <c r="N1098" s="3">
        <f t="shared" si="649"/>
        <v>1346400</v>
      </c>
      <c r="O1098" s="3">
        <v>0</v>
      </c>
      <c r="P1098" s="3">
        <v>0</v>
      </c>
      <c r="Q1098" s="3">
        <v>0</v>
      </c>
      <c r="R1098" s="3">
        <f t="shared" si="629"/>
        <v>0</v>
      </c>
      <c r="S1098" s="3">
        <v>0</v>
      </c>
      <c r="T1098" s="5">
        <v>0</v>
      </c>
      <c r="U1098" s="3">
        <v>0</v>
      </c>
      <c r="V1098" s="6">
        <f t="shared" si="630"/>
        <v>5500</v>
      </c>
    </row>
    <row r="1099" spans="1:258" ht="21.95" customHeight="1" x14ac:dyDescent="0.25">
      <c r="A1099" s="53" t="s">
        <v>1678</v>
      </c>
      <c r="B1099" s="8" t="s">
        <v>764</v>
      </c>
      <c r="C1099" s="2">
        <f t="shared" si="633"/>
        <v>1646400</v>
      </c>
      <c r="D1099" s="3">
        <f t="shared" si="631"/>
        <v>0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4">
        <v>0</v>
      </c>
      <c r="L1099" s="3">
        <v>0</v>
      </c>
      <c r="M1099" s="5">
        <v>244.8</v>
      </c>
      <c r="N1099" s="3">
        <f t="shared" si="649"/>
        <v>1346400</v>
      </c>
      <c r="O1099" s="3">
        <v>0</v>
      </c>
      <c r="P1099" s="3">
        <v>0</v>
      </c>
      <c r="Q1099" s="3">
        <v>0</v>
      </c>
      <c r="R1099" s="3">
        <f t="shared" si="629"/>
        <v>0</v>
      </c>
      <c r="S1099" s="3">
        <v>0</v>
      </c>
      <c r="T1099" s="5">
        <v>0</v>
      </c>
      <c r="U1099" s="3">
        <v>300000</v>
      </c>
      <c r="V1099" s="6">
        <f t="shared" si="630"/>
        <v>5500</v>
      </c>
    </row>
    <row r="1100" spans="1:258" ht="21.95" customHeight="1" x14ac:dyDescent="0.25">
      <c r="A1100" s="53" t="s">
        <v>1677</v>
      </c>
      <c r="B1100" s="8" t="s">
        <v>672</v>
      </c>
      <c r="C1100" s="2">
        <f t="shared" si="633"/>
        <v>1353000</v>
      </c>
      <c r="D1100" s="3">
        <f t="shared" si="631"/>
        <v>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4">
        <v>0</v>
      </c>
      <c r="L1100" s="3">
        <v>0</v>
      </c>
      <c r="M1100" s="5">
        <v>246</v>
      </c>
      <c r="N1100" s="3">
        <f t="shared" si="649"/>
        <v>1353000</v>
      </c>
      <c r="O1100" s="3">
        <v>0</v>
      </c>
      <c r="P1100" s="3">
        <v>0</v>
      </c>
      <c r="Q1100" s="3">
        <v>0</v>
      </c>
      <c r="R1100" s="3">
        <f t="shared" si="629"/>
        <v>0</v>
      </c>
      <c r="S1100" s="3">
        <v>0</v>
      </c>
      <c r="T1100" s="5">
        <v>0</v>
      </c>
      <c r="U1100" s="3">
        <v>0</v>
      </c>
      <c r="V1100" s="6">
        <f t="shared" si="630"/>
        <v>5500</v>
      </c>
      <c r="W1100" s="17"/>
      <c r="X1100" s="17"/>
      <c r="Y1100" s="17"/>
      <c r="Z1100" s="17"/>
      <c r="AA1100" s="17"/>
      <c r="AB1100" s="17"/>
      <c r="AC1100" s="17"/>
      <c r="AD1100" s="17"/>
      <c r="AE1100" s="17"/>
      <c r="AF1100" s="17"/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17"/>
      <c r="AS1100" s="17"/>
      <c r="AT1100" s="17"/>
      <c r="AU1100" s="17"/>
      <c r="AV1100" s="17"/>
      <c r="AW1100" s="17"/>
      <c r="AX1100" s="17"/>
      <c r="AY1100" s="17"/>
      <c r="AZ1100" s="17"/>
      <c r="BA1100" s="17"/>
      <c r="BB1100" s="17"/>
      <c r="BC1100" s="17"/>
      <c r="BD1100" s="17"/>
      <c r="BE1100" s="17"/>
      <c r="BF1100" s="17"/>
      <c r="BG1100" s="17"/>
      <c r="BH1100" s="17"/>
      <c r="BI1100" s="17"/>
      <c r="BJ1100" s="17"/>
      <c r="BK1100" s="17"/>
      <c r="BL1100" s="17"/>
      <c r="BM1100" s="17"/>
      <c r="BN1100" s="17"/>
      <c r="BO1100" s="17"/>
      <c r="BP1100" s="17"/>
      <c r="BQ1100" s="17"/>
      <c r="BR1100" s="17"/>
      <c r="BS1100" s="17"/>
      <c r="BT1100" s="17"/>
      <c r="BU1100" s="17"/>
      <c r="BV1100" s="17"/>
      <c r="BW1100" s="17"/>
      <c r="BX1100" s="17"/>
      <c r="BY1100" s="17"/>
      <c r="BZ1100" s="17"/>
      <c r="CA1100" s="17"/>
      <c r="CB1100" s="17"/>
      <c r="CC1100" s="17"/>
      <c r="CD1100" s="17"/>
      <c r="CE1100" s="17"/>
      <c r="CF1100" s="17"/>
      <c r="CG1100" s="17"/>
      <c r="CH1100" s="17"/>
      <c r="CI1100" s="17"/>
      <c r="CJ1100" s="17"/>
      <c r="CK1100" s="17"/>
      <c r="CL1100" s="17"/>
      <c r="CM1100" s="17"/>
      <c r="CN1100" s="17"/>
      <c r="CO1100" s="17"/>
      <c r="CP1100" s="17"/>
      <c r="CQ1100" s="17"/>
      <c r="CR1100" s="17"/>
      <c r="CS1100" s="17"/>
      <c r="CT1100" s="17"/>
      <c r="CU1100" s="17"/>
      <c r="CV1100" s="17"/>
      <c r="CW1100" s="17"/>
      <c r="CX1100" s="17"/>
      <c r="CY1100" s="17"/>
      <c r="CZ1100" s="17"/>
      <c r="DA1100" s="17"/>
      <c r="DB1100" s="17"/>
      <c r="DC1100" s="17"/>
      <c r="DD1100" s="17"/>
      <c r="DE1100" s="17"/>
      <c r="DF1100" s="17"/>
      <c r="DG1100" s="17"/>
      <c r="DH1100" s="17"/>
      <c r="DI1100" s="17"/>
      <c r="DJ1100" s="17"/>
      <c r="DK1100" s="17"/>
      <c r="DL1100" s="17"/>
      <c r="DM1100" s="17"/>
      <c r="DN1100" s="17"/>
      <c r="DO1100" s="17"/>
      <c r="DP1100" s="17"/>
      <c r="DQ1100" s="17"/>
      <c r="DR1100" s="17"/>
      <c r="DS1100" s="17"/>
      <c r="DT1100" s="17"/>
      <c r="DU1100" s="17"/>
      <c r="DV1100" s="17"/>
      <c r="DW1100" s="17"/>
      <c r="DX1100" s="17"/>
      <c r="DY1100" s="17"/>
      <c r="DZ1100" s="17"/>
      <c r="EA1100" s="17"/>
      <c r="EB1100" s="17"/>
      <c r="EC1100" s="17"/>
      <c r="ED1100" s="17"/>
      <c r="EE1100" s="17"/>
      <c r="EF1100" s="17"/>
      <c r="EG1100" s="17"/>
      <c r="EH1100" s="17"/>
      <c r="EI1100" s="17"/>
      <c r="EJ1100" s="17"/>
      <c r="EK1100" s="17"/>
      <c r="EL1100" s="17"/>
      <c r="EM1100" s="17"/>
      <c r="EN1100" s="17"/>
      <c r="EO1100" s="17"/>
      <c r="EP1100" s="17"/>
      <c r="EQ1100" s="17"/>
      <c r="ER1100" s="17"/>
      <c r="ES1100" s="17"/>
      <c r="ET1100" s="17"/>
      <c r="EU1100" s="17"/>
      <c r="EV1100" s="17"/>
      <c r="EW1100" s="17"/>
      <c r="EX1100" s="17"/>
      <c r="EY1100" s="17"/>
      <c r="EZ1100" s="17"/>
      <c r="FA1100" s="17"/>
      <c r="FB1100" s="17"/>
      <c r="FC1100" s="17"/>
      <c r="FD1100" s="17"/>
      <c r="FE1100" s="17"/>
      <c r="FF1100" s="17"/>
      <c r="FG1100" s="17"/>
      <c r="FH1100" s="17"/>
      <c r="FI1100" s="17"/>
      <c r="FJ1100" s="17"/>
      <c r="FK1100" s="17"/>
      <c r="FL1100" s="17"/>
      <c r="FM1100" s="17"/>
      <c r="FN1100" s="17"/>
      <c r="FO1100" s="17"/>
      <c r="FP1100" s="17"/>
      <c r="FQ1100" s="17"/>
      <c r="FR1100" s="17"/>
      <c r="FS1100" s="17"/>
      <c r="FT1100" s="17"/>
      <c r="FU1100" s="17"/>
      <c r="FV1100" s="17"/>
      <c r="FW1100" s="17"/>
      <c r="FX1100" s="17"/>
      <c r="FY1100" s="17"/>
      <c r="FZ1100" s="17"/>
      <c r="GA1100" s="17"/>
      <c r="GB1100" s="17"/>
      <c r="GC1100" s="17"/>
      <c r="GD1100" s="17"/>
      <c r="GE1100" s="17"/>
      <c r="GF1100" s="17"/>
      <c r="GG1100" s="17"/>
      <c r="GH1100" s="17"/>
      <c r="GI1100" s="17"/>
      <c r="GJ1100" s="17"/>
      <c r="GK1100" s="17"/>
      <c r="GL1100" s="17"/>
      <c r="GM1100" s="17"/>
      <c r="GN1100" s="17"/>
      <c r="GO1100" s="17"/>
      <c r="GP1100" s="17"/>
      <c r="GQ1100" s="17"/>
      <c r="GR1100" s="17"/>
      <c r="GS1100" s="17"/>
      <c r="GT1100" s="17"/>
      <c r="GU1100" s="17"/>
      <c r="GV1100" s="17"/>
      <c r="GW1100" s="17"/>
      <c r="GX1100" s="17"/>
      <c r="GY1100" s="17"/>
      <c r="GZ1100" s="17"/>
      <c r="HA1100" s="17"/>
      <c r="HB1100" s="17"/>
      <c r="HC1100" s="17"/>
      <c r="HD1100" s="17"/>
      <c r="HE1100" s="17"/>
      <c r="HF1100" s="17"/>
      <c r="HG1100" s="17"/>
      <c r="HH1100" s="17"/>
      <c r="HI1100" s="17"/>
      <c r="HJ1100" s="17"/>
      <c r="HK1100" s="17"/>
      <c r="HL1100" s="17"/>
      <c r="HM1100" s="17"/>
      <c r="HN1100" s="17"/>
      <c r="HO1100" s="17"/>
      <c r="HP1100" s="17"/>
      <c r="HQ1100" s="17"/>
      <c r="HR1100" s="17"/>
      <c r="HS1100" s="17"/>
      <c r="HT1100" s="17"/>
      <c r="HU1100" s="17"/>
      <c r="HV1100" s="17"/>
      <c r="HW1100" s="17"/>
      <c r="HX1100" s="17"/>
      <c r="HY1100" s="17"/>
      <c r="HZ1100" s="17"/>
      <c r="IA1100" s="17"/>
      <c r="IB1100" s="17"/>
      <c r="IC1100" s="17"/>
      <c r="ID1100" s="17"/>
      <c r="IE1100" s="17"/>
      <c r="IF1100" s="17"/>
      <c r="IG1100" s="17"/>
      <c r="IH1100" s="17"/>
      <c r="II1100" s="17"/>
      <c r="IJ1100" s="17"/>
      <c r="IK1100" s="17"/>
      <c r="IL1100" s="17"/>
      <c r="IM1100" s="17"/>
      <c r="IN1100" s="17"/>
      <c r="IO1100" s="17"/>
      <c r="IP1100" s="17"/>
      <c r="IQ1100" s="17"/>
      <c r="IR1100" s="17"/>
      <c r="IS1100" s="17"/>
      <c r="IT1100" s="17"/>
      <c r="IU1100" s="17"/>
      <c r="IV1100" s="17"/>
      <c r="IW1100" s="17"/>
      <c r="IX1100" s="17"/>
    </row>
    <row r="1101" spans="1:258" ht="21.95" customHeight="1" x14ac:dyDescent="0.25">
      <c r="A1101" s="53" t="s">
        <v>1676</v>
      </c>
      <c r="B1101" s="8" t="s">
        <v>673</v>
      </c>
      <c r="C1101" s="2">
        <f t="shared" si="633"/>
        <v>1370600</v>
      </c>
      <c r="D1101" s="3">
        <f t="shared" si="631"/>
        <v>0</v>
      </c>
      <c r="E1101" s="3">
        <v>0</v>
      </c>
      <c r="F1101" s="3">
        <v>0</v>
      </c>
      <c r="G1101" s="3">
        <v>0</v>
      </c>
      <c r="H1101" s="3">
        <v>0</v>
      </c>
      <c r="I1101" s="3">
        <v>0</v>
      </c>
      <c r="J1101" s="3">
        <v>0</v>
      </c>
      <c r="K1101" s="4">
        <v>0</v>
      </c>
      <c r="L1101" s="3">
        <v>0</v>
      </c>
      <c r="M1101" s="3">
        <v>249.2</v>
      </c>
      <c r="N1101" s="3">
        <f t="shared" si="649"/>
        <v>1370600</v>
      </c>
      <c r="O1101" s="3">
        <v>0</v>
      </c>
      <c r="P1101" s="3">
        <v>0</v>
      </c>
      <c r="Q1101" s="3">
        <v>0</v>
      </c>
      <c r="R1101" s="3">
        <f t="shared" si="629"/>
        <v>0</v>
      </c>
      <c r="S1101" s="3">
        <v>0</v>
      </c>
      <c r="T1101" s="5">
        <v>0</v>
      </c>
      <c r="U1101" s="3">
        <v>0</v>
      </c>
      <c r="V1101" s="6">
        <f t="shared" si="630"/>
        <v>5500</v>
      </c>
    </row>
    <row r="1102" spans="1:258" ht="21.95" customHeight="1" x14ac:dyDescent="0.25">
      <c r="A1102" s="53" t="s">
        <v>1675</v>
      </c>
      <c r="B1102" s="8" t="s">
        <v>674</v>
      </c>
      <c r="C1102" s="2">
        <f t="shared" si="633"/>
        <v>1456400</v>
      </c>
      <c r="D1102" s="3">
        <f t="shared" si="631"/>
        <v>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4">
        <v>0</v>
      </c>
      <c r="L1102" s="3">
        <v>0</v>
      </c>
      <c r="M1102" s="3">
        <v>264.8</v>
      </c>
      <c r="N1102" s="3">
        <f t="shared" si="649"/>
        <v>1456400</v>
      </c>
      <c r="O1102" s="3">
        <v>0</v>
      </c>
      <c r="P1102" s="3">
        <v>0</v>
      </c>
      <c r="Q1102" s="3">
        <v>0</v>
      </c>
      <c r="R1102" s="3">
        <f t="shared" si="629"/>
        <v>0</v>
      </c>
      <c r="S1102" s="3">
        <v>0</v>
      </c>
      <c r="T1102" s="5">
        <v>0</v>
      </c>
      <c r="U1102" s="3">
        <v>0</v>
      </c>
      <c r="V1102" s="6">
        <f t="shared" si="630"/>
        <v>5500</v>
      </c>
    </row>
    <row r="1103" spans="1:258" ht="21.95" customHeight="1" x14ac:dyDescent="0.25">
      <c r="A1103" s="53" t="s">
        <v>1674</v>
      </c>
      <c r="B1103" s="8" t="s">
        <v>574</v>
      </c>
      <c r="C1103" s="2">
        <f t="shared" si="633"/>
        <v>1533400</v>
      </c>
      <c r="D1103" s="3">
        <f t="shared" ref="D1103" si="650">SUM(E1103:J1103)</f>
        <v>0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  <c r="K1103" s="11">
        <v>0</v>
      </c>
      <c r="L1103" s="5">
        <v>0</v>
      </c>
      <c r="M1103" s="5">
        <v>278.8</v>
      </c>
      <c r="N1103" s="3">
        <f t="shared" si="649"/>
        <v>1533400</v>
      </c>
      <c r="O1103" s="5">
        <v>0</v>
      </c>
      <c r="P1103" s="5">
        <v>0</v>
      </c>
      <c r="Q1103" s="5">
        <v>0</v>
      </c>
      <c r="R1103" s="3">
        <f t="shared" si="629"/>
        <v>0</v>
      </c>
      <c r="S1103" s="5">
        <v>0</v>
      </c>
      <c r="T1103" s="5">
        <v>0</v>
      </c>
      <c r="U1103" s="5">
        <v>0</v>
      </c>
      <c r="V1103" s="6">
        <f t="shared" si="630"/>
        <v>5500</v>
      </c>
    </row>
    <row r="1104" spans="1:258" ht="21.95" customHeight="1" x14ac:dyDescent="0.25">
      <c r="A1104" s="53" t="s">
        <v>1673</v>
      </c>
      <c r="B1104" s="8" t="s">
        <v>1186</v>
      </c>
      <c r="C1104" s="2">
        <f t="shared" si="633"/>
        <v>6650000</v>
      </c>
      <c r="D1104" s="3">
        <f t="shared" si="631"/>
        <v>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4">
        <v>3</v>
      </c>
      <c r="L1104" s="3">
        <f>K1104*2150000</f>
        <v>6450000</v>
      </c>
      <c r="M1104" s="3">
        <v>0</v>
      </c>
      <c r="N1104" s="3">
        <v>0</v>
      </c>
      <c r="O1104" s="3">
        <v>0</v>
      </c>
      <c r="P1104" s="3">
        <v>0</v>
      </c>
      <c r="Q1104" s="3">
        <v>0</v>
      </c>
      <c r="R1104" s="3">
        <f t="shared" si="629"/>
        <v>0</v>
      </c>
      <c r="S1104" s="3">
        <v>0</v>
      </c>
      <c r="T1104" s="5">
        <v>0</v>
      </c>
      <c r="U1104" s="3">
        <v>200000</v>
      </c>
      <c r="V1104" s="6" t="e">
        <f t="shared" si="630"/>
        <v>#DIV/0!</v>
      </c>
    </row>
    <row r="1105" spans="1:22" ht="21.95" customHeight="1" x14ac:dyDescent="0.25">
      <c r="A1105" s="53" t="s">
        <v>1672</v>
      </c>
      <c r="B1105" s="8" t="s">
        <v>1636</v>
      </c>
      <c r="C1105" s="2">
        <f t="shared" si="633"/>
        <v>2250000</v>
      </c>
      <c r="D1105" s="3">
        <f t="shared" si="631"/>
        <v>0</v>
      </c>
      <c r="E1105" s="3">
        <v>0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4">
        <v>1</v>
      </c>
      <c r="L1105" s="3">
        <v>2150000</v>
      </c>
      <c r="M1105" s="3">
        <v>0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5">
        <v>0</v>
      </c>
      <c r="U1105" s="3">
        <v>100000</v>
      </c>
      <c r="V1105" s="6" t="e">
        <f t="shared" si="630"/>
        <v>#DIV/0!</v>
      </c>
    </row>
    <row r="1106" spans="1:22" ht="21.95" customHeight="1" x14ac:dyDescent="0.25">
      <c r="A1106" s="53" t="s">
        <v>1671</v>
      </c>
      <c r="B1106" s="8" t="s">
        <v>765</v>
      </c>
      <c r="C1106" s="2">
        <f t="shared" si="633"/>
        <v>3512758</v>
      </c>
      <c r="D1106" s="3">
        <f t="shared" si="631"/>
        <v>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4">
        <v>0</v>
      </c>
      <c r="L1106" s="3">
        <v>0</v>
      </c>
      <c r="M1106" s="5">
        <v>953</v>
      </c>
      <c r="N1106" s="3">
        <f t="shared" ref="N1106:N1109" si="651">M1106*3686</f>
        <v>3512758</v>
      </c>
      <c r="O1106" s="3">
        <v>0</v>
      </c>
      <c r="P1106" s="3">
        <v>0</v>
      </c>
      <c r="Q1106" s="3">
        <v>0</v>
      </c>
      <c r="R1106" s="3">
        <f t="shared" si="629"/>
        <v>0</v>
      </c>
      <c r="S1106" s="3">
        <v>0</v>
      </c>
      <c r="T1106" s="5">
        <v>0</v>
      </c>
      <c r="U1106" s="3">
        <v>0</v>
      </c>
      <c r="V1106" s="6">
        <f t="shared" si="630"/>
        <v>3686</v>
      </c>
    </row>
    <row r="1107" spans="1:22" ht="21.95" customHeight="1" x14ac:dyDescent="0.25">
      <c r="A1107" s="53" t="s">
        <v>1670</v>
      </c>
      <c r="B1107" s="8" t="s">
        <v>824</v>
      </c>
      <c r="C1107" s="2">
        <f t="shared" si="633"/>
        <v>16689674.5</v>
      </c>
      <c r="D1107" s="3">
        <f t="shared" si="631"/>
        <v>6044834.5</v>
      </c>
      <c r="E1107" s="3">
        <f>350*2572.27</f>
        <v>900294.5</v>
      </c>
      <c r="F1107" s="3">
        <f>1050*2572.27</f>
        <v>2700883.5</v>
      </c>
      <c r="G1107" s="3">
        <f>300*2572.27</f>
        <v>771681</v>
      </c>
      <c r="H1107" s="3">
        <f>400*2572.27</f>
        <v>1028908</v>
      </c>
      <c r="I1107" s="3">
        <f>250*2572.27</f>
        <v>643067.5</v>
      </c>
      <c r="J1107" s="3">
        <v>0</v>
      </c>
      <c r="K1107" s="4">
        <v>0</v>
      </c>
      <c r="L1107" s="3">
        <v>0</v>
      </c>
      <c r="M1107" s="5">
        <v>940</v>
      </c>
      <c r="N1107" s="3">
        <f t="shared" si="651"/>
        <v>3464840</v>
      </c>
      <c r="O1107" s="3">
        <v>0</v>
      </c>
      <c r="P1107" s="3">
        <v>0</v>
      </c>
      <c r="Q1107" s="5">
        <v>2360</v>
      </c>
      <c r="R1107" s="3">
        <f t="shared" si="629"/>
        <v>7080000</v>
      </c>
      <c r="S1107" s="5">
        <v>0</v>
      </c>
      <c r="T1107" s="5">
        <v>0</v>
      </c>
      <c r="U1107" s="3">
        <v>100000</v>
      </c>
      <c r="V1107" s="6">
        <f t="shared" si="630"/>
        <v>3686</v>
      </c>
    </row>
    <row r="1108" spans="1:22" ht="21.95" customHeight="1" x14ac:dyDescent="0.25">
      <c r="A1108" s="53" t="s">
        <v>1669</v>
      </c>
      <c r="B1108" s="8" t="s">
        <v>825</v>
      </c>
      <c r="C1108" s="2">
        <f t="shared" si="633"/>
        <v>21196788</v>
      </c>
      <c r="D1108" s="3">
        <f t="shared" si="631"/>
        <v>8730344</v>
      </c>
      <c r="E1108" s="3">
        <f>350*3715.04</f>
        <v>1300264</v>
      </c>
      <c r="F1108" s="3">
        <f>1050*3715.04</f>
        <v>3900792</v>
      </c>
      <c r="G1108" s="3">
        <f>300*3715.04</f>
        <v>1114512</v>
      </c>
      <c r="H1108" s="3">
        <f>400*3715.04</f>
        <v>1486016</v>
      </c>
      <c r="I1108" s="3">
        <f>250*3715.04</f>
        <v>928760</v>
      </c>
      <c r="J1108" s="3">
        <v>0</v>
      </c>
      <c r="K1108" s="4">
        <v>0</v>
      </c>
      <c r="L1108" s="3">
        <v>0</v>
      </c>
      <c r="M1108" s="5">
        <v>954</v>
      </c>
      <c r="N1108" s="3">
        <f t="shared" si="651"/>
        <v>3516444</v>
      </c>
      <c r="O1108" s="3">
        <v>0</v>
      </c>
      <c r="P1108" s="3">
        <v>0</v>
      </c>
      <c r="Q1108" s="3">
        <v>2950</v>
      </c>
      <c r="R1108" s="3">
        <f t="shared" si="629"/>
        <v>8850000</v>
      </c>
      <c r="S1108" s="3">
        <v>0</v>
      </c>
      <c r="T1108" s="5">
        <v>0</v>
      </c>
      <c r="U1108" s="3">
        <v>100000</v>
      </c>
      <c r="V1108" s="6">
        <f t="shared" si="630"/>
        <v>3686</v>
      </c>
    </row>
    <row r="1109" spans="1:22" ht="21.95" customHeight="1" x14ac:dyDescent="0.25">
      <c r="A1109" s="53" t="s">
        <v>1668</v>
      </c>
      <c r="B1109" s="8" t="s">
        <v>826</v>
      </c>
      <c r="C1109" s="2">
        <f t="shared" si="633"/>
        <v>16648062</v>
      </c>
      <c r="D1109" s="3">
        <f t="shared" si="631"/>
        <v>5984792</v>
      </c>
      <c r="E1109" s="3">
        <f>350*2546.72</f>
        <v>891351.99999999988</v>
      </c>
      <c r="F1109" s="3">
        <f>1050*2546.72</f>
        <v>2674056</v>
      </c>
      <c r="G1109" s="3">
        <f>300*2546.72</f>
        <v>764015.99999999988</v>
      </c>
      <c r="H1109" s="3">
        <f>400*2546.72</f>
        <v>1018687.9999999999</v>
      </c>
      <c r="I1109" s="3">
        <f>250*2546.72</f>
        <v>636680</v>
      </c>
      <c r="J1109" s="3">
        <v>0</v>
      </c>
      <c r="K1109" s="4">
        <v>0</v>
      </c>
      <c r="L1109" s="3">
        <v>0</v>
      </c>
      <c r="M1109" s="5">
        <v>945</v>
      </c>
      <c r="N1109" s="3">
        <f t="shared" si="651"/>
        <v>3483270</v>
      </c>
      <c r="O1109" s="3">
        <v>0</v>
      </c>
      <c r="P1109" s="3">
        <v>0</v>
      </c>
      <c r="Q1109" s="5">
        <v>2360</v>
      </c>
      <c r="R1109" s="3">
        <f t="shared" si="629"/>
        <v>7080000</v>
      </c>
      <c r="S1109" s="3">
        <v>0</v>
      </c>
      <c r="T1109" s="5">
        <v>0</v>
      </c>
      <c r="U1109" s="5">
        <v>100000</v>
      </c>
      <c r="V1109" s="6">
        <f t="shared" si="630"/>
        <v>3686</v>
      </c>
    </row>
    <row r="1110" spans="1:22" ht="21.95" customHeight="1" x14ac:dyDescent="0.25">
      <c r="A1110" s="53" t="s">
        <v>1667</v>
      </c>
      <c r="B1110" s="8" t="s">
        <v>675</v>
      </c>
      <c r="C1110" s="2">
        <f t="shared" si="633"/>
        <v>4536350</v>
      </c>
      <c r="D1110" s="3">
        <f t="shared" si="631"/>
        <v>0</v>
      </c>
      <c r="E1110" s="3">
        <v>0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11">
        <v>0</v>
      </c>
      <c r="L1110" s="5">
        <v>0</v>
      </c>
      <c r="M1110" s="5">
        <v>427.7</v>
      </c>
      <c r="N1110" s="3">
        <f t="shared" ref="N1110:N1117" si="652">M1110*5500</f>
        <v>2352350</v>
      </c>
      <c r="O1110" s="5">
        <v>0</v>
      </c>
      <c r="P1110" s="5">
        <v>0</v>
      </c>
      <c r="Q1110" s="5">
        <v>728</v>
      </c>
      <c r="R1110" s="3">
        <f t="shared" si="629"/>
        <v>2184000</v>
      </c>
      <c r="S1110" s="5">
        <v>0</v>
      </c>
      <c r="T1110" s="5">
        <v>0</v>
      </c>
      <c r="U1110" s="5">
        <v>0</v>
      </c>
      <c r="V1110" s="6">
        <f t="shared" si="630"/>
        <v>5500</v>
      </c>
    </row>
    <row r="1111" spans="1:22" ht="21.95" customHeight="1" x14ac:dyDescent="0.25">
      <c r="A1111" s="53" t="s">
        <v>1666</v>
      </c>
      <c r="B1111" s="8" t="s">
        <v>676</v>
      </c>
      <c r="C1111" s="2">
        <f t="shared" si="633"/>
        <v>2761800</v>
      </c>
      <c r="D1111" s="3">
        <f t="shared" si="631"/>
        <v>0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11">
        <v>0</v>
      </c>
      <c r="L1111" s="5">
        <v>0</v>
      </c>
      <c r="M1111" s="3">
        <v>303.60000000000002</v>
      </c>
      <c r="N1111" s="3">
        <f t="shared" si="652"/>
        <v>1669800.0000000002</v>
      </c>
      <c r="O1111" s="3">
        <v>0</v>
      </c>
      <c r="P1111" s="3">
        <v>0</v>
      </c>
      <c r="Q1111" s="3">
        <v>364</v>
      </c>
      <c r="R1111" s="3">
        <f t="shared" si="629"/>
        <v>1092000</v>
      </c>
      <c r="S1111" s="5">
        <v>0</v>
      </c>
      <c r="T1111" s="5">
        <v>0</v>
      </c>
      <c r="U1111" s="5">
        <v>0</v>
      </c>
      <c r="V1111" s="6">
        <f t="shared" si="630"/>
        <v>5500</v>
      </c>
    </row>
    <row r="1112" spans="1:22" ht="21.95" customHeight="1" x14ac:dyDescent="0.25">
      <c r="A1112" s="53" t="s">
        <v>1665</v>
      </c>
      <c r="B1112" s="8" t="s">
        <v>677</v>
      </c>
      <c r="C1112" s="2">
        <f t="shared" si="633"/>
        <v>2742000</v>
      </c>
      <c r="D1112" s="3">
        <f t="shared" si="631"/>
        <v>0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11">
        <v>0</v>
      </c>
      <c r="L1112" s="5">
        <v>0</v>
      </c>
      <c r="M1112" s="3">
        <v>300</v>
      </c>
      <c r="N1112" s="3">
        <f t="shared" si="652"/>
        <v>1650000</v>
      </c>
      <c r="O1112" s="3">
        <v>0</v>
      </c>
      <c r="P1112" s="3">
        <v>0</v>
      </c>
      <c r="Q1112" s="3">
        <v>364</v>
      </c>
      <c r="R1112" s="3">
        <f t="shared" si="629"/>
        <v>1092000</v>
      </c>
      <c r="S1112" s="3">
        <v>0</v>
      </c>
      <c r="T1112" s="5">
        <v>0</v>
      </c>
      <c r="U1112" s="5">
        <v>0</v>
      </c>
      <c r="V1112" s="6">
        <f t="shared" si="630"/>
        <v>5500</v>
      </c>
    </row>
    <row r="1113" spans="1:22" ht="21.95" customHeight="1" x14ac:dyDescent="0.25">
      <c r="A1113" s="53" t="s">
        <v>1664</v>
      </c>
      <c r="B1113" s="8" t="s">
        <v>678</v>
      </c>
      <c r="C1113" s="2">
        <f t="shared" si="633"/>
        <v>2768950</v>
      </c>
      <c r="D1113" s="3">
        <f t="shared" si="631"/>
        <v>0</v>
      </c>
      <c r="E1113" s="3">
        <v>0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11">
        <v>0</v>
      </c>
      <c r="L1113" s="5">
        <v>0</v>
      </c>
      <c r="M1113" s="3">
        <v>304.89999999999998</v>
      </c>
      <c r="N1113" s="3">
        <f t="shared" si="652"/>
        <v>1676949.9999999998</v>
      </c>
      <c r="O1113" s="3">
        <v>0</v>
      </c>
      <c r="P1113" s="3">
        <v>0</v>
      </c>
      <c r="Q1113" s="3">
        <v>364</v>
      </c>
      <c r="R1113" s="3">
        <f t="shared" si="629"/>
        <v>1092000</v>
      </c>
      <c r="S1113" s="3">
        <v>0</v>
      </c>
      <c r="T1113" s="5">
        <v>0</v>
      </c>
      <c r="U1113" s="5">
        <v>0</v>
      </c>
      <c r="V1113" s="6">
        <f t="shared" si="630"/>
        <v>5500</v>
      </c>
    </row>
    <row r="1114" spans="1:22" ht="21.95" customHeight="1" x14ac:dyDescent="0.25">
      <c r="A1114" s="53" t="s">
        <v>1663</v>
      </c>
      <c r="B1114" s="8" t="s">
        <v>766</v>
      </c>
      <c r="C1114" s="2">
        <f t="shared" si="633"/>
        <v>3828000</v>
      </c>
      <c r="D1114" s="3">
        <f t="shared" si="631"/>
        <v>0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4">
        <v>0</v>
      </c>
      <c r="L1114" s="3">
        <v>0</v>
      </c>
      <c r="M1114" s="5">
        <v>696</v>
      </c>
      <c r="N1114" s="3">
        <f t="shared" si="652"/>
        <v>3828000</v>
      </c>
      <c r="O1114" s="3">
        <v>0</v>
      </c>
      <c r="P1114" s="3">
        <v>0</v>
      </c>
      <c r="Q1114" s="3">
        <v>0</v>
      </c>
      <c r="R1114" s="3">
        <f t="shared" si="629"/>
        <v>0</v>
      </c>
      <c r="S1114" s="3">
        <v>0</v>
      </c>
      <c r="T1114" s="5">
        <v>0</v>
      </c>
      <c r="U1114" s="3">
        <v>0</v>
      </c>
      <c r="V1114" s="6">
        <f t="shared" si="630"/>
        <v>5500</v>
      </c>
    </row>
    <row r="1115" spans="1:22" ht="21.95" customHeight="1" x14ac:dyDescent="0.25">
      <c r="A1115" s="53" t="s">
        <v>1662</v>
      </c>
      <c r="B1115" s="8" t="s">
        <v>425</v>
      </c>
      <c r="C1115" s="2">
        <f t="shared" si="633"/>
        <v>4082649.9999999995</v>
      </c>
      <c r="D1115" s="3">
        <f t="shared" si="631"/>
        <v>0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4">
        <v>0</v>
      </c>
      <c r="L1115" s="3">
        <v>0</v>
      </c>
      <c r="M1115" s="3">
        <v>742.3</v>
      </c>
      <c r="N1115" s="3">
        <f t="shared" si="652"/>
        <v>4082649.9999999995</v>
      </c>
      <c r="O1115" s="3">
        <v>0</v>
      </c>
      <c r="P1115" s="3">
        <v>0</v>
      </c>
      <c r="Q1115" s="3">
        <v>0</v>
      </c>
      <c r="R1115" s="3">
        <f t="shared" si="629"/>
        <v>0</v>
      </c>
      <c r="S1115" s="3">
        <v>0</v>
      </c>
      <c r="T1115" s="5">
        <v>0</v>
      </c>
      <c r="U1115" s="3">
        <v>0</v>
      </c>
      <c r="V1115" s="6">
        <f t="shared" si="630"/>
        <v>5500</v>
      </c>
    </row>
    <row r="1116" spans="1:22" ht="21.95" customHeight="1" x14ac:dyDescent="0.25">
      <c r="A1116" s="53" t="s">
        <v>1661</v>
      </c>
      <c r="B1116" s="8" t="s">
        <v>426</v>
      </c>
      <c r="C1116" s="2">
        <f t="shared" si="633"/>
        <v>2673000</v>
      </c>
      <c r="D1116" s="3">
        <f t="shared" si="631"/>
        <v>0</v>
      </c>
      <c r="E1116" s="3">
        <v>0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4">
        <v>0</v>
      </c>
      <c r="L1116" s="3">
        <v>0</v>
      </c>
      <c r="M1116" s="3">
        <v>486</v>
      </c>
      <c r="N1116" s="3">
        <f t="shared" si="652"/>
        <v>2673000</v>
      </c>
      <c r="O1116" s="3">
        <v>0</v>
      </c>
      <c r="P1116" s="3">
        <v>0</v>
      </c>
      <c r="Q1116" s="3">
        <v>0</v>
      </c>
      <c r="R1116" s="3">
        <f t="shared" si="629"/>
        <v>0</v>
      </c>
      <c r="S1116" s="3">
        <v>0</v>
      </c>
      <c r="T1116" s="5">
        <v>0</v>
      </c>
      <c r="U1116" s="3">
        <v>0</v>
      </c>
      <c r="V1116" s="6">
        <f t="shared" si="630"/>
        <v>5500</v>
      </c>
    </row>
    <row r="1117" spans="1:22" ht="21.95" customHeight="1" x14ac:dyDescent="0.25">
      <c r="A1117" s="53" t="s">
        <v>1660</v>
      </c>
      <c r="B1117" s="8" t="s">
        <v>679</v>
      </c>
      <c r="C1117" s="2">
        <f t="shared" si="633"/>
        <v>2997500</v>
      </c>
      <c r="D1117" s="3">
        <f t="shared" si="631"/>
        <v>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4">
        <v>0</v>
      </c>
      <c r="L1117" s="3">
        <v>0</v>
      </c>
      <c r="M1117" s="3">
        <v>545</v>
      </c>
      <c r="N1117" s="3">
        <f t="shared" si="652"/>
        <v>2997500</v>
      </c>
      <c r="O1117" s="3">
        <v>0</v>
      </c>
      <c r="P1117" s="3">
        <v>0</v>
      </c>
      <c r="Q1117" s="3">
        <v>0</v>
      </c>
      <c r="R1117" s="3">
        <f t="shared" si="629"/>
        <v>0</v>
      </c>
      <c r="S1117" s="3">
        <v>0</v>
      </c>
      <c r="T1117" s="5">
        <v>0</v>
      </c>
      <c r="U1117" s="3">
        <v>0</v>
      </c>
      <c r="V1117" s="6">
        <f t="shared" si="630"/>
        <v>5500</v>
      </c>
    </row>
    <row r="1118" spans="1:22" ht="42.95" customHeight="1" x14ac:dyDescent="0.25">
      <c r="A1118" s="56" t="s">
        <v>305</v>
      </c>
      <c r="B1118" s="56"/>
      <c r="C1118" s="2">
        <f>SUM(C1119)</f>
        <v>8609395</v>
      </c>
      <c r="D1118" s="2">
        <f t="shared" ref="D1118:U1118" si="653">SUM(D1119)</f>
        <v>4364655</v>
      </c>
      <c r="E1118" s="2">
        <f t="shared" si="653"/>
        <v>650055</v>
      </c>
      <c r="F1118" s="2">
        <f t="shared" si="653"/>
        <v>1950165</v>
      </c>
      <c r="G1118" s="2">
        <f t="shared" si="653"/>
        <v>557190</v>
      </c>
      <c r="H1118" s="2">
        <f t="shared" si="653"/>
        <v>742920</v>
      </c>
      <c r="I1118" s="2">
        <f t="shared" si="653"/>
        <v>464325</v>
      </c>
      <c r="J1118" s="2">
        <f t="shared" si="653"/>
        <v>0</v>
      </c>
      <c r="K1118" s="14">
        <f t="shared" si="653"/>
        <v>0</v>
      </c>
      <c r="L1118" s="2">
        <f t="shared" si="653"/>
        <v>0</v>
      </c>
      <c r="M1118" s="2">
        <f t="shared" si="653"/>
        <v>0</v>
      </c>
      <c r="N1118" s="2">
        <f t="shared" si="653"/>
        <v>0</v>
      </c>
      <c r="O1118" s="2">
        <f t="shared" si="653"/>
        <v>0</v>
      </c>
      <c r="P1118" s="2">
        <f t="shared" si="653"/>
        <v>0</v>
      </c>
      <c r="Q1118" s="2">
        <f t="shared" si="653"/>
        <v>1381.58</v>
      </c>
      <c r="R1118" s="2">
        <f t="shared" si="653"/>
        <v>4144740</v>
      </c>
      <c r="S1118" s="2">
        <f t="shared" si="653"/>
        <v>0</v>
      </c>
      <c r="T1118" s="2">
        <f t="shared" si="653"/>
        <v>0</v>
      </c>
      <c r="U1118" s="2">
        <f t="shared" si="653"/>
        <v>100000</v>
      </c>
    </row>
    <row r="1119" spans="1:22" ht="23.1" customHeight="1" x14ac:dyDescent="0.25">
      <c r="A1119" s="36" t="s">
        <v>1659</v>
      </c>
      <c r="B1119" s="8" t="s">
        <v>306</v>
      </c>
      <c r="C1119" s="2">
        <f t="shared" si="633"/>
        <v>8609395</v>
      </c>
      <c r="D1119" s="3">
        <f t="shared" ref="D1119" si="654">SUM(E1119:J1119)</f>
        <v>4364655</v>
      </c>
      <c r="E1119" s="5">
        <f>350*1857.3</f>
        <v>650055</v>
      </c>
      <c r="F1119" s="5">
        <f>1050*1857.3</f>
        <v>1950165</v>
      </c>
      <c r="G1119" s="5">
        <f>300*1857.3</f>
        <v>557190</v>
      </c>
      <c r="H1119" s="5">
        <f>400*1857.3</f>
        <v>742920</v>
      </c>
      <c r="I1119" s="5">
        <f>250*1857.3</f>
        <v>464325</v>
      </c>
      <c r="J1119" s="5">
        <f>350*0</f>
        <v>0</v>
      </c>
      <c r="K1119" s="11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1381.58</v>
      </c>
      <c r="R1119" s="3">
        <f>Q1119*3000</f>
        <v>4144740</v>
      </c>
      <c r="S1119" s="5">
        <v>0</v>
      </c>
      <c r="T1119" s="5">
        <v>0</v>
      </c>
      <c r="U1119" s="5">
        <v>100000</v>
      </c>
      <c r="V1119" s="6" t="e">
        <f t="shared" ref="V1119" si="655">N1119/M1119</f>
        <v>#DIV/0!</v>
      </c>
    </row>
    <row r="1120" spans="1:22" ht="42.95" customHeight="1" x14ac:dyDescent="0.25">
      <c r="A1120" s="56" t="s">
        <v>281</v>
      </c>
      <c r="B1120" s="56"/>
      <c r="C1120" s="2">
        <f>SUM(C1121)</f>
        <v>4446820</v>
      </c>
      <c r="D1120" s="2">
        <f t="shared" ref="D1120:U1120" si="656">SUM(D1121)</f>
        <v>814320</v>
      </c>
      <c r="E1120" s="2">
        <f t="shared" si="656"/>
        <v>146160</v>
      </c>
      <c r="F1120" s="2">
        <f t="shared" si="656"/>
        <v>438480</v>
      </c>
      <c r="G1120" s="2">
        <f t="shared" si="656"/>
        <v>125280</v>
      </c>
      <c r="H1120" s="2">
        <f t="shared" si="656"/>
        <v>0</v>
      </c>
      <c r="I1120" s="2">
        <f t="shared" si="656"/>
        <v>104400</v>
      </c>
      <c r="J1120" s="2">
        <f t="shared" si="656"/>
        <v>0</v>
      </c>
      <c r="K1120" s="14">
        <f t="shared" si="656"/>
        <v>0</v>
      </c>
      <c r="L1120" s="2">
        <f t="shared" si="656"/>
        <v>0</v>
      </c>
      <c r="M1120" s="2">
        <f t="shared" si="656"/>
        <v>432</v>
      </c>
      <c r="N1120" s="2">
        <f t="shared" si="656"/>
        <v>2376000</v>
      </c>
      <c r="O1120" s="2">
        <f t="shared" si="656"/>
        <v>0</v>
      </c>
      <c r="P1120" s="2">
        <f t="shared" si="656"/>
        <v>0</v>
      </c>
      <c r="Q1120" s="2">
        <f t="shared" si="656"/>
        <v>385.5</v>
      </c>
      <c r="R1120" s="2">
        <f t="shared" si="656"/>
        <v>1156500</v>
      </c>
      <c r="S1120" s="2">
        <f t="shared" si="656"/>
        <v>0</v>
      </c>
      <c r="T1120" s="2">
        <f t="shared" si="656"/>
        <v>0</v>
      </c>
      <c r="U1120" s="2">
        <f t="shared" si="656"/>
        <v>100000</v>
      </c>
    </row>
    <row r="1121" spans="1:22" ht="23.1" customHeight="1" x14ac:dyDescent="0.25">
      <c r="A1121" s="37" t="s">
        <v>1970</v>
      </c>
      <c r="B1121" s="8" t="s">
        <v>304</v>
      </c>
      <c r="C1121" s="2">
        <f t="shared" si="633"/>
        <v>4446820</v>
      </c>
      <c r="D1121" s="3">
        <f t="shared" ref="D1121" si="657">SUM(E1121:J1121)</f>
        <v>814320</v>
      </c>
      <c r="E1121" s="3">
        <f>350*417.6</f>
        <v>146160</v>
      </c>
      <c r="F1121" s="3">
        <f>1050*417.6</f>
        <v>438480</v>
      </c>
      <c r="G1121" s="3">
        <f>300*417.6</f>
        <v>125280</v>
      </c>
      <c r="H1121" s="3">
        <f>400*0</f>
        <v>0</v>
      </c>
      <c r="I1121" s="3">
        <f>250*417.6</f>
        <v>104400</v>
      </c>
      <c r="J1121" s="3">
        <f>350*0</f>
        <v>0</v>
      </c>
      <c r="K1121" s="4">
        <v>0</v>
      </c>
      <c r="L1121" s="3">
        <v>0</v>
      </c>
      <c r="M1121" s="3">
        <v>432</v>
      </c>
      <c r="N1121" s="3">
        <f>M1121*5500</f>
        <v>2376000</v>
      </c>
      <c r="O1121" s="3">
        <v>0</v>
      </c>
      <c r="P1121" s="3">
        <v>0</v>
      </c>
      <c r="Q1121" s="3">
        <v>385.5</v>
      </c>
      <c r="R1121" s="3">
        <f>Q1121*3000</f>
        <v>1156500</v>
      </c>
      <c r="S1121" s="3">
        <v>0</v>
      </c>
      <c r="T1121" s="3">
        <v>0</v>
      </c>
      <c r="U1121" s="3">
        <v>100000</v>
      </c>
      <c r="V1121" s="6">
        <f t="shared" ref="V1121" si="658">N1121/M1121</f>
        <v>5500</v>
      </c>
    </row>
    <row r="1122" spans="1:22" ht="42.95" customHeight="1" x14ac:dyDescent="0.25">
      <c r="A1122" s="56" t="s">
        <v>1549</v>
      </c>
      <c r="B1122" s="56"/>
      <c r="C1122" s="2">
        <f>SUM(C1123)</f>
        <v>7401600</v>
      </c>
      <c r="D1122" s="2">
        <f t="shared" ref="D1122:U1122" si="659">SUM(D1123)</f>
        <v>7301600</v>
      </c>
      <c r="E1122" s="2">
        <f t="shared" si="659"/>
        <v>0</v>
      </c>
      <c r="F1122" s="2">
        <f t="shared" si="659"/>
        <v>3833340</v>
      </c>
      <c r="G1122" s="2">
        <f t="shared" si="659"/>
        <v>1095240</v>
      </c>
      <c r="H1122" s="2">
        <f t="shared" si="659"/>
        <v>1460320</v>
      </c>
      <c r="I1122" s="2">
        <f t="shared" si="659"/>
        <v>912700</v>
      </c>
      <c r="J1122" s="2">
        <f t="shared" si="659"/>
        <v>0</v>
      </c>
      <c r="K1122" s="14">
        <f t="shared" si="659"/>
        <v>0</v>
      </c>
      <c r="L1122" s="2">
        <f t="shared" si="659"/>
        <v>0</v>
      </c>
      <c r="M1122" s="2">
        <f t="shared" si="659"/>
        <v>0</v>
      </c>
      <c r="N1122" s="2">
        <f t="shared" si="659"/>
        <v>0</v>
      </c>
      <c r="O1122" s="2">
        <f t="shared" si="659"/>
        <v>0</v>
      </c>
      <c r="P1122" s="2">
        <f t="shared" si="659"/>
        <v>0</v>
      </c>
      <c r="Q1122" s="2">
        <f t="shared" si="659"/>
        <v>0</v>
      </c>
      <c r="R1122" s="2">
        <f t="shared" si="659"/>
        <v>0</v>
      </c>
      <c r="S1122" s="2">
        <f t="shared" si="659"/>
        <v>0</v>
      </c>
      <c r="T1122" s="2">
        <f t="shared" si="659"/>
        <v>0</v>
      </c>
      <c r="U1122" s="2">
        <f t="shared" si="659"/>
        <v>100000</v>
      </c>
    </row>
    <row r="1123" spans="1:22" ht="23.1" customHeight="1" x14ac:dyDescent="0.25">
      <c r="A1123" s="37" t="s">
        <v>1971</v>
      </c>
      <c r="B1123" s="8" t="s">
        <v>1550</v>
      </c>
      <c r="C1123" s="2">
        <f t="shared" si="633"/>
        <v>7401600</v>
      </c>
      <c r="D1123" s="3">
        <f t="shared" ref="D1123" si="660">SUM(E1123:J1123)</f>
        <v>7301600</v>
      </c>
      <c r="E1123" s="3">
        <f>350*0</f>
        <v>0</v>
      </c>
      <c r="F1123" s="3">
        <f>1050*3650.8</f>
        <v>3833340</v>
      </c>
      <c r="G1123" s="3">
        <f>300*3650.8</f>
        <v>1095240</v>
      </c>
      <c r="H1123" s="3">
        <f>400*3650.8</f>
        <v>1460320</v>
      </c>
      <c r="I1123" s="3">
        <f>250*3650.8</f>
        <v>912700</v>
      </c>
      <c r="J1123" s="3">
        <v>0</v>
      </c>
      <c r="K1123" s="4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100000</v>
      </c>
      <c r="V1123" s="6" t="e">
        <f t="shared" ref="V1123" si="661">N1123/M1123</f>
        <v>#DIV/0!</v>
      </c>
    </row>
    <row r="1124" spans="1:22" ht="42.95" customHeight="1" x14ac:dyDescent="0.25">
      <c r="A1124" s="56" t="s">
        <v>284</v>
      </c>
      <c r="B1124" s="56"/>
      <c r="C1124" s="2">
        <f>SUM(C1125)</f>
        <v>3956730</v>
      </c>
      <c r="D1124" s="2">
        <f t="shared" ref="D1124:U1124" si="662">SUM(D1125)</f>
        <v>887830</v>
      </c>
      <c r="E1124" s="2">
        <f t="shared" si="662"/>
        <v>132230</v>
      </c>
      <c r="F1124" s="2">
        <f t="shared" si="662"/>
        <v>396690</v>
      </c>
      <c r="G1124" s="2">
        <f t="shared" si="662"/>
        <v>113340</v>
      </c>
      <c r="H1124" s="2">
        <f t="shared" si="662"/>
        <v>151120</v>
      </c>
      <c r="I1124" s="2">
        <f t="shared" si="662"/>
        <v>94450</v>
      </c>
      <c r="J1124" s="2">
        <f t="shared" si="662"/>
        <v>0</v>
      </c>
      <c r="K1124" s="14">
        <f t="shared" si="662"/>
        <v>0</v>
      </c>
      <c r="L1124" s="2">
        <f t="shared" si="662"/>
        <v>0</v>
      </c>
      <c r="M1124" s="2">
        <f t="shared" si="662"/>
        <v>377.8</v>
      </c>
      <c r="N1124" s="2">
        <f t="shared" si="662"/>
        <v>2077900</v>
      </c>
      <c r="O1124" s="2">
        <f t="shared" si="662"/>
        <v>0</v>
      </c>
      <c r="P1124" s="2">
        <f t="shared" si="662"/>
        <v>0</v>
      </c>
      <c r="Q1124" s="2">
        <f t="shared" si="662"/>
        <v>297</v>
      </c>
      <c r="R1124" s="2">
        <f t="shared" si="662"/>
        <v>891000</v>
      </c>
      <c r="S1124" s="2">
        <f t="shared" si="662"/>
        <v>0</v>
      </c>
      <c r="T1124" s="2">
        <f t="shared" si="662"/>
        <v>0</v>
      </c>
      <c r="U1124" s="2">
        <f t="shared" si="662"/>
        <v>100000</v>
      </c>
      <c r="V1124" s="18">
        <f>C1124</f>
        <v>3956730</v>
      </c>
    </row>
    <row r="1125" spans="1:22" ht="23.1" customHeight="1" x14ac:dyDescent="0.25">
      <c r="A1125" s="37" t="s">
        <v>1972</v>
      </c>
      <c r="B1125" s="8" t="s">
        <v>285</v>
      </c>
      <c r="C1125" s="2">
        <f t="shared" si="633"/>
        <v>3956730</v>
      </c>
      <c r="D1125" s="3">
        <f t="shared" ref="D1125" si="663">SUM(E1125:J1125)</f>
        <v>887830</v>
      </c>
      <c r="E1125" s="3">
        <f>350*377.8</f>
        <v>132230</v>
      </c>
      <c r="F1125" s="3">
        <f>1050*377.8</f>
        <v>396690</v>
      </c>
      <c r="G1125" s="3">
        <f>300*377.8</f>
        <v>113340</v>
      </c>
      <c r="H1125" s="3">
        <f>400*377.8</f>
        <v>151120</v>
      </c>
      <c r="I1125" s="3">
        <f>250*377.8</f>
        <v>94450</v>
      </c>
      <c r="J1125" s="3">
        <v>0</v>
      </c>
      <c r="K1125" s="4">
        <v>0</v>
      </c>
      <c r="L1125" s="3">
        <v>0</v>
      </c>
      <c r="M1125" s="3">
        <v>377.8</v>
      </c>
      <c r="N1125" s="3">
        <f t="shared" ref="N1125" si="664">M1125*5500</f>
        <v>2077900</v>
      </c>
      <c r="O1125" s="3">
        <v>0</v>
      </c>
      <c r="P1125" s="3">
        <v>0</v>
      </c>
      <c r="Q1125" s="3">
        <v>297</v>
      </c>
      <c r="R1125" s="3">
        <f t="shared" ref="R1125" si="665">Q1125*3000</f>
        <v>891000</v>
      </c>
      <c r="S1125" s="3">
        <v>0</v>
      </c>
      <c r="T1125" s="3">
        <v>0</v>
      </c>
      <c r="U1125" s="3">
        <v>100000</v>
      </c>
      <c r="V1125" s="6">
        <f t="shared" ref="V1125" si="666">N1125/M1125</f>
        <v>5500</v>
      </c>
    </row>
    <row r="1126" spans="1:22" ht="42.95" customHeight="1" x14ac:dyDescent="0.25">
      <c r="A1126" s="56" t="s">
        <v>286</v>
      </c>
      <c r="B1126" s="56"/>
      <c r="C1126" s="2">
        <f>SUM(C1127:C1129)</f>
        <v>6966975</v>
      </c>
      <c r="D1126" s="2">
        <f t="shared" ref="D1126:U1126" si="667">SUM(D1127:D1129)</f>
        <v>992875</v>
      </c>
      <c r="E1126" s="2">
        <f t="shared" si="667"/>
        <v>147875</v>
      </c>
      <c r="F1126" s="2">
        <f t="shared" si="667"/>
        <v>443625</v>
      </c>
      <c r="G1126" s="2">
        <f t="shared" si="667"/>
        <v>126750</v>
      </c>
      <c r="H1126" s="2">
        <f t="shared" si="667"/>
        <v>169000</v>
      </c>
      <c r="I1126" s="2">
        <f t="shared" si="667"/>
        <v>105625</v>
      </c>
      <c r="J1126" s="2">
        <f t="shared" si="667"/>
        <v>0</v>
      </c>
      <c r="K1126" s="14">
        <f t="shared" si="667"/>
        <v>0</v>
      </c>
      <c r="L1126" s="2">
        <f t="shared" si="667"/>
        <v>0</v>
      </c>
      <c r="M1126" s="2">
        <f t="shared" si="667"/>
        <v>866.2</v>
      </c>
      <c r="N1126" s="2">
        <f t="shared" si="667"/>
        <v>4764100</v>
      </c>
      <c r="O1126" s="2">
        <f t="shared" si="667"/>
        <v>0</v>
      </c>
      <c r="P1126" s="2">
        <f t="shared" si="667"/>
        <v>0</v>
      </c>
      <c r="Q1126" s="2">
        <f t="shared" si="667"/>
        <v>370</v>
      </c>
      <c r="R1126" s="2">
        <f t="shared" si="667"/>
        <v>1110000</v>
      </c>
      <c r="S1126" s="2">
        <f t="shared" si="667"/>
        <v>0</v>
      </c>
      <c r="T1126" s="2">
        <f t="shared" si="667"/>
        <v>0</v>
      </c>
      <c r="U1126" s="2">
        <f t="shared" si="667"/>
        <v>100000</v>
      </c>
    </row>
    <row r="1127" spans="1:22" ht="23.1" customHeight="1" x14ac:dyDescent="0.25">
      <c r="A1127" s="37" t="s">
        <v>1973</v>
      </c>
      <c r="B1127" s="8" t="s">
        <v>308</v>
      </c>
      <c r="C1127" s="2">
        <f t="shared" si="633"/>
        <v>1574100</v>
      </c>
      <c r="D1127" s="3">
        <f t="shared" ref="D1127:D1129" si="668">SUM(E1127:J1127)</f>
        <v>0</v>
      </c>
      <c r="E1127" s="3">
        <v>0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4">
        <v>0</v>
      </c>
      <c r="L1127" s="3">
        <v>0</v>
      </c>
      <c r="M1127" s="3">
        <v>286.2</v>
      </c>
      <c r="N1127" s="3">
        <f t="shared" ref="N1127:N1129" si="669">M1127*5500</f>
        <v>1574100</v>
      </c>
      <c r="O1127" s="3">
        <v>0</v>
      </c>
      <c r="P1127" s="3">
        <v>0</v>
      </c>
      <c r="Q1127" s="3">
        <v>0</v>
      </c>
      <c r="R1127" s="3">
        <f t="shared" ref="R1127:R1129" si="670">Q1127*3000</f>
        <v>0</v>
      </c>
      <c r="S1127" s="3">
        <v>0</v>
      </c>
      <c r="T1127" s="3">
        <v>0</v>
      </c>
      <c r="U1127" s="3">
        <v>0</v>
      </c>
      <c r="V1127" s="6">
        <f t="shared" ref="V1127:V1129" si="671">N1127/M1127</f>
        <v>5500</v>
      </c>
    </row>
    <row r="1128" spans="1:22" ht="23.1" customHeight="1" x14ac:dyDescent="0.25">
      <c r="A1128" s="37" t="s">
        <v>1974</v>
      </c>
      <c r="B1128" s="8" t="s">
        <v>834</v>
      </c>
      <c r="C1128" s="2">
        <f t="shared" si="633"/>
        <v>3797875</v>
      </c>
      <c r="D1128" s="3">
        <f t="shared" si="668"/>
        <v>992875</v>
      </c>
      <c r="E1128" s="3">
        <f>350*422.5</f>
        <v>147875</v>
      </c>
      <c r="F1128" s="3">
        <f>1050*422.5</f>
        <v>443625</v>
      </c>
      <c r="G1128" s="3">
        <f>300*422.5</f>
        <v>126750</v>
      </c>
      <c r="H1128" s="3">
        <f>400*422.5</f>
        <v>169000</v>
      </c>
      <c r="I1128" s="3">
        <f>250*422.5</f>
        <v>105625</v>
      </c>
      <c r="J1128" s="3">
        <v>0</v>
      </c>
      <c r="K1128" s="4">
        <v>0</v>
      </c>
      <c r="L1128" s="3">
        <v>0</v>
      </c>
      <c r="M1128" s="3">
        <v>290</v>
      </c>
      <c r="N1128" s="3">
        <f t="shared" si="669"/>
        <v>1595000</v>
      </c>
      <c r="O1128" s="3">
        <v>0</v>
      </c>
      <c r="P1128" s="3">
        <v>0</v>
      </c>
      <c r="Q1128" s="3">
        <v>370</v>
      </c>
      <c r="R1128" s="3">
        <f t="shared" si="670"/>
        <v>1110000</v>
      </c>
      <c r="S1128" s="3">
        <v>0</v>
      </c>
      <c r="T1128" s="3">
        <v>0</v>
      </c>
      <c r="U1128" s="3">
        <v>100000</v>
      </c>
      <c r="V1128" s="6">
        <f t="shared" si="671"/>
        <v>5500</v>
      </c>
    </row>
    <row r="1129" spans="1:22" ht="23.1" customHeight="1" x14ac:dyDescent="0.25">
      <c r="A1129" s="37" t="s">
        <v>1975</v>
      </c>
      <c r="B1129" s="8" t="s">
        <v>835</v>
      </c>
      <c r="C1129" s="2">
        <f t="shared" si="633"/>
        <v>1595000</v>
      </c>
      <c r="D1129" s="3">
        <f t="shared" si="668"/>
        <v>0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4">
        <v>0</v>
      </c>
      <c r="L1129" s="3">
        <v>0</v>
      </c>
      <c r="M1129" s="3">
        <v>290</v>
      </c>
      <c r="N1129" s="3">
        <f t="shared" si="669"/>
        <v>1595000</v>
      </c>
      <c r="O1129" s="3">
        <v>0</v>
      </c>
      <c r="P1129" s="3">
        <v>0</v>
      </c>
      <c r="Q1129" s="3">
        <v>0</v>
      </c>
      <c r="R1129" s="3">
        <f t="shared" si="670"/>
        <v>0</v>
      </c>
      <c r="S1129" s="3">
        <v>0</v>
      </c>
      <c r="T1129" s="3">
        <v>0</v>
      </c>
      <c r="U1129" s="3">
        <v>0</v>
      </c>
      <c r="V1129" s="6">
        <f t="shared" si="671"/>
        <v>5500</v>
      </c>
    </row>
    <row r="1130" spans="1:22" ht="42.95" customHeight="1" x14ac:dyDescent="0.25">
      <c r="A1130" s="56" t="s">
        <v>291</v>
      </c>
      <c r="B1130" s="56"/>
      <c r="C1130" s="2">
        <f>SUM(C1131:C1132)</f>
        <v>9376875</v>
      </c>
      <c r="D1130" s="2">
        <f t="shared" ref="D1130:U1130" si="672">SUM(D1131:D1132)</f>
        <v>992875</v>
      </c>
      <c r="E1130" s="2">
        <f t="shared" si="672"/>
        <v>147875</v>
      </c>
      <c r="F1130" s="2">
        <f t="shared" si="672"/>
        <v>443625</v>
      </c>
      <c r="G1130" s="2">
        <f t="shared" si="672"/>
        <v>126750</v>
      </c>
      <c r="H1130" s="2">
        <f t="shared" si="672"/>
        <v>169000</v>
      </c>
      <c r="I1130" s="2">
        <f t="shared" si="672"/>
        <v>105625</v>
      </c>
      <c r="J1130" s="2">
        <f t="shared" si="672"/>
        <v>0</v>
      </c>
      <c r="K1130" s="14">
        <f t="shared" si="672"/>
        <v>0</v>
      </c>
      <c r="L1130" s="2">
        <f t="shared" si="672"/>
        <v>0</v>
      </c>
      <c r="M1130" s="2">
        <f t="shared" si="672"/>
        <v>622</v>
      </c>
      <c r="N1130" s="2">
        <f t="shared" si="672"/>
        <v>3421000</v>
      </c>
      <c r="O1130" s="2">
        <f t="shared" si="672"/>
        <v>0</v>
      </c>
      <c r="P1130" s="2">
        <f t="shared" si="672"/>
        <v>0</v>
      </c>
      <c r="Q1130" s="2">
        <f t="shared" si="672"/>
        <v>1621</v>
      </c>
      <c r="R1130" s="2">
        <f t="shared" si="672"/>
        <v>4863000</v>
      </c>
      <c r="S1130" s="2">
        <f t="shared" si="672"/>
        <v>0</v>
      </c>
      <c r="T1130" s="2">
        <f t="shared" si="672"/>
        <v>0</v>
      </c>
      <c r="U1130" s="2">
        <f t="shared" si="672"/>
        <v>100000</v>
      </c>
    </row>
    <row r="1131" spans="1:22" ht="24.95" customHeight="1" x14ac:dyDescent="0.25">
      <c r="A1131" s="37" t="s">
        <v>1976</v>
      </c>
      <c r="B1131" s="8" t="s">
        <v>294</v>
      </c>
      <c r="C1131" s="2">
        <f t="shared" si="633"/>
        <v>4113000</v>
      </c>
      <c r="D1131" s="3">
        <f t="shared" ref="D1131:D1132" si="673">SUM(E1131:J1131)</f>
        <v>0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4">
        <v>0</v>
      </c>
      <c r="L1131" s="3">
        <v>0</v>
      </c>
      <c r="M1131" s="3">
        <v>300</v>
      </c>
      <c r="N1131" s="3">
        <f t="shared" ref="N1131:N1132" si="674">M1131*5500</f>
        <v>1650000</v>
      </c>
      <c r="O1131" s="3">
        <v>0</v>
      </c>
      <c r="P1131" s="3">
        <v>0</v>
      </c>
      <c r="Q1131" s="3">
        <v>821</v>
      </c>
      <c r="R1131" s="3">
        <f t="shared" ref="R1131:R1132" si="675">Q1131*3000</f>
        <v>2463000</v>
      </c>
      <c r="S1131" s="3">
        <v>0</v>
      </c>
      <c r="T1131" s="3">
        <v>0</v>
      </c>
      <c r="U1131" s="3">
        <v>0</v>
      </c>
      <c r="V1131" s="6">
        <f t="shared" ref="V1131:V1132" si="676">N1131/M1131</f>
        <v>5500</v>
      </c>
    </row>
    <row r="1132" spans="1:22" ht="24.95" customHeight="1" x14ac:dyDescent="0.25">
      <c r="A1132" s="37" t="s">
        <v>1980</v>
      </c>
      <c r="B1132" s="8" t="s">
        <v>295</v>
      </c>
      <c r="C1132" s="2">
        <f t="shared" si="633"/>
        <v>5263875</v>
      </c>
      <c r="D1132" s="3">
        <f t="shared" si="673"/>
        <v>992875</v>
      </c>
      <c r="E1132" s="3">
        <f>350*422.5</f>
        <v>147875</v>
      </c>
      <c r="F1132" s="3">
        <f>1050*422.5</f>
        <v>443625</v>
      </c>
      <c r="G1132" s="3">
        <f>300*422.5</f>
        <v>126750</v>
      </c>
      <c r="H1132" s="3">
        <f>400*422.5</f>
        <v>169000</v>
      </c>
      <c r="I1132" s="3">
        <f>250*422.5</f>
        <v>105625</v>
      </c>
      <c r="J1132" s="3">
        <v>0</v>
      </c>
      <c r="K1132" s="4">
        <v>0</v>
      </c>
      <c r="L1132" s="3">
        <v>0</v>
      </c>
      <c r="M1132" s="3">
        <v>322</v>
      </c>
      <c r="N1132" s="3">
        <f t="shared" si="674"/>
        <v>1771000</v>
      </c>
      <c r="O1132" s="3">
        <v>0</v>
      </c>
      <c r="P1132" s="3">
        <v>0</v>
      </c>
      <c r="Q1132" s="3">
        <v>800</v>
      </c>
      <c r="R1132" s="3">
        <f t="shared" si="675"/>
        <v>2400000</v>
      </c>
      <c r="S1132" s="3">
        <v>0</v>
      </c>
      <c r="T1132" s="3">
        <v>0</v>
      </c>
      <c r="U1132" s="3">
        <v>100000</v>
      </c>
      <c r="V1132" s="6">
        <f t="shared" si="676"/>
        <v>5500</v>
      </c>
    </row>
    <row r="1133" spans="1:22" ht="42.95" customHeight="1" x14ac:dyDescent="0.25">
      <c r="A1133" s="56" t="s">
        <v>314</v>
      </c>
      <c r="B1133" s="56"/>
      <c r="C1133" s="2">
        <f>SUM(C1134:C1135)</f>
        <v>6682100</v>
      </c>
      <c r="D1133" s="2">
        <f t="shared" ref="D1133:U1133" si="677">SUM(D1134:D1135)</f>
        <v>267400</v>
      </c>
      <c r="E1133" s="2">
        <f t="shared" si="677"/>
        <v>267400</v>
      </c>
      <c r="F1133" s="2">
        <f t="shared" si="677"/>
        <v>0</v>
      </c>
      <c r="G1133" s="2">
        <f t="shared" si="677"/>
        <v>0</v>
      </c>
      <c r="H1133" s="2">
        <f t="shared" si="677"/>
        <v>0</v>
      </c>
      <c r="I1133" s="2">
        <f t="shared" si="677"/>
        <v>0</v>
      </c>
      <c r="J1133" s="2">
        <f t="shared" si="677"/>
        <v>0</v>
      </c>
      <c r="K1133" s="14">
        <f t="shared" si="677"/>
        <v>0</v>
      </c>
      <c r="L1133" s="2">
        <f t="shared" si="677"/>
        <v>0</v>
      </c>
      <c r="M1133" s="2">
        <f t="shared" si="677"/>
        <v>608</v>
      </c>
      <c r="N1133" s="2">
        <f t="shared" si="677"/>
        <v>3344000</v>
      </c>
      <c r="O1133" s="2">
        <f t="shared" si="677"/>
        <v>0</v>
      </c>
      <c r="P1133" s="2">
        <f t="shared" si="677"/>
        <v>0</v>
      </c>
      <c r="Q1133" s="2">
        <f t="shared" si="677"/>
        <v>882</v>
      </c>
      <c r="R1133" s="2">
        <f t="shared" si="677"/>
        <v>2646000</v>
      </c>
      <c r="S1133" s="2">
        <f t="shared" si="677"/>
        <v>224700</v>
      </c>
      <c r="T1133" s="2">
        <f t="shared" si="677"/>
        <v>0</v>
      </c>
      <c r="U1133" s="2">
        <f t="shared" si="677"/>
        <v>200000</v>
      </c>
    </row>
    <row r="1134" spans="1:22" ht="24.95" customHeight="1" x14ac:dyDescent="0.25">
      <c r="A1134" s="36" t="s">
        <v>1981</v>
      </c>
      <c r="B1134" s="8" t="s">
        <v>317</v>
      </c>
      <c r="C1134" s="2">
        <f t="shared" si="633"/>
        <v>3156300</v>
      </c>
      <c r="D1134" s="3">
        <f t="shared" ref="D1134:D1135" si="678">SUM(E1134:J1134)</f>
        <v>107800</v>
      </c>
      <c r="E1134" s="5">
        <f>308*350</f>
        <v>107800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11">
        <v>0</v>
      </c>
      <c r="L1134" s="5">
        <v>0</v>
      </c>
      <c r="M1134" s="5">
        <v>280</v>
      </c>
      <c r="N1134" s="3">
        <f t="shared" ref="N1134:N1135" si="679">M1134*5500</f>
        <v>1540000</v>
      </c>
      <c r="O1134" s="5">
        <v>0</v>
      </c>
      <c r="P1134" s="5">
        <v>0</v>
      </c>
      <c r="Q1134" s="5">
        <v>431</v>
      </c>
      <c r="R1134" s="3">
        <f t="shared" ref="R1134:R1135" si="680">Q1134*3000</f>
        <v>1293000</v>
      </c>
      <c r="S1134" s="5">
        <v>115500</v>
      </c>
      <c r="T1134" s="5">
        <v>0</v>
      </c>
      <c r="U1134" s="5">
        <v>100000</v>
      </c>
      <c r="V1134" s="6">
        <f t="shared" ref="V1134" si="681">N1134/M1134</f>
        <v>5500</v>
      </c>
    </row>
    <row r="1135" spans="1:22" ht="24.95" customHeight="1" x14ac:dyDescent="0.25">
      <c r="A1135" s="36" t="s">
        <v>1982</v>
      </c>
      <c r="B1135" s="8" t="s">
        <v>319</v>
      </c>
      <c r="C1135" s="2">
        <f t="shared" si="633"/>
        <v>3525800</v>
      </c>
      <c r="D1135" s="3">
        <f t="shared" si="678"/>
        <v>159600</v>
      </c>
      <c r="E1135" s="5">
        <f>456*350</f>
        <v>159600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11">
        <v>0</v>
      </c>
      <c r="L1135" s="5">
        <v>0</v>
      </c>
      <c r="M1135" s="5">
        <v>328</v>
      </c>
      <c r="N1135" s="3">
        <f t="shared" si="679"/>
        <v>1804000</v>
      </c>
      <c r="O1135" s="5">
        <v>0</v>
      </c>
      <c r="P1135" s="5">
        <v>0</v>
      </c>
      <c r="Q1135" s="5">
        <v>451</v>
      </c>
      <c r="R1135" s="3">
        <f t="shared" si="680"/>
        <v>1353000</v>
      </c>
      <c r="S1135" s="5">
        <v>109200</v>
      </c>
      <c r="T1135" s="5">
        <v>0</v>
      </c>
      <c r="U1135" s="5">
        <v>100000</v>
      </c>
      <c r="V1135" s="6">
        <f>N1135/M1135</f>
        <v>5500</v>
      </c>
    </row>
    <row r="1136" spans="1:22" ht="42.95" customHeight="1" x14ac:dyDescent="0.25">
      <c r="A1136" s="56" t="s">
        <v>320</v>
      </c>
      <c r="B1136" s="56"/>
      <c r="C1136" s="2">
        <f>SUM(C1137)</f>
        <v>2700450</v>
      </c>
      <c r="D1136" s="2">
        <f t="shared" ref="D1136:U1136" si="682">SUM(D1137)</f>
        <v>0</v>
      </c>
      <c r="E1136" s="2">
        <f t="shared" si="682"/>
        <v>0</v>
      </c>
      <c r="F1136" s="2">
        <f t="shared" si="682"/>
        <v>0</v>
      </c>
      <c r="G1136" s="2">
        <f t="shared" si="682"/>
        <v>0</v>
      </c>
      <c r="H1136" s="2">
        <f t="shared" si="682"/>
        <v>0</v>
      </c>
      <c r="I1136" s="2">
        <f t="shared" si="682"/>
        <v>0</v>
      </c>
      <c r="J1136" s="2">
        <f t="shared" si="682"/>
        <v>0</v>
      </c>
      <c r="K1136" s="14">
        <f t="shared" si="682"/>
        <v>0</v>
      </c>
      <c r="L1136" s="2">
        <f t="shared" si="682"/>
        <v>0</v>
      </c>
      <c r="M1136" s="2">
        <f t="shared" si="682"/>
        <v>321.89999999999998</v>
      </c>
      <c r="N1136" s="2">
        <f t="shared" si="682"/>
        <v>1770449.9999999998</v>
      </c>
      <c r="O1136" s="2">
        <f t="shared" si="682"/>
        <v>0</v>
      </c>
      <c r="P1136" s="2">
        <f t="shared" si="682"/>
        <v>0</v>
      </c>
      <c r="Q1136" s="2">
        <f t="shared" si="682"/>
        <v>310</v>
      </c>
      <c r="R1136" s="2">
        <f t="shared" si="682"/>
        <v>930000</v>
      </c>
      <c r="S1136" s="2">
        <f t="shared" si="682"/>
        <v>0</v>
      </c>
      <c r="T1136" s="2">
        <f t="shared" si="682"/>
        <v>0</v>
      </c>
      <c r="U1136" s="2">
        <f t="shared" si="682"/>
        <v>0</v>
      </c>
      <c r="V1136" s="18">
        <f>C1136</f>
        <v>2700450</v>
      </c>
    </row>
    <row r="1137" spans="1:22" ht="24.95" customHeight="1" x14ac:dyDescent="0.25">
      <c r="A1137" s="36" t="s">
        <v>1983</v>
      </c>
      <c r="B1137" s="8" t="s">
        <v>321</v>
      </c>
      <c r="C1137" s="2">
        <f t="shared" si="633"/>
        <v>2700450</v>
      </c>
      <c r="D1137" s="3">
        <f t="shared" ref="D1137" si="683">SUM(E1137:J1137)</f>
        <v>0</v>
      </c>
      <c r="E1137" s="3">
        <v>0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4">
        <v>0</v>
      </c>
      <c r="L1137" s="3">
        <v>0</v>
      </c>
      <c r="M1137" s="3">
        <v>321.89999999999998</v>
      </c>
      <c r="N1137" s="3">
        <f>M1137*5500</f>
        <v>1770449.9999999998</v>
      </c>
      <c r="O1137" s="3">
        <v>0</v>
      </c>
      <c r="P1137" s="3">
        <v>0</v>
      </c>
      <c r="Q1137" s="42">
        <v>310</v>
      </c>
      <c r="R1137" s="3">
        <f>Q1137*3000</f>
        <v>930000</v>
      </c>
      <c r="S1137" s="3">
        <v>0</v>
      </c>
      <c r="T1137" s="3">
        <v>0</v>
      </c>
      <c r="U1137" s="3">
        <v>0</v>
      </c>
      <c r="V1137" s="6">
        <f t="shared" ref="V1137" si="684">N1137/M1137</f>
        <v>5500</v>
      </c>
    </row>
    <row r="1138" spans="1:22" ht="42.95" customHeight="1" x14ac:dyDescent="0.25">
      <c r="A1138" s="56" t="s">
        <v>1164</v>
      </c>
      <c r="B1138" s="56"/>
      <c r="C1138" s="2">
        <f>SUM(C1139)</f>
        <v>3799150</v>
      </c>
      <c r="D1138" s="2">
        <f t="shared" ref="D1138:U1138" si="685">SUM(D1139)</f>
        <v>3699150</v>
      </c>
      <c r="E1138" s="2">
        <f t="shared" si="685"/>
        <v>663950</v>
      </c>
      <c r="F1138" s="2">
        <f t="shared" si="685"/>
        <v>1991850</v>
      </c>
      <c r="G1138" s="2">
        <f t="shared" si="685"/>
        <v>569100</v>
      </c>
      <c r="H1138" s="2">
        <f t="shared" si="685"/>
        <v>0</v>
      </c>
      <c r="I1138" s="2">
        <f t="shared" si="685"/>
        <v>474250</v>
      </c>
      <c r="J1138" s="2">
        <f t="shared" si="685"/>
        <v>0</v>
      </c>
      <c r="K1138" s="14">
        <f t="shared" si="685"/>
        <v>0</v>
      </c>
      <c r="L1138" s="2">
        <f t="shared" si="685"/>
        <v>0</v>
      </c>
      <c r="M1138" s="2">
        <f t="shared" si="685"/>
        <v>0</v>
      </c>
      <c r="N1138" s="2">
        <f t="shared" si="685"/>
        <v>0</v>
      </c>
      <c r="O1138" s="2">
        <f t="shared" si="685"/>
        <v>0</v>
      </c>
      <c r="P1138" s="2">
        <f t="shared" si="685"/>
        <v>0</v>
      </c>
      <c r="Q1138" s="2">
        <f t="shared" si="685"/>
        <v>0</v>
      </c>
      <c r="R1138" s="2">
        <f t="shared" si="685"/>
        <v>0</v>
      </c>
      <c r="S1138" s="2">
        <f t="shared" si="685"/>
        <v>0</v>
      </c>
      <c r="T1138" s="2">
        <f t="shared" si="685"/>
        <v>0</v>
      </c>
      <c r="U1138" s="2">
        <f t="shared" si="685"/>
        <v>100000</v>
      </c>
      <c r="V1138" s="18">
        <f>C1138</f>
        <v>3799150</v>
      </c>
    </row>
    <row r="1139" spans="1:22" ht="24.95" customHeight="1" x14ac:dyDescent="0.25">
      <c r="A1139" s="37" t="s">
        <v>1984</v>
      </c>
      <c r="B1139" s="8" t="s">
        <v>324</v>
      </c>
      <c r="C1139" s="2">
        <f t="shared" si="633"/>
        <v>3799150</v>
      </c>
      <c r="D1139" s="3">
        <f t="shared" ref="D1139" si="686">SUM(E1139:J1139)</f>
        <v>3699150</v>
      </c>
      <c r="E1139" s="3">
        <f>350*1897</f>
        <v>663950</v>
      </c>
      <c r="F1139" s="3">
        <f>1050*1897</f>
        <v>1991850</v>
      </c>
      <c r="G1139" s="3">
        <f>300*1897</f>
        <v>569100</v>
      </c>
      <c r="H1139" s="3">
        <f>400*0</f>
        <v>0</v>
      </c>
      <c r="I1139" s="3">
        <f>250*1897</f>
        <v>474250</v>
      </c>
      <c r="J1139" s="3">
        <v>0</v>
      </c>
      <c r="K1139" s="4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100000</v>
      </c>
      <c r="V1139" s="6" t="e">
        <f t="shared" ref="V1139" si="687">N1139/M1139</f>
        <v>#DIV/0!</v>
      </c>
    </row>
    <row r="1140" spans="1:22" ht="42.95" customHeight="1" x14ac:dyDescent="0.25">
      <c r="A1140" s="56" t="s">
        <v>1163</v>
      </c>
      <c r="B1140" s="56"/>
      <c r="C1140" s="2">
        <f>SUM(C1141)</f>
        <v>2248490</v>
      </c>
      <c r="D1140" s="2">
        <f t="shared" ref="D1140:U1140" si="688">SUM(D1141)</f>
        <v>121589.99999999999</v>
      </c>
      <c r="E1140" s="2">
        <f t="shared" si="688"/>
        <v>121589.99999999999</v>
      </c>
      <c r="F1140" s="2">
        <f t="shared" si="688"/>
        <v>0</v>
      </c>
      <c r="G1140" s="2">
        <f t="shared" si="688"/>
        <v>0</v>
      </c>
      <c r="H1140" s="2">
        <f t="shared" si="688"/>
        <v>0</v>
      </c>
      <c r="I1140" s="2">
        <f t="shared" si="688"/>
        <v>0</v>
      </c>
      <c r="J1140" s="2">
        <f t="shared" si="688"/>
        <v>0</v>
      </c>
      <c r="K1140" s="14">
        <f t="shared" si="688"/>
        <v>0</v>
      </c>
      <c r="L1140" s="2">
        <f t="shared" si="688"/>
        <v>0</v>
      </c>
      <c r="M1140" s="2">
        <f t="shared" si="688"/>
        <v>235</v>
      </c>
      <c r="N1140" s="2">
        <f t="shared" si="688"/>
        <v>1292500</v>
      </c>
      <c r="O1140" s="2">
        <f t="shared" si="688"/>
        <v>0</v>
      </c>
      <c r="P1140" s="2">
        <f t="shared" si="688"/>
        <v>0</v>
      </c>
      <c r="Q1140" s="2">
        <f t="shared" si="688"/>
        <v>244.8</v>
      </c>
      <c r="R1140" s="2">
        <f t="shared" si="688"/>
        <v>734400</v>
      </c>
      <c r="S1140" s="2">
        <f t="shared" si="688"/>
        <v>0</v>
      </c>
      <c r="T1140" s="2">
        <f t="shared" si="688"/>
        <v>0</v>
      </c>
      <c r="U1140" s="2">
        <f t="shared" si="688"/>
        <v>100000</v>
      </c>
    </row>
    <row r="1141" spans="1:22" ht="24.95" customHeight="1" x14ac:dyDescent="0.25">
      <c r="A1141" s="37" t="s">
        <v>1985</v>
      </c>
      <c r="B1141" s="8" t="s">
        <v>322</v>
      </c>
      <c r="C1141" s="2">
        <f t="shared" ref="C1141:C1167" si="689">D1141+L1141+N1141+P1141+R1141+S1141+T1141+U1141</f>
        <v>2248490</v>
      </c>
      <c r="D1141" s="3">
        <f t="shared" ref="D1141" si="690">SUM(E1141:J1141)</f>
        <v>121589.99999999999</v>
      </c>
      <c r="E1141" s="3">
        <f>350*347.4</f>
        <v>121589.99999999999</v>
      </c>
      <c r="F1141" s="3">
        <f>1050*0</f>
        <v>0</v>
      </c>
      <c r="G1141" s="3">
        <f>300*0</f>
        <v>0</v>
      </c>
      <c r="H1141" s="3">
        <f>400*0</f>
        <v>0</v>
      </c>
      <c r="I1141" s="3">
        <f>250*0</f>
        <v>0</v>
      </c>
      <c r="J1141" s="3">
        <v>0</v>
      </c>
      <c r="K1141" s="4">
        <v>0</v>
      </c>
      <c r="L1141" s="3">
        <v>0</v>
      </c>
      <c r="M1141" s="3">
        <v>235</v>
      </c>
      <c r="N1141" s="3">
        <f>M1141*5500</f>
        <v>1292500</v>
      </c>
      <c r="O1141" s="3">
        <v>0</v>
      </c>
      <c r="P1141" s="3">
        <v>0</v>
      </c>
      <c r="Q1141" s="3">
        <v>244.8</v>
      </c>
      <c r="R1141" s="3">
        <f>Q1141*3000</f>
        <v>734400</v>
      </c>
      <c r="S1141" s="3">
        <v>0</v>
      </c>
      <c r="T1141" s="3">
        <v>0</v>
      </c>
      <c r="U1141" s="3">
        <v>100000</v>
      </c>
      <c r="V1141" s="6">
        <f t="shared" ref="V1141" si="691">N1141/M1141</f>
        <v>5500</v>
      </c>
    </row>
    <row r="1142" spans="1:22" ht="42.95" customHeight="1" x14ac:dyDescent="0.25">
      <c r="A1142" s="56" t="s">
        <v>326</v>
      </c>
      <c r="B1142" s="56"/>
      <c r="C1142" s="2">
        <f>SUM(C1144:C1145)</f>
        <v>9642500</v>
      </c>
      <c r="D1142" s="2">
        <f t="shared" ref="D1142:U1142" si="692">SUM(D1144:D1145)</f>
        <v>0</v>
      </c>
      <c r="E1142" s="2">
        <f t="shared" si="692"/>
        <v>0</v>
      </c>
      <c r="F1142" s="2">
        <f t="shared" si="692"/>
        <v>0</v>
      </c>
      <c r="G1142" s="2">
        <f t="shared" si="692"/>
        <v>0</v>
      </c>
      <c r="H1142" s="2">
        <f t="shared" si="692"/>
        <v>0</v>
      </c>
      <c r="I1142" s="2">
        <f t="shared" si="692"/>
        <v>0</v>
      </c>
      <c r="J1142" s="2">
        <f t="shared" si="692"/>
        <v>0</v>
      </c>
      <c r="K1142" s="14">
        <f t="shared" si="692"/>
        <v>0</v>
      </c>
      <c r="L1142" s="2">
        <f t="shared" si="692"/>
        <v>0</v>
      </c>
      <c r="M1142" s="2">
        <f t="shared" si="692"/>
        <v>1175</v>
      </c>
      <c r="N1142" s="2">
        <f t="shared" si="692"/>
        <v>6462500</v>
      </c>
      <c r="O1142" s="2">
        <f t="shared" si="692"/>
        <v>0</v>
      </c>
      <c r="P1142" s="2">
        <f t="shared" si="692"/>
        <v>0</v>
      </c>
      <c r="Q1142" s="2">
        <f t="shared" si="692"/>
        <v>1060</v>
      </c>
      <c r="R1142" s="2">
        <f t="shared" si="692"/>
        <v>3180000</v>
      </c>
      <c r="S1142" s="2">
        <f t="shared" si="692"/>
        <v>0</v>
      </c>
      <c r="T1142" s="2">
        <f t="shared" si="692"/>
        <v>0</v>
      </c>
      <c r="U1142" s="2">
        <f t="shared" si="692"/>
        <v>0</v>
      </c>
    </row>
    <row r="1143" spans="1:22" ht="24.95" customHeight="1" x14ac:dyDescent="0.25">
      <c r="A1143" s="52" t="s">
        <v>1986</v>
      </c>
      <c r="B1143" s="8" t="s">
        <v>1977</v>
      </c>
      <c r="C1143" s="3">
        <f t="shared" ref="C1143" si="693">D1143+L1143+N1143+P1143+R1143+S1143+T1143+U1143</f>
        <v>16174297.66</v>
      </c>
      <c r="D1143" s="3">
        <f t="shared" ref="D1143" si="694">SUM(E1143:J1143)</f>
        <v>9176897.6600000001</v>
      </c>
      <c r="E1143" s="3">
        <f>2417.9*2195.4</f>
        <v>5308257.66</v>
      </c>
      <c r="F1143" s="3">
        <f>1050*2417.9</f>
        <v>2538795</v>
      </c>
      <c r="G1143" s="3">
        <f>300*2417.9</f>
        <v>725370</v>
      </c>
      <c r="H1143" s="3">
        <f t="shared" ref="H1143" si="695">400*0</f>
        <v>0</v>
      </c>
      <c r="I1143" s="3">
        <f>250*2417.9</f>
        <v>604475</v>
      </c>
      <c r="J1143" s="3">
        <v>0</v>
      </c>
      <c r="K1143" s="4">
        <v>0</v>
      </c>
      <c r="L1143" s="3">
        <v>0</v>
      </c>
      <c r="M1143" s="3">
        <v>900</v>
      </c>
      <c r="N1143" s="3">
        <f>M1143*3686</f>
        <v>3317400</v>
      </c>
      <c r="O1143" s="3">
        <v>0</v>
      </c>
      <c r="P1143" s="3">
        <v>0</v>
      </c>
      <c r="Q1143" s="3">
        <v>1060</v>
      </c>
      <c r="R1143" s="3">
        <f>Q1143*3000</f>
        <v>3180000</v>
      </c>
      <c r="S1143" s="3">
        <v>300000</v>
      </c>
      <c r="T1143" s="3">
        <v>0</v>
      </c>
      <c r="U1143" s="3">
        <v>200000</v>
      </c>
    </row>
    <row r="1144" spans="1:22" ht="24.95" customHeight="1" x14ac:dyDescent="0.25">
      <c r="A1144" s="36" t="s">
        <v>1987</v>
      </c>
      <c r="B1144" s="8" t="s">
        <v>1345</v>
      </c>
      <c r="C1144" s="2">
        <f t="shared" si="689"/>
        <v>8130000</v>
      </c>
      <c r="D1144" s="3">
        <f t="shared" ref="D1144:D1145" si="696">SUM(E1144:J1144)</f>
        <v>0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11">
        <v>0</v>
      </c>
      <c r="L1144" s="5">
        <v>0</v>
      </c>
      <c r="M1144" s="5">
        <v>900</v>
      </c>
      <c r="N1144" s="3">
        <f t="shared" ref="N1144:N1145" si="697">M1144*5500</f>
        <v>4950000</v>
      </c>
      <c r="O1144" s="5">
        <v>0</v>
      </c>
      <c r="P1144" s="5">
        <v>0</v>
      </c>
      <c r="Q1144" s="5">
        <v>1060</v>
      </c>
      <c r="R1144" s="3">
        <f>Q1144*3000</f>
        <v>3180000</v>
      </c>
      <c r="S1144" s="5">
        <v>0</v>
      </c>
      <c r="T1144" s="5">
        <v>0</v>
      </c>
      <c r="U1144" s="5">
        <v>0</v>
      </c>
      <c r="V1144" s="6">
        <f t="shared" ref="V1144:V1145" si="698">N1144/M1144</f>
        <v>5500</v>
      </c>
    </row>
    <row r="1145" spans="1:22" ht="24.95" customHeight="1" x14ac:dyDescent="0.25">
      <c r="A1145" s="36" t="s">
        <v>1988</v>
      </c>
      <c r="B1145" s="8" t="s">
        <v>329</v>
      </c>
      <c r="C1145" s="2">
        <f t="shared" si="689"/>
        <v>1512500</v>
      </c>
      <c r="D1145" s="3">
        <f t="shared" si="696"/>
        <v>0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4">
        <v>0</v>
      </c>
      <c r="L1145" s="3">
        <v>0</v>
      </c>
      <c r="M1145" s="3">
        <v>275</v>
      </c>
      <c r="N1145" s="3">
        <f t="shared" si="697"/>
        <v>1512500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6">
        <f t="shared" si="698"/>
        <v>5500</v>
      </c>
    </row>
    <row r="1146" spans="1:22" ht="42.95" customHeight="1" x14ac:dyDescent="0.25">
      <c r="A1146" s="56" t="s">
        <v>333</v>
      </c>
      <c r="B1146" s="56"/>
      <c r="C1146" s="2">
        <f>SUM(C1147)</f>
        <v>2363320</v>
      </c>
      <c r="D1146" s="2">
        <f t="shared" ref="D1146:U1146" si="699">SUM(D1147)</f>
        <v>463320</v>
      </c>
      <c r="E1146" s="2">
        <f t="shared" si="699"/>
        <v>180179.99999999997</v>
      </c>
      <c r="F1146" s="2">
        <f t="shared" si="699"/>
        <v>0</v>
      </c>
      <c r="G1146" s="2">
        <f t="shared" si="699"/>
        <v>154440</v>
      </c>
      <c r="H1146" s="2">
        <f t="shared" si="699"/>
        <v>0</v>
      </c>
      <c r="I1146" s="2">
        <f t="shared" si="699"/>
        <v>128699.99999999999</v>
      </c>
      <c r="J1146" s="2">
        <f t="shared" si="699"/>
        <v>0</v>
      </c>
      <c r="K1146" s="14">
        <f t="shared" si="699"/>
        <v>0</v>
      </c>
      <c r="L1146" s="2">
        <f t="shared" si="699"/>
        <v>0</v>
      </c>
      <c r="M1146" s="2">
        <f t="shared" si="699"/>
        <v>0</v>
      </c>
      <c r="N1146" s="2">
        <f t="shared" si="699"/>
        <v>0</v>
      </c>
      <c r="O1146" s="2">
        <f t="shared" si="699"/>
        <v>0</v>
      </c>
      <c r="P1146" s="2">
        <f t="shared" si="699"/>
        <v>0</v>
      </c>
      <c r="Q1146" s="2">
        <f t="shared" si="699"/>
        <v>600</v>
      </c>
      <c r="R1146" s="2">
        <f t="shared" si="699"/>
        <v>1800000</v>
      </c>
      <c r="S1146" s="2">
        <f t="shared" si="699"/>
        <v>0</v>
      </c>
      <c r="T1146" s="2">
        <f t="shared" si="699"/>
        <v>0</v>
      </c>
      <c r="U1146" s="2">
        <f t="shared" si="699"/>
        <v>100000</v>
      </c>
    </row>
    <row r="1147" spans="1:22" ht="23.1" customHeight="1" x14ac:dyDescent="0.25">
      <c r="A1147" s="36" t="s">
        <v>1989</v>
      </c>
      <c r="B1147" s="8" t="s">
        <v>1552</v>
      </c>
      <c r="C1147" s="2">
        <f t="shared" si="689"/>
        <v>2363320</v>
      </c>
      <c r="D1147" s="3">
        <f t="shared" ref="D1147" si="700">SUM(E1147:J1147)</f>
        <v>463320</v>
      </c>
      <c r="E1147" s="3">
        <f>350*514.8</f>
        <v>180179.99999999997</v>
      </c>
      <c r="F1147" s="3">
        <f>1050*0</f>
        <v>0</v>
      </c>
      <c r="G1147" s="3">
        <f>300*514.8</f>
        <v>154440</v>
      </c>
      <c r="H1147" s="3">
        <f>400*0</f>
        <v>0</v>
      </c>
      <c r="I1147" s="3">
        <f>250*514.8</f>
        <v>128699.99999999999</v>
      </c>
      <c r="J1147" s="3">
        <v>0</v>
      </c>
      <c r="K1147" s="11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600</v>
      </c>
      <c r="R1147" s="3">
        <f>Q1147*3000</f>
        <v>1800000</v>
      </c>
      <c r="S1147" s="5">
        <v>0</v>
      </c>
      <c r="T1147" s="5">
        <v>0</v>
      </c>
      <c r="U1147" s="5">
        <v>100000</v>
      </c>
      <c r="V1147" s="6" t="e">
        <f t="shared" ref="V1147" si="701">N1147/M1147</f>
        <v>#DIV/0!</v>
      </c>
    </row>
    <row r="1148" spans="1:22" ht="45" customHeight="1" x14ac:dyDescent="0.25">
      <c r="A1148" s="56" t="s">
        <v>1635</v>
      </c>
      <c r="B1148" s="56"/>
      <c r="C1148" s="2">
        <f>SUM(C1149:C1160)</f>
        <v>105347320</v>
      </c>
      <c r="D1148" s="2">
        <f t="shared" ref="D1148:U1148" si="702">SUM(D1149:D1160)</f>
        <v>28361470</v>
      </c>
      <c r="E1148" s="2">
        <f t="shared" si="702"/>
        <v>4994710</v>
      </c>
      <c r="F1148" s="2">
        <f t="shared" si="702"/>
        <v>14984130</v>
      </c>
      <c r="G1148" s="2">
        <f t="shared" si="702"/>
        <v>4281180</v>
      </c>
      <c r="H1148" s="2">
        <f t="shared" si="702"/>
        <v>533800</v>
      </c>
      <c r="I1148" s="2">
        <f t="shared" si="702"/>
        <v>3567650</v>
      </c>
      <c r="J1148" s="2">
        <f t="shared" si="702"/>
        <v>0</v>
      </c>
      <c r="K1148" s="14">
        <f t="shared" si="702"/>
        <v>0</v>
      </c>
      <c r="L1148" s="2">
        <f t="shared" si="702"/>
        <v>0</v>
      </c>
      <c r="M1148" s="2">
        <f t="shared" si="702"/>
        <v>7026.6</v>
      </c>
      <c r="N1148" s="2">
        <f t="shared" si="702"/>
        <v>38646300</v>
      </c>
      <c r="O1148" s="2">
        <f t="shared" si="702"/>
        <v>382</v>
      </c>
      <c r="P1148" s="2">
        <f t="shared" si="702"/>
        <v>458400</v>
      </c>
      <c r="Q1148" s="2">
        <f t="shared" si="702"/>
        <v>12134.300000000001</v>
      </c>
      <c r="R1148" s="2">
        <f t="shared" si="702"/>
        <v>36402900</v>
      </c>
      <c r="S1148" s="2">
        <f t="shared" si="702"/>
        <v>278250</v>
      </c>
      <c r="T1148" s="2">
        <f t="shared" si="702"/>
        <v>0</v>
      </c>
      <c r="U1148" s="2">
        <f t="shared" si="702"/>
        <v>1200000</v>
      </c>
    </row>
    <row r="1149" spans="1:22" ht="21.95" customHeight="1" x14ac:dyDescent="0.25">
      <c r="A1149" s="37" t="s">
        <v>1990</v>
      </c>
      <c r="B1149" s="8" t="s">
        <v>364</v>
      </c>
      <c r="C1149" s="2">
        <f>D1149+L1149+N1149+P1149+R1149+S1149+T1149+U1149</f>
        <v>14264480</v>
      </c>
      <c r="D1149" s="3">
        <f>SUM(E1149:J1149)</f>
        <v>4281030</v>
      </c>
      <c r="E1149" s="3">
        <f>350*2195.4</f>
        <v>768390</v>
      </c>
      <c r="F1149" s="3">
        <f>1050*2195.4</f>
        <v>2305170</v>
      </c>
      <c r="G1149" s="3">
        <f>300*2195.4</f>
        <v>658620</v>
      </c>
      <c r="H1149" s="3">
        <f t="shared" ref="H1149:H1155" si="703">400*0</f>
        <v>0</v>
      </c>
      <c r="I1149" s="3">
        <f>250*2195.4</f>
        <v>548850</v>
      </c>
      <c r="J1149" s="3">
        <v>0</v>
      </c>
      <c r="K1149" s="4">
        <v>0</v>
      </c>
      <c r="L1149" s="3">
        <v>0</v>
      </c>
      <c r="M1149" s="3">
        <v>901.9</v>
      </c>
      <c r="N1149" s="3">
        <f>M1149*5500</f>
        <v>4960450</v>
      </c>
      <c r="O1149" s="3">
        <v>0</v>
      </c>
      <c r="P1149" s="3">
        <v>0</v>
      </c>
      <c r="Q1149" s="3">
        <v>1641</v>
      </c>
      <c r="R1149" s="3">
        <f>Q1149*3000</f>
        <v>4923000</v>
      </c>
      <c r="S1149" s="3">
        <v>0</v>
      </c>
      <c r="T1149" s="3">
        <v>0</v>
      </c>
      <c r="U1149" s="3">
        <v>100000</v>
      </c>
      <c r="V1149" s="6">
        <f>N1149/M1149</f>
        <v>5500</v>
      </c>
    </row>
    <row r="1150" spans="1:22" ht="21.95" customHeight="1" x14ac:dyDescent="0.25">
      <c r="A1150" s="37" t="s">
        <v>1991</v>
      </c>
      <c r="B1150" s="8" t="s">
        <v>365</v>
      </c>
      <c r="C1150" s="2">
        <f>D1150+L1150+N1150+P1150+R1150+S1150+T1150+U1150</f>
        <v>14095655</v>
      </c>
      <c r="D1150" s="3">
        <f>SUM(E1150:J1150)</f>
        <v>4165005</v>
      </c>
      <c r="E1150" s="3">
        <f>350*2135.9</f>
        <v>747565</v>
      </c>
      <c r="F1150" s="3">
        <f>1050*2135.9</f>
        <v>2242695</v>
      </c>
      <c r="G1150" s="3">
        <f>300*2135.9</f>
        <v>640770</v>
      </c>
      <c r="H1150" s="3">
        <f t="shared" si="703"/>
        <v>0</v>
      </c>
      <c r="I1150" s="3">
        <f>250*2135.9</f>
        <v>533975</v>
      </c>
      <c r="J1150" s="3">
        <v>0</v>
      </c>
      <c r="K1150" s="4">
        <v>0</v>
      </c>
      <c r="L1150" s="3">
        <v>0</v>
      </c>
      <c r="M1150" s="3">
        <v>892.3</v>
      </c>
      <c r="N1150" s="3">
        <f>M1150*5500</f>
        <v>4907650</v>
      </c>
      <c r="O1150" s="3">
        <v>0</v>
      </c>
      <c r="P1150" s="3">
        <v>0</v>
      </c>
      <c r="Q1150" s="3">
        <v>1641</v>
      </c>
      <c r="R1150" s="3">
        <f>Q1150*3000</f>
        <v>4923000</v>
      </c>
      <c r="S1150" s="3">
        <v>0</v>
      </c>
      <c r="T1150" s="3">
        <v>0</v>
      </c>
      <c r="U1150" s="3">
        <v>100000</v>
      </c>
      <c r="V1150" s="6">
        <f>N1150/M1150</f>
        <v>5500</v>
      </c>
    </row>
    <row r="1151" spans="1:22" ht="21.95" customHeight="1" x14ac:dyDescent="0.25">
      <c r="A1151" s="37" t="s">
        <v>1992</v>
      </c>
      <c r="B1151" s="8" t="s">
        <v>366</v>
      </c>
      <c r="C1151" s="2">
        <f>D1151+L1151+N1151+P1151+R1151+S1151+T1151+U1151</f>
        <v>13662160</v>
      </c>
      <c r="D1151" s="3">
        <f>SUM(E1151:J1151)</f>
        <v>4176510</v>
      </c>
      <c r="E1151" s="3">
        <f>350*2141.8</f>
        <v>749630.00000000012</v>
      </c>
      <c r="F1151" s="3">
        <f>1050*2141.8</f>
        <v>2248890</v>
      </c>
      <c r="G1151" s="3">
        <f>300*2141.8</f>
        <v>642540</v>
      </c>
      <c r="H1151" s="3">
        <f t="shared" si="703"/>
        <v>0</v>
      </c>
      <c r="I1151" s="3">
        <f>250*2141.8</f>
        <v>535450</v>
      </c>
      <c r="J1151" s="3">
        <v>0</v>
      </c>
      <c r="K1151" s="4">
        <v>0</v>
      </c>
      <c r="L1151" s="3">
        <v>0</v>
      </c>
      <c r="M1151" s="3">
        <v>811.5</v>
      </c>
      <c r="N1151" s="3">
        <f>M1151*5500</f>
        <v>4463250</v>
      </c>
      <c r="O1151" s="3">
        <v>0</v>
      </c>
      <c r="P1151" s="3">
        <v>0</v>
      </c>
      <c r="Q1151" s="3">
        <v>1640.8</v>
      </c>
      <c r="R1151" s="3">
        <f>Q1151*3000</f>
        <v>4922400</v>
      </c>
      <c r="S1151" s="3">
        <v>0</v>
      </c>
      <c r="T1151" s="3">
        <v>0</v>
      </c>
      <c r="U1151" s="3">
        <v>100000</v>
      </c>
      <c r="V1151" s="6">
        <f>N1151/M1151</f>
        <v>5500</v>
      </c>
    </row>
    <row r="1152" spans="1:22" ht="21.95" customHeight="1" x14ac:dyDescent="0.25">
      <c r="A1152" s="37" t="s">
        <v>1993</v>
      </c>
      <c r="B1152" s="8" t="s">
        <v>360</v>
      </c>
      <c r="C1152" s="2">
        <f t="shared" si="689"/>
        <v>5099555</v>
      </c>
      <c r="D1152" s="3">
        <f t="shared" ref="D1152:D1160" si="704">SUM(E1152:J1152)</f>
        <v>1582255</v>
      </c>
      <c r="E1152" s="3">
        <f>350*673.3</f>
        <v>235654.99999999997</v>
      </c>
      <c r="F1152" s="3">
        <f>1050*673.3</f>
        <v>706965</v>
      </c>
      <c r="G1152" s="3">
        <f>300*673.3</f>
        <v>201990</v>
      </c>
      <c r="H1152" s="3">
        <f>400*673.3</f>
        <v>269320</v>
      </c>
      <c r="I1152" s="3">
        <f>250*673.3</f>
        <v>168325</v>
      </c>
      <c r="J1152" s="3">
        <v>0</v>
      </c>
      <c r="K1152" s="4">
        <v>0</v>
      </c>
      <c r="L1152" s="3">
        <v>0</v>
      </c>
      <c r="M1152" s="3">
        <v>378.6</v>
      </c>
      <c r="N1152" s="3">
        <f t="shared" ref="N1152:N1154" si="705">M1152*5500</f>
        <v>2082300.0000000002</v>
      </c>
      <c r="O1152" s="3">
        <v>0</v>
      </c>
      <c r="P1152" s="3">
        <v>0</v>
      </c>
      <c r="Q1152" s="3">
        <v>445</v>
      </c>
      <c r="R1152" s="3">
        <f t="shared" ref="R1152:R1160" si="706">Q1152*3000</f>
        <v>1335000</v>
      </c>
      <c r="S1152" s="3">
        <v>0</v>
      </c>
      <c r="T1152" s="3">
        <v>0</v>
      </c>
      <c r="U1152" s="3">
        <v>100000</v>
      </c>
      <c r="V1152" s="6">
        <f t="shared" ref="V1152:V1160" si="707">N1152/M1152</f>
        <v>5500</v>
      </c>
    </row>
    <row r="1153" spans="1:22" ht="21.95" customHeight="1" x14ac:dyDescent="0.25">
      <c r="A1153" s="37" t="s">
        <v>1994</v>
      </c>
      <c r="B1153" s="8" t="s">
        <v>361</v>
      </c>
      <c r="C1153" s="2">
        <f t="shared" si="689"/>
        <v>11272255</v>
      </c>
      <c r="D1153" s="3">
        <f t="shared" si="704"/>
        <v>3642405</v>
      </c>
      <c r="E1153" s="3">
        <f>350*1867.9</f>
        <v>653765</v>
      </c>
      <c r="F1153" s="3">
        <f>1050*1867.9</f>
        <v>1961295</v>
      </c>
      <c r="G1153" s="3">
        <f>300*1867.9</f>
        <v>560370</v>
      </c>
      <c r="H1153" s="3">
        <f t="shared" si="703"/>
        <v>0</v>
      </c>
      <c r="I1153" s="3">
        <f>250*1867.9</f>
        <v>466975</v>
      </c>
      <c r="J1153" s="3">
        <v>0</v>
      </c>
      <c r="K1153" s="4">
        <v>0</v>
      </c>
      <c r="L1153" s="3">
        <v>0</v>
      </c>
      <c r="M1153" s="3">
        <v>794.7</v>
      </c>
      <c r="N1153" s="3">
        <f t="shared" si="705"/>
        <v>4370850</v>
      </c>
      <c r="O1153" s="3">
        <v>0</v>
      </c>
      <c r="P1153" s="3">
        <v>0</v>
      </c>
      <c r="Q1153" s="3">
        <v>1053</v>
      </c>
      <c r="R1153" s="3">
        <f t="shared" si="706"/>
        <v>3159000</v>
      </c>
      <c r="S1153" s="3">
        <v>0</v>
      </c>
      <c r="T1153" s="3">
        <v>0</v>
      </c>
      <c r="U1153" s="3">
        <v>100000</v>
      </c>
      <c r="V1153" s="6">
        <f t="shared" si="707"/>
        <v>5500</v>
      </c>
    </row>
    <row r="1154" spans="1:22" ht="21.95" customHeight="1" x14ac:dyDescent="0.25">
      <c r="A1154" s="37" t="s">
        <v>1995</v>
      </c>
      <c r="B1154" s="8" t="s">
        <v>362</v>
      </c>
      <c r="C1154" s="2">
        <f t="shared" si="689"/>
        <v>8429460</v>
      </c>
      <c r="D1154" s="3">
        <f t="shared" si="704"/>
        <v>1795560</v>
      </c>
      <c r="E1154" s="3">
        <f>350*920.8</f>
        <v>322280</v>
      </c>
      <c r="F1154" s="3">
        <f>1050*920.8</f>
        <v>966840</v>
      </c>
      <c r="G1154" s="3">
        <f>300*920.8</f>
        <v>276240</v>
      </c>
      <c r="H1154" s="3">
        <f t="shared" si="703"/>
        <v>0</v>
      </c>
      <c r="I1154" s="3">
        <f>250*920.8</f>
        <v>230200</v>
      </c>
      <c r="J1154" s="3">
        <v>0</v>
      </c>
      <c r="K1154" s="4">
        <v>0</v>
      </c>
      <c r="L1154" s="3">
        <v>0</v>
      </c>
      <c r="M1154" s="3">
        <v>759.8</v>
      </c>
      <c r="N1154" s="3">
        <f t="shared" si="705"/>
        <v>4178899.9999999995</v>
      </c>
      <c r="O1154" s="3">
        <v>0</v>
      </c>
      <c r="P1154" s="3">
        <v>0</v>
      </c>
      <c r="Q1154" s="3">
        <v>785</v>
      </c>
      <c r="R1154" s="3">
        <f t="shared" si="706"/>
        <v>2355000</v>
      </c>
      <c r="S1154" s="3">
        <v>0</v>
      </c>
      <c r="T1154" s="3">
        <v>0</v>
      </c>
      <c r="U1154" s="3">
        <v>100000</v>
      </c>
      <c r="V1154" s="6">
        <f t="shared" si="707"/>
        <v>5500</v>
      </c>
    </row>
    <row r="1155" spans="1:22" ht="21.95" customHeight="1" x14ac:dyDescent="0.25">
      <c r="A1155" s="37" t="s">
        <v>1996</v>
      </c>
      <c r="B1155" s="8" t="s">
        <v>363</v>
      </c>
      <c r="C1155" s="2">
        <f t="shared" si="689"/>
        <v>4723690</v>
      </c>
      <c r="D1155" s="3">
        <f t="shared" si="704"/>
        <v>1790490</v>
      </c>
      <c r="E1155" s="3">
        <f>350*918.2</f>
        <v>321370</v>
      </c>
      <c r="F1155" s="3">
        <f>1050*918.2</f>
        <v>964110</v>
      </c>
      <c r="G1155" s="3">
        <f>300*918.2</f>
        <v>275460</v>
      </c>
      <c r="H1155" s="3">
        <f t="shared" si="703"/>
        <v>0</v>
      </c>
      <c r="I1155" s="3">
        <f>250*918.2</f>
        <v>229550</v>
      </c>
      <c r="J1155" s="3">
        <v>0</v>
      </c>
      <c r="K1155" s="4">
        <v>0</v>
      </c>
      <c r="L1155" s="3">
        <v>0</v>
      </c>
      <c r="M1155" s="3">
        <v>0</v>
      </c>
      <c r="N1155" s="3">
        <v>0</v>
      </c>
      <c r="O1155" s="3">
        <v>382</v>
      </c>
      <c r="P1155" s="3">
        <v>458400</v>
      </c>
      <c r="Q1155" s="3">
        <v>791.6</v>
      </c>
      <c r="R1155" s="3">
        <f t="shared" si="706"/>
        <v>2374800</v>
      </c>
      <c r="S1155" s="3">
        <v>0</v>
      </c>
      <c r="T1155" s="3">
        <v>0</v>
      </c>
      <c r="U1155" s="3">
        <v>100000</v>
      </c>
      <c r="V1155" s="6" t="e">
        <f t="shared" si="707"/>
        <v>#DIV/0!</v>
      </c>
    </row>
    <row r="1156" spans="1:22" ht="21.95" customHeight="1" x14ac:dyDescent="0.25">
      <c r="A1156" s="37" t="s">
        <v>1997</v>
      </c>
      <c r="B1156" s="8" t="s">
        <v>367</v>
      </c>
      <c r="C1156" s="2">
        <f t="shared" si="689"/>
        <v>8331810</v>
      </c>
      <c r="D1156" s="3">
        <f t="shared" si="704"/>
        <v>1553820</v>
      </c>
      <c r="E1156" s="3">
        <f>350*661.2</f>
        <v>231420.00000000003</v>
      </c>
      <c r="F1156" s="3">
        <f>1050*661.2</f>
        <v>694260</v>
      </c>
      <c r="G1156" s="3">
        <f>300*661.2</f>
        <v>198360</v>
      </c>
      <c r="H1156" s="3">
        <f>400*661.2</f>
        <v>264480</v>
      </c>
      <c r="I1156" s="3">
        <f>250*661.2</f>
        <v>165300</v>
      </c>
      <c r="J1156" s="3">
        <v>0</v>
      </c>
      <c r="K1156" s="4">
        <v>0</v>
      </c>
      <c r="L1156" s="3">
        <v>0</v>
      </c>
      <c r="M1156" s="3">
        <v>560.29999999999995</v>
      </c>
      <c r="N1156" s="3">
        <f t="shared" ref="N1156:N1160" si="708">M1156*5500</f>
        <v>3081649.9999999995</v>
      </c>
      <c r="O1156" s="3">
        <v>0</v>
      </c>
      <c r="P1156" s="3">
        <v>0</v>
      </c>
      <c r="Q1156" s="3">
        <v>1152.3</v>
      </c>
      <c r="R1156" s="3">
        <f t="shared" si="706"/>
        <v>3456900</v>
      </c>
      <c r="S1156" s="3">
        <v>139440</v>
      </c>
      <c r="T1156" s="3">
        <v>0</v>
      </c>
      <c r="U1156" s="3">
        <v>100000</v>
      </c>
      <c r="V1156" s="6">
        <f t="shared" si="707"/>
        <v>5500</v>
      </c>
    </row>
    <row r="1157" spans="1:22" ht="21.95" customHeight="1" x14ac:dyDescent="0.25">
      <c r="A1157" s="37" t="s">
        <v>1998</v>
      </c>
      <c r="B1157" s="8" t="s">
        <v>368</v>
      </c>
      <c r="C1157" s="2">
        <f t="shared" si="689"/>
        <v>8257650</v>
      </c>
      <c r="D1157" s="3">
        <f t="shared" si="704"/>
        <v>1437540</v>
      </c>
      <c r="E1157" s="3">
        <f>350*737.2</f>
        <v>258020.00000000003</v>
      </c>
      <c r="F1157" s="3">
        <f>1050*737.2</f>
        <v>774060</v>
      </c>
      <c r="G1157" s="3">
        <f>300*737.2</f>
        <v>221160</v>
      </c>
      <c r="H1157" s="3">
        <f>400*0</f>
        <v>0</v>
      </c>
      <c r="I1157" s="3">
        <f>250*737.2</f>
        <v>184300</v>
      </c>
      <c r="J1157" s="3">
        <v>0</v>
      </c>
      <c r="K1157" s="4">
        <v>0</v>
      </c>
      <c r="L1157" s="3">
        <v>0</v>
      </c>
      <c r="M1157" s="3">
        <v>569</v>
      </c>
      <c r="N1157" s="3">
        <f t="shared" si="708"/>
        <v>3129500</v>
      </c>
      <c r="O1157" s="3">
        <v>0</v>
      </c>
      <c r="P1157" s="3">
        <v>0</v>
      </c>
      <c r="Q1157" s="3">
        <v>1150.5999999999999</v>
      </c>
      <c r="R1157" s="3">
        <f t="shared" si="706"/>
        <v>3451799.9999999995</v>
      </c>
      <c r="S1157" s="3">
        <v>138810</v>
      </c>
      <c r="T1157" s="3">
        <v>0</v>
      </c>
      <c r="U1157" s="3">
        <v>100000</v>
      </c>
      <c r="V1157" s="6">
        <f t="shared" si="707"/>
        <v>5500</v>
      </c>
    </row>
    <row r="1158" spans="1:22" ht="21.95" customHeight="1" x14ac:dyDescent="0.25">
      <c r="A1158" s="37" t="s">
        <v>1999</v>
      </c>
      <c r="B1158" s="8" t="s">
        <v>369</v>
      </c>
      <c r="C1158" s="2">
        <f t="shared" si="689"/>
        <v>6635965</v>
      </c>
      <c r="D1158" s="3">
        <f t="shared" si="704"/>
        <v>1426815</v>
      </c>
      <c r="E1158" s="3">
        <f>350*731.7</f>
        <v>256095.00000000003</v>
      </c>
      <c r="F1158" s="3">
        <f>1050*731.7</f>
        <v>768285</v>
      </c>
      <c r="G1158" s="3">
        <f>300*731.7</f>
        <v>219510</v>
      </c>
      <c r="H1158" s="3">
        <f>400*0</f>
        <v>0</v>
      </c>
      <c r="I1158" s="3">
        <f>250*731.7</f>
        <v>182925</v>
      </c>
      <c r="J1158" s="3">
        <v>0</v>
      </c>
      <c r="K1158" s="4">
        <v>0</v>
      </c>
      <c r="L1158" s="3">
        <v>0</v>
      </c>
      <c r="M1158" s="3">
        <v>561.29999999999995</v>
      </c>
      <c r="N1158" s="3">
        <f t="shared" si="708"/>
        <v>3087149.9999999995</v>
      </c>
      <c r="O1158" s="3">
        <v>0</v>
      </c>
      <c r="P1158" s="3">
        <v>0</v>
      </c>
      <c r="Q1158" s="3">
        <v>674</v>
      </c>
      <c r="R1158" s="3">
        <f t="shared" si="706"/>
        <v>2022000</v>
      </c>
      <c r="S1158" s="3">
        <v>0</v>
      </c>
      <c r="T1158" s="3">
        <v>0</v>
      </c>
      <c r="U1158" s="3">
        <v>100000</v>
      </c>
      <c r="V1158" s="6">
        <f t="shared" si="707"/>
        <v>5500</v>
      </c>
    </row>
    <row r="1159" spans="1:22" ht="21.95" customHeight="1" x14ac:dyDescent="0.25">
      <c r="A1159" s="37" t="s">
        <v>2000</v>
      </c>
      <c r="B1159" s="8" t="s">
        <v>370</v>
      </c>
      <c r="C1159" s="2">
        <f t="shared" si="689"/>
        <v>6904010</v>
      </c>
      <c r="D1159" s="3">
        <f t="shared" si="704"/>
        <v>1684410</v>
      </c>
      <c r="E1159" s="3">
        <f>350*863.8</f>
        <v>302330</v>
      </c>
      <c r="F1159" s="3">
        <f>1050*863.8</f>
        <v>906990</v>
      </c>
      <c r="G1159" s="3">
        <f>300*863.8</f>
        <v>259140</v>
      </c>
      <c r="H1159" s="3">
        <f>400*0</f>
        <v>0</v>
      </c>
      <c r="I1159" s="3">
        <f>250*863.8</f>
        <v>215950</v>
      </c>
      <c r="J1159" s="3">
        <v>0</v>
      </c>
      <c r="K1159" s="4">
        <v>0</v>
      </c>
      <c r="L1159" s="3">
        <v>0</v>
      </c>
      <c r="M1159" s="3">
        <v>557.20000000000005</v>
      </c>
      <c r="N1159" s="3">
        <f t="shared" si="708"/>
        <v>3064600.0000000005</v>
      </c>
      <c r="O1159" s="3">
        <v>0</v>
      </c>
      <c r="P1159" s="3">
        <v>0</v>
      </c>
      <c r="Q1159" s="3">
        <v>685</v>
      </c>
      <c r="R1159" s="3">
        <f t="shared" si="706"/>
        <v>2055000</v>
      </c>
      <c r="S1159" s="3">
        <v>0</v>
      </c>
      <c r="T1159" s="3">
        <v>0</v>
      </c>
      <c r="U1159" s="3">
        <v>100000</v>
      </c>
      <c r="V1159" s="6">
        <f t="shared" si="707"/>
        <v>5500</v>
      </c>
    </row>
    <row r="1160" spans="1:22" ht="21.95" customHeight="1" x14ac:dyDescent="0.25">
      <c r="A1160" s="37" t="s">
        <v>2001</v>
      </c>
      <c r="B1160" s="8" t="s">
        <v>371</v>
      </c>
      <c r="C1160" s="2">
        <f t="shared" si="689"/>
        <v>3670630</v>
      </c>
      <c r="D1160" s="3">
        <f t="shared" si="704"/>
        <v>825630</v>
      </c>
      <c r="E1160" s="3">
        <f>350*423.4</f>
        <v>148190</v>
      </c>
      <c r="F1160" s="3">
        <f>1050*423.4</f>
        <v>444570</v>
      </c>
      <c r="G1160" s="3">
        <f>300*423.4</f>
        <v>127020</v>
      </c>
      <c r="H1160" s="3">
        <f>400*0</f>
        <v>0</v>
      </c>
      <c r="I1160" s="3">
        <f>250*423.4</f>
        <v>105850</v>
      </c>
      <c r="J1160" s="3">
        <v>0</v>
      </c>
      <c r="K1160" s="4">
        <v>0</v>
      </c>
      <c r="L1160" s="3">
        <v>0</v>
      </c>
      <c r="M1160" s="3">
        <v>240</v>
      </c>
      <c r="N1160" s="3">
        <f t="shared" si="708"/>
        <v>1320000</v>
      </c>
      <c r="O1160" s="3">
        <v>0</v>
      </c>
      <c r="P1160" s="3">
        <v>0</v>
      </c>
      <c r="Q1160" s="3">
        <v>475</v>
      </c>
      <c r="R1160" s="3">
        <f t="shared" si="706"/>
        <v>1425000</v>
      </c>
      <c r="S1160" s="3">
        <v>0</v>
      </c>
      <c r="T1160" s="3">
        <v>0</v>
      </c>
      <c r="U1160" s="3">
        <v>100000</v>
      </c>
      <c r="V1160" s="6">
        <f t="shared" si="707"/>
        <v>5500</v>
      </c>
    </row>
    <row r="1161" spans="1:22" ht="45" customHeight="1" x14ac:dyDescent="0.25">
      <c r="A1161" s="56" t="s">
        <v>1576</v>
      </c>
      <c r="B1161" s="56"/>
      <c r="C1161" s="2">
        <f>SUM(C1162:C1164)</f>
        <v>5211600</v>
      </c>
      <c r="D1161" s="2">
        <f t="shared" ref="D1161:U1161" si="709">SUM(D1162:D1164)</f>
        <v>0</v>
      </c>
      <c r="E1161" s="2">
        <f t="shared" si="709"/>
        <v>0</v>
      </c>
      <c r="F1161" s="2">
        <f t="shared" si="709"/>
        <v>0</v>
      </c>
      <c r="G1161" s="2">
        <f t="shared" si="709"/>
        <v>0</v>
      </c>
      <c r="H1161" s="2">
        <f t="shared" si="709"/>
        <v>0</v>
      </c>
      <c r="I1161" s="2">
        <f t="shared" si="709"/>
        <v>0</v>
      </c>
      <c r="J1161" s="2">
        <f t="shared" si="709"/>
        <v>0</v>
      </c>
      <c r="K1161" s="14">
        <f t="shared" si="709"/>
        <v>0</v>
      </c>
      <c r="L1161" s="2">
        <f t="shared" si="709"/>
        <v>0</v>
      </c>
      <c r="M1161" s="2">
        <f t="shared" si="709"/>
        <v>600</v>
      </c>
      <c r="N1161" s="2">
        <f t="shared" si="709"/>
        <v>2211600</v>
      </c>
      <c r="O1161" s="2">
        <f t="shared" si="709"/>
        <v>0</v>
      </c>
      <c r="P1161" s="2">
        <f t="shared" si="709"/>
        <v>0</v>
      </c>
      <c r="Q1161" s="2">
        <f t="shared" si="709"/>
        <v>800</v>
      </c>
      <c r="R1161" s="2">
        <f t="shared" si="709"/>
        <v>2400000</v>
      </c>
      <c r="S1161" s="2">
        <f t="shared" si="709"/>
        <v>0</v>
      </c>
      <c r="T1161" s="2">
        <f t="shared" si="709"/>
        <v>0</v>
      </c>
      <c r="U1161" s="2">
        <f t="shared" si="709"/>
        <v>600000</v>
      </c>
      <c r="V1161" s="18">
        <f>C1161</f>
        <v>5211600</v>
      </c>
    </row>
    <row r="1162" spans="1:22" ht="23.25" customHeight="1" x14ac:dyDescent="0.25">
      <c r="A1162" s="36" t="s">
        <v>2002</v>
      </c>
      <c r="B1162" s="8" t="s">
        <v>1646</v>
      </c>
      <c r="C1162" s="2">
        <f t="shared" ref="C1162" si="710">D1162+L1162+N1162+P1162+R1162+S1162+T1162+U1162</f>
        <v>300000</v>
      </c>
      <c r="D1162" s="3">
        <f t="shared" ref="D1162" si="711">SUM(E1162:J1162)</f>
        <v>0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4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300000</v>
      </c>
      <c r="V1162" s="18"/>
    </row>
    <row r="1163" spans="1:22" ht="21.95" customHeight="1" x14ac:dyDescent="0.25">
      <c r="A1163" s="36" t="s">
        <v>2003</v>
      </c>
      <c r="B1163" s="8" t="s">
        <v>1577</v>
      </c>
      <c r="C1163" s="2">
        <f t="shared" ref="C1163" si="712">D1163+L1163+N1163+P1163+R1163+S1163+T1163+U1163</f>
        <v>4611600</v>
      </c>
      <c r="D1163" s="3">
        <f t="shared" ref="D1163" si="713">SUM(E1163:J1163)</f>
        <v>0</v>
      </c>
      <c r="E1163" s="3">
        <v>0</v>
      </c>
      <c r="F1163" s="3">
        <f>1050*0</f>
        <v>0</v>
      </c>
      <c r="G1163" s="3">
        <f>300*0</f>
        <v>0</v>
      </c>
      <c r="H1163" s="3">
        <f>400*0</f>
        <v>0</v>
      </c>
      <c r="I1163" s="3">
        <f>250*0</f>
        <v>0</v>
      </c>
      <c r="J1163" s="3">
        <v>0</v>
      </c>
      <c r="K1163" s="4">
        <v>0</v>
      </c>
      <c r="L1163" s="3">
        <v>0</v>
      </c>
      <c r="M1163" s="3">
        <v>600</v>
      </c>
      <c r="N1163" s="3">
        <f>M1163*3686</f>
        <v>2211600</v>
      </c>
      <c r="O1163" s="3">
        <v>0</v>
      </c>
      <c r="P1163" s="3">
        <v>0</v>
      </c>
      <c r="Q1163" s="3">
        <v>800</v>
      </c>
      <c r="R1163" s="3">
        <f t="shared" ref="R1163" si="714">Q1163*3000</f>
        <v>2400000</v>
      </c>
      <c r="S1163" s="3">
        <v>0</v>
      </c>
      <c r="T1163" s="3">
        <v>0</v>
      </c>
      <c r="U1163" s="3">
        <v>0</v>
      </c>
      <c r="V1163" s="6">
        <f t="shared" ref="V1163" si="715">N1163/M1163</f>
        <v>3686</v>
      </c>
    </row>
    <row r="1164" spans="1:22" ht="21.95" customHeight="1" x14ac:dyDescent="0.25">
      <c r="A1164" s="36" t="s">
        <v>2004</v>
      </c>
      <c r="B1164" s="8" t="s">
        <v>1645</v>
      </c>
      <c r="C1164" s="2">
        <f t="shared" ref="C1164" si="716">D1164+L1164+N1164+P1164+R1164+S1164+T1164+U1164</f>
        <v>300000</v>
      </c>
      <c r="D1164" s="3">
        <f t="shared" ref="D1164" si="717">SUM(E1164:J1164)</f>
        <v>0</v>
      </c>
      <c r="E1164" s="3">
        <v>0</v>
      </c>
      <c r="F1164" s="3">
        <v>0</v>
      </c>
      <c r="G1164" s="3">
        <v>0</v>
      </c>
      <c r="H1164" s="3">
        <v>0</v>
      </c>
      <c r="I1164" s="3">
        <v>0</v>
      </c>
      <c r="J1164" s="3">
        <v>0</v>
      </c>
      <c r="K1164" s="4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300000</v>
      </c>
    </row>
    <row r="1165" spans="1:22" ht="45" customHeight="1" x14ac:dyDescent="0.25">
      <c r="A1165" s="56" t="s">
        <v>376</v>
      </c>
      <c r="B1165" s="56"/>
      <c r="C1165" s="2">
        <f>SUM(C1166:C1167)</f>
        <v>6765250</v>
      </c>
      <c r="D1165" s="2">
        <f t="shared" ref="D1165:U1165" si="718">SUM(D1166:D1167)</f>
        <v>190050</v>
      </c>
      <c r="E1165" s="2">
        <f t="shared" si="718"/>
        <v>190050</v>
      </c>
      <c r="F1165" s="2">
        <f t="shared" si="718"/>
        <v>0</v>
      </c>
      <c r="G1165" s="2">
        <f t="shared" si="718"/>
        <v>0</v>
      </c>
      <c r="H1165" s="2">
        <f t="shared" si="718"/>
        <v>0</v>
      </c>
      <c r="I1165" s="2">
        <f t="shared" si="718"/>
        <v>0</v>
      </c>
      <c r="J1165" s="2">
        <f t="shared" si="718"/>
        <v>0</v>
      </c>
      <c r="K1165" s="14">
        <f t="shared" si="718"/>
        <v>0</v>
      </c>
      <c r="L1165" s="2">
        <f t="shared" si="718"/>
        <v>0</v>
      </c>
      <c r="M1165" s="2">
        <f t="shared" si="718"/>
        <v>800</v>
      </c>
      <c r="N1165" s="2">
        <f t="shared" si="718"/>
        <v>4400000</v>
      </c>
      <c r="O1165" s="2">
        <f t="shared" si="718"/>
        <v>0</v>
      </c>
      <c r="P1165" s="2">
        <f t="shared" si="718"/>
        <v>0</v>
      </c>
      <c r="Q1165" s="2">
        <f t="shared" si="718"/>
        <v>658.4</v>
      </c>
      <c r="R1165" s="2">
        <f t="shared" si="718"/>
        <v>1975200</v>
      </c>
      <c r="S1165" s="2">
        <f t="shared" si="718"/>
        <v>0</v>
      </c>
      <c r="T1165" s="2">
        <f t="shared" si="718"/>
        <v>0</v>
      </c>
      <c r="U1165" s="2">
        <f t="shared" si="718"/>
        <v>200000</v>
      </c>
      <c r="V1165" s="18">
        <f>C1165</f>
        <v>6765250</v>
      </c>
    </row>
    <row r="1166" spans="1:22" ht="21.95" customHeight="1" x14ac:dyDescent="0.25">
      <c r="A1166" s="37" t="s">
        <v>2005</v>
      </c>
      <c r="B1166" s="8" t="s">
        <v>373</v>
      </c>
      <c r="C1166" s="2">
        <f t="shared" si="689"/>
        <v>3357320</v>
      </c>
      <c r="D1166" s="3">
        <f t="shared" ref="D1166:D1167" si="719">SUM(E1166:J1166)</f>
        <v>92820</v>
      </c>
      <c r="E1166" s="3">
        <f>350*265.2</f>
        <v>92820</v>
      </c>
      <c r="F1166" s="3">
        <f>1050*0</f>
        <v>0</v>
      </c>
      <c r="G1166" s="3">
        <f>300*0</f>
        <v>0</v>
      </c>
      <c r="H1166" s="3">
        <f>400*0</f>
        <v>0</v>
      </c>
      <c r="I1166" s="3">
        <f>250*0</f>
        <v>0</v>
      </c>
      <c r="J1166" s="3">
        <v>0</v>
      </c>
      <c r="K1166" s="4">
        <v>0</v>
      </c>
      <c r="L1166" s="3">
        <v>0</v>
      </c>
      <c r="M1166" s="3">
        <v>400</v>
      </c>
      <c r="N1166" s="3">
        <f>M1166*5500</f>
        <v>2200000</v>
      </c>
      <c r="O1166" s="3">
        <v>0</v>
      </c>
      <c r="P1166" s="3">
        <v>0</v>
      </c>
      <c r="Q1166" s="3">
        <v>321.5</v>
      </c>
      <c r="R1166" s="3">
        <f t="shared" ref="R1166:R1167" si="720">Q1166*3000</f>
        <v>964500</v>
      </c>
      <c r="S1166" s="3">
        <v>0</v>
      </c>
      <c r="T1166" s="3">
        <v>0</v>
      </c>
      <c r="U1166" s="3">
        <v>100000</v>
      </c>
      <c r="V1166" s="6">
        <f t="shared" ref="V1166:V1167" si="721">N1166/M1166</f>
        <v>5500</v>
      </c>
    </row>
    <row r="1167" spans="1:22" ht="21.95" customHeight="1" x14ac:dyDescent="0.25">
      <c r="A1167" s="37" t="s">
        <v>2006</v>
      </c>
      <c r="B1167" s="8" t="s">
        <v>375</v>
      </c>
      <c r="C1167" s="2">
        <f t="shared" si="689"/>
        <v>3407930</v>
      </c>
      <c r="D1167" s="3">
        <f t="shared" si="719"/>
        <v>97230</v>
      </c>
      <c r="E1167" s="3">
        <f>350*277.8</f>
        <v>97230</v>
      </c>
      <c r="F1167" s="3">
        <f>1050*0</f>
        <v>0</v>
      </c>
      <c r="G1167" s="3">
        <f>300*0</f>
        <v>0</v>
      </c>
      <c r="H1167" s="3">
        <f>400*0</f>
        <v>0</v>
      </c>
      <c r="I1167" s="3">
        <f>250*0</f>
        <v>0</v>
      </c>
      <c r="J1167" s="3">
        <v>0</v>
      </c>
      <c r="K1167" s="4">
        <v>0</v>
      </c>
      <c r="L1167" s="3">
        <v>0</v>
      </c>
      <c r="M1167" s="3">
        <v>400</v>
      </c>
      <c r="N1167" s="3">
        <f>M1167*5500</f>
        <v>2200000</v>
      </c>
      <c r="O1167" s="3">
        <v>0</v>
      </c>
      <c r="P1167" s="3">
        <v>0</v>
      </c>
      <c r="Q1167" s="3">
        <v>336.9</v>
      </c>
      <c r="R1167" s="3">
        <f t="shared" si="720"/>
        <v>1010699.9999999999</v>
      </c>
      <c r="S1167" s="3">
        <v>0</v>
      </c>
      <c r="T1167" s="3">
        <v>0</v>
      </c>
      <c r="U1167" s="3">
        <v>100000</v>
      </c>
      <c r="V1167" s="6">
        <f t="shared" si="721"/>
        <v>5500</v>
      </c>
    </row>
    <row r="1168" spans="1:22" x14ac:dyDescent="0.25">
      <c r="A1168" s="46"/>
      <c r="B1168" s="7"/>
      <c r="C1168" s="25"/>
      <c r="D1168" s="7"/>
      <c r="E1168" s="7"/>
      <c r="F1168" s="7"/>
      <c r="G1168" s="7"/>
      <c r="H1168" s="7"/>
      <c r="I1168" s="7"/>
      <c r="J1168" s="7"/>
      <c r="K1168" s="31"/>
      <c r="L1168" s="7"/>
      <c r="M1168" s="7"/>
      <c r="N1168" s="7"/>
      <c r="O1168" s="25"/>
      <c r="P1168" s="25"/>
      <c r="Q1168" s="25"/>
      <c r="R1168" s="25"/>
      <c r="S1168" s="25"/>
      <c r="T1168" s="25"/>
      <c r="U1168" s="25"/>
    </row>
    <row r="1169" spans="1:21" x14ac:dyDescent="0.25">
      <c r="A1169" s="46"/>
      <c r="B1169" s="7"/>
      <c r="C1169" s="7"/>
      <c r="D1169" s="7"/>
      <c r="E1169" s="7"/>
      <c r="F1169" s="7"/>
      <c r="G1169" s="7"/>
      <c r="H1169" s="7"/>
      <c r="I1169" s="7"/>
      <c r="J1169" s="7"/>
      <c r="K1169" s="31"/>
      <c r="L1169" s="7"/>
      <c r="M1169" s="7"/>
      <c r="N1169" s="7"/>
      <c r="O1169" s="25"/>
      <c r="P1169" s="25"/>
      <c r="Q1169" s="25"/>
      <c r="R1169" s="25"/>
      <c r="S1169" s="25"/>
      <c r="T1169" s="25"/>
      <c r="U1169" s="25"/>
    </row>
  </sheetData>
  <sortState ref="A616:IX625">
    <sortCondition ref="B616:B625"/>
  </sortState>
  <mergeCells count="158">
    <mergeCell ref="A1161:B1161"/>
    <mergeCell ref="T3:U3"/>
    <mergeCell ref="A731:B731"/>
    <mergeCell ref="A749:B749"/>
    <mergeCell ref="A451:B451"/>
    <mergeCell ref="A432:B432"/>
    <mergeCell ref="A408:B408"/>
    <mergeCell ref="A360:B360"/>
    <mergeCell ref="A410:B410"/>
    <mergeCell ref="A368:B368"/>
    <mergeCell ref="A355:B355"/>
    <mergeCell ref="A259:B259"/>
    <mergeCell ref="A736:B736"/>
    <mergeCell ref="A727:B727"/>
    <mergeCell ref="A383:B383"/>
    <mergeCell ref="A462:B462"/>
    <mergeCell ref="A385:B385"/>
    <mergeCell ref="A428:B428"/>
    <mergeCell ref="A333:B333"/>
    <mergeCell ref="A315:B315"/>
    <mergeCell ref="A1126:B1126"/>
    <mergeCell ref="C3:C5"/>
    <mergeCell ref="A43:B43"/>
    <mergeCell ref="D3:S3"/>
    <mergeCell ref="A8:B8"/>
    <mergeCell ref="A9:U9"/>
    <mergeCell ref="A10:B10"/>
    <mergeCell ref="A11:B11"/>
    <mergeCell ref="A24:B24"/>
    <mergeCell ref="A862:B862"/>
    <mergeCell ref="A854:B854"/>
    <mergeCell ref="A789:B789"/>
    <mergeCell ref="A349:B349"/>
    <mergeCell ref="A364:B364"/>
    <mergeCell ref="A420:B420"/>
    <mergeCell ref="A430:B430"/>
    <mergeCell ref="A753:B753"/>
    <mergeCell ref="A783:B783"/>
    <mergeCell ref="A766:B766"/>
    <mergeCell ref="A788:U788"/>
    <mergeCell ref="A759:B759"/>
    <mergeCell ref="A761:B761"/>
    <mergeCell ref="A362:B362"/>
    <mergeCell ref="A374:B374"/>
    <mergeCell ref="A376:B376"/>
    <mergeCell ref="A57:B57"/>
    <mergeCell ref="A53:B53"/>
    <mergeCell ref="A55:B55"/>
    <mergeCell ref="A30:B30"/>
    <mergeCell ref="A35:B35"/>
    <mergeCell ref="A96:B96"/>
    <mergeCell ref="A114:B114"/>
    <mergeCell ref="A237:B237"/>
    <mergeCell ref="A1:U1"/>
    <mergeCell ref="A3:A6"/>
    <mergeCell ref="B3:B6"/>
    <mergeCell ref="A45:B45"/>
    <mergeCell ref="A28:B28"/>
    <mergeCell ref="A49:B49"/>
    <mergeCell ref="A47:B47"/>
    <mergeCell ref="A38:B38"/>
    <mergeCell ref="A33:B33"/>
    <mergeCell ref="D4:J4"/>
    <mergeCell ref="U4:U5"/>
    <mergeCell ref="T4:T5"/>
    <mergeCell ref="Q4:R5"/>
    <mergeCell ref="O4:P5"/>
    <mergeCell ref="M4:N5"/>
    <mergeCell ref="K4:L5"/>
    <mergeCell ref="A59:B59"/>
    <mergeCell ref="A66:B66"/>
    <mergeCell ref="A86:B86"/>
    <mergeCell ref="A242:B242"/>
    <mergeCell ref="A116:B116"/>
    <mergeCell ref="A325:B325"/>
    <mergeCell ref="A339:B339"/>
    <mergeCell ref="A347:B347"/>
    <mergeCell ref="A313:B313"/>
    <mergeCell ref="A255:B255"/>
    <mergeCell ref="A331:B331"/>
    <mergeCell ref="A104:B104"/>
    <mergeCell ref="A257:B257"/>
    <mergeCell ref="A319:B319"/>
    <mergeCell ref="A327:B327"/>
    <mergeCell ref="A285:B285"/>
    <mergeCell ref="A284:U284"/>
    <mergeCell ref="A118:B118"/>
    <mergeCell ref="A270:B270"/>
    <mergeCell ref="A247:B247"/>
    <mergeCell ref="A61:B61"/>
    <mergeCell ref="A858:B858"/>
    <mergeCell ref="A866:B866"/>
    <mergeCell ref="A868:B868"/>
    <mergeCell ref="A790:B790"/>
    <mergeCell ref="A839:B839"/>
    <mergeCell ref="A834:B834"/>
    <mergeCell ref="A817:B817"/>
    <mergeCell ref="A827:B827"/>
    <mergeCell ref="A852:B852"/>
    <mergeCell ref="A846:B846"/>
    <mergeCell ref="A351:B351"/>
    <mergeCell ref="A830:B830"/>
    <mergeCell ref="A64:B64"/>
    <mergeCell ref="A89:B89"/>
    <mergeCell ref="A321:B321"/>
    <mergeCell ref="A264:B264"/>
    <mergeCell ref="A357:B357"/>
    <mergeCell ref="A120:B120"/>
    <mergeCell ref="A268:B268"/>
    <mergeCell ref="A244:B244"/>
    <mergeCell ref="A251:B251"/>
    <mergeCell ref="A286:B286"/>
    <mergeCell ref="A68:B68"/>
    <mergeCell ref="A1122:B1122"/>
    <mergeCell ref="A844:B844"/>
    <mergeCell ref="A755:B755"/>
    <mergeCell ref="A786:B786"/>
    <mergeCell ref="A372:B372"/>
    <mergeCell ref="A1140:B1140"/>
    <mergeCell ref="A873:B873"/>
    <mergeCell ref="A453:B453"/>
    <mergeCell ref="A1118:B1118"/>
    <mergeCell ref="A905:B905"/>
    <mergeCell ref="A917:B917"/>
    <mergeCell ref="A1120:B1120"/>
    <mergeCell ref="A1130:B1130"/>
    <mergeCell ref="A733:B733"/>
    <mergeCell ref="A747:B747"/>
    <mergeCell ref="A763:B763"/>
    <mergeCell ref="A455:B455"/>
    <mergeCell ref="A458:B458"/>
    <mergeCell ref="A815:B815"/>
    <mergeCell ref="A864:B864"/>
    <mergeCell ref="A460:B460"/>
    <mergeCell ref="S4:S5"/>
    <mergeCell ref="A1165:B1165"/>
    <mergeCell ref="A1148:B1148"/>
    <mergeCell ref="A1133:B1133"/>
    <mergeCell ref="A1136:B1136"/>
    <mergeCell ref="A1124:B1124"/>
    <mergeCell ref="A920:B920"/>
    <mergeCell ref="A923:B923"/>
    <mergeCell ref="A1142:B1142"/>
    <mergeCell ref="A793:B793"/>
    <mergeCell ref="A903:B903"/>
    <mergeCell ref="A891:B891"/>
    <mergeCell ref="A875:B875"/>
    <mergeCell ref="A824:B824"/>
    <mergeCell ref="A898:B898"/>
    <mergeCell ref="A860:B860"/>
    <mergeCell ref="A836:B836"/>
    <mergeCell ref="A820:B820"/>
    <mergeCell ref="A1138:B1138"/>
    <mergeCell ref="A26:B26"/>
    <mergeCell ref="A266:B266"/>
    <mergeCell ref="A262:B262"/>
    <mergeCell ref="A1146:B1146"/>
    <mergeCell ref="A291:B291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2021-03-10T14:24:24Z</cp:lastPrinted>
  <dcterms:created xsi:type="dcterms:W3CDTF">2012-12-13T11:50:40Z</dcterms:created>
  <dcterms:modified xsi:type="dcterms:W3CDTF">2021-03-18T08:14:12Z</dcterms:modified>
</cp:coreProperties>
</file>