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5" yWindow="-405" windowWidth="9735" windowHeight="11760" tabRatio="300"/>
  </bookViews>
  <sheets>
    <sheet name="Прод. прилож" sheetId="13" r:id="rId1"/>
  </sheets>
  <definedNames>
    <definedName name="_xlnm._FilterDatabase" localSheetId="0" hidden="1">'Прод. прилож'!#REF!</definedName>
    <definedName name="_xlnm.Print_Titles" localSheetId="0">'Прод. прилож'!$7:$7</definedName>
    <definedName name="мп" localSheetId="0">#REF!</definedName>
    <definedName name="_xlnm.Print_Area" localSheetId="0">'Прод. прилож'!$A$1:$T$1245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</workbook>
</file>

<file path=xl/calcChain.xml><?xml version="1.0" encoding="utf-8"?>
<calcChain xmlns="http://schemas.openxmlformats.org/spreadsheetml/2006/main">
  <c r="D883" i="13" l="1"/>
  <c r="C883" i="13" s="1"/>
  <c r="P1200" i="13" l="1"/>
  <c r="N1200" i="13"/>
  <c r="U1200" i="13" s="1"/>
  <c r="D1200" i="13"/>
  <c r="R1199" i="13"/>
  <c r="P1199" i="13"/>
  <c r="N1199" i="13"/>
  <c r="U1199" i="13" s="1"/>
  <c r="I1199" i="13"/>
  <c r="H1199" i="13"/>
  <c r="G1199" i="13"/>
  <c r="F1199" i="13"/>
  <c r="E1199" i="13"/>
  <c r="R1198" i="13"/>
  <c r="R1197" i="13" s="1"/>
  <c r="P1198" i="13"/>
  <c r="N1198" i="13"/>
  <c r="U1198" i="13" s="1"/>
  <c r="I1198" i="13"/>
  <c r="I1197" i="13" s="1"/>
  <c r="H1198" i="13"/>
  <c r="H1197" i="13" s="1"/>
  <c r="G1198" i="13"/>
  <c r="G1197" i="13" s="1"/>
  <c r="F1198" i="13"/>
  <c r="E1198" i="13"/>
  <c r="E1197" i="13" s="1"/>
  <c r="T1197" i="13"/>
  <c r="S1197" i="13"/>
  <c r="Q1197" i="13"/>
  <c r="P1197" i="13"/>
  <c r="O1197" i="13"/>
  <c r="M1197" i="13"/>
  <c r="L1197" i="13"/>
  <c r="K1197" i="13"/>
  <c r="J1197" i="13"/>
  <c r="T978" i="13"/>
  <c r="S978" i="13"/>
  <c r="R978" i="13"/>
  <c r="Q978" i="13"/>
  <c r="P978" i="13"/>
  <c r="O978" i="13"/>
  <c r="N978" i="13"/>
  <c r="M978" i="13"/>
  <c r="L978" i="13"/>
  <c r="K978" i="13"/>
  <c r="J978" i="13"/>
  <c r="H978" i="13"/>
  <c r="N1197" i="13" l="1"/>
  <c r="F1197" i="13"/>
  <c r="C1200" i="13"/>
  <c r="D1199" i="13"/>
  <c r="C1199" i="13" s="1"/>
  <c r="D1198" i="13"/>
  <c r="C1198" i="13" s="1"/>
  <c r="T959" i="13"/>
  <c r="S959" i="13"/>
  <c r="Q959" i="13"/>
  <c r="P959" i="13"/>
  <c r="O959" i="13"/>
  <c r="M959" i="13"/>
  <c r="L959" i="13"/>
  <c r="K959" i="13"/>
  <c r="J959" i="13"/>
  <c r="I959" i="13"/>
  <c r="H959" i="13"/>
  <c r="F959" i="13"/>
  <c r="N961" i="13"/>
  <c r="U961" i="13" s="1"/>
  <c r="G961" i="13"/>
  <c r="G959" i="13" s="1"/>
  <c r="E961" i="13"/>
  <c r="E960" i="13"/>
  <c r="D960" i="13" s="1"/>
  <c r="T956" i="13"/>
  <c r="S956" i="13"/>
  <c r="Q956" i="13"/>
  <c r="P956" i="13"/>
  <c r="O956" i="13"/>
  <c r="M956" i="13"/>
  <c r="L956" i="13"/>
  <c r="K956" i="13"/>
  <c r="J956" i="13"/>
  <c r="I956" i="13"/>
  <c r="H956" i="13"/>
  <c r="F956" i="13"/>
  <c r="E958" i="13"/>
  <c r="D958" i="13" s="1"/>
  <c r="N957" i="13"/>
  <c r="U957" i="13" s="1"/>
  <c r="G957" i="13"/>
  <c r="E957" i="13"/>
  <c r="T953" i="13"/>
  <c r="S953" i="13"/>
  <c r="Q953" i="13"/>
  <c r="P953" i="13"/>
  <c r="O953" i="13"/>
  <c r="M953" i="13"/>
  <c r="L953" i="13"/>
  <c r="K953" i="13"/>
  <c r="J953" i="13"/>
  <c r="I953" i="13"/>
  <c r="H953" i="13"/>
  <c r="G953" i="13"/>
  <c r="F953" i="13"/>
  <c r="E955" i="13"/>
  <c r="D955" i="13" s="1"/>
  <c r="E954" i="13"/>
  <c r="D954" i="13" s="1"/>
  <c r="T949" i="13"/>
  <c r="S949" i="13"/>
  <c r="Q949" i="13"/>
  <c r="O949" i="13"/>
  <c r="M949" i="13"/>
  <c r="L949" i="13"/>
  <c r="K949" i="13"/>
  <c r="J949" i="13"/>
  <c r="E952" i="13"/>
  <c r="N951" i="13"/>
  <c r="U951" i="13" s="1"/>
  <c r="E951" i="13"/>
  <c r="N952" i="13"/>
  <c r="U952" i="13" s="1"/>
  <c r="N950" i="13"/>
  <c r="U950" i="13" s="1"/>
  <c r="I950" i="13"/>
  <c r="I949" i="13" s="1"/>
  <c r="H950" i="13"/>
  <c r="H949" i="13" s="1"/>
  <c r="G950" i="13"/>
  <c r="G949" i="13" s="1"/>
  <c r="F950" i="13"/>
  <c r="F949" i="13" s="1"/>
  <c r="E950" i="13"/>
  <c r="T947" i="13"/>
  <c r="S947" i="13"/>
  <c r="R947" i="13"/>
  <c r="Q947" i="13"/>
  <c r="P947" i="13"/>
  <c r="O947" i="13"/>
  <c r="M947" i="13"/>
  <c r="L947" i="13"/>
  <c r="K947" i="13"/>
  <c r="J947" i="13"/>
  <c r="I947" i="13"/>
  <c r="H947" i="13"/>
  <c r="G947" i="13"/>
  <c r="F947" i="13"/>
  <c r="E947" i="13"/>
  <c r="D948" i="13"/>
  <c r="N948" i="13"/>
  <c r="N947" i="13" s="1"/>
  <c r="T945" i="13"/>
  <c r="S945" i="13"/>
  <c r="Q945" i="13"/>
  <c r="P945" i="13"/>
  <c r="O945" i="13"/>
  <c r="M945" i="13"/>
  <c r="L945" i="13"/>
  <c r="K945" i="13"/>
  <c r="J945" i="13"/>
  <c r="I945" i="13"/>
  <c r="H945" i="13"/>
  <c r="F945" i="13"/>
  <c r="N955" i="13"/>
  <c r="U955" i="13" s="1"/>
  <c r="N954" i="13"/>
  <c r="U954" i="13" s="1"/>
  <c r="N946" i="13"/>
  <c r="U946" i="13" s="1"/>
  <c r="G946" i="13"/>
  <c r="G945" i="13" s="1"/>
  <c r="E946" i="13"/>
  <c r="E945" i="13" s="1"/>
  <c r="T943" i="13"/>
  <c r="S943" i="13"/>
  <c r="Q943" i="13"/>
  <c r="P943" i="13"/>
  <c r="O943" i="13"/>
  <c r="M943" i="13"/>
  <c r="L943" i="13"/>
  <c r="K943" i="13"/>
  <c r="J943" i="13"/>
  <c r="H943" i="13"/>
  <c r="F943" i="13"/>
  <c r="R961" i="13"/>
  <c r="R960" i="13"/>
  <c r="R958" i="13"/>
  <c r="R957" i="13"/>
  <c r="R955" i="13"/>
  <c r="R954" i="13"/>
  <c r="R952" i="13"/>
  <c r="R950" i="13"/>
  <c r="R946" i="13"/>
  <c r="R945" i="13" s="1"/>
  <c r="R944" i="13"/>
  <c r="R943" i="13" s="1"/>
  <c r="N944" i="13"/>
  <c r="N943" i="13" s="1"/>
  <c r="I944" i="13"/>
  <c r="I943" i="13" s="1"/>
  <c r="G944" i="13"/>
  <c r="G943" i="13" s="1"/>
  <c r="E944" i="13"/>
  <c r="E943" i="13" s="1"/>
  <c r="T938" i="13"/>
  <c r="S938" i="13"/>
  <c r="Q938" i="13"/>
  <c r="O938" i="13"/>
  <c r="M938" i="13"/>
  <c r="L938" i="13"/>
  <c r="K938" i="13"/>
  <c r="J938" i="13"/>
  <c r="H938" i="13"/>
  <c r="I942" i="13"/>
  <c r="G942" i="13"/>
  <c r="F942" i="13"/>
  <c r="F938" i="13" s="1"/>
  <c r="E942" i="13"/>
  <c r="I941" i="13"/>
  <c r="G941" i="13"/>
  <c r="E941" i="13"/>
  <c r="D940" i="13"/>
  <c r="I939" i="13"/>
  <c r="I938" i="13" s="1"/>
  <c r="G939" i="13"/>
  <c r="G938" i="13" s="1"/>
  <c r="E939" i="13"/>
  <c r="P950" i="13"/>
  <c r="P949" i="13" s="1"/>
  <c r="P942" i="13"/>
  <c r="P941" i="13"/>
  <c r="P939" i="13"/>
  <c r="R942" i="13"/>
  <c r="R941" i="13"/>
  <c r="R939" i="13"/>
  <c r="N942" i="13"/>
  <c r="U942" i="13" s="1"/>
  <c r="N941" i="13"/>
  <c r="U941" i="13" s="1"/>
  <c r="N940" i="13"/>
  <c r="U940" i="13" s="1"/>
  <c r="N939" i="13"/>
  <c r="U939" i="13" s="1"/>
  <c r="T934" i="13"/>
  <c r="S934" i="13"/>
  <c r="Q934" i="13"/>
  <c r="P934" i="13"/>
  <c r="O934" i="13"/>
  <c r="N934" i="13"/>
  <c r="M934" i="13"/>
  <c r="L934" i="13"/>
  <c r="K934" i="13"/>
  <c r="J934" i="13"/>
  <c r="H934" i="13"/>
  <c r="I937" i="13"/>
  <c r="G937" i="13"/>
  <c r="F937" i="13"/>
  <c r="E937" i="13"/>
  <c r="I936" i="13"/>
  <c r="G936" i="13"/>
  <c r="F936" i="13"/>
  <c r="E936" i="13"/>
  <c r="I935" i="13"/>
  <c r="I934" i="13" s="1"/>
  <c r="G935" i="13"/>
  <c r="G934" i="13" s="1"/>
  <c r="F935" i="13"/>
  <c r="F934" i="13" s="1"/>
  <c r="E935" i="13"/>
  <c r="E934" i="13" s="1"/>
  <c r="R937" i="13"/>
  <c r="R936" i="13"/>
  <c r="R935" i="13"/>
  <c r="T932" i="13"/>
  <c r="S932" i="13"/>
  <c r="Q932" i="13"/>
  <c r="P932" i="13"/>
  <c r="O932" i="13"/>
  <c r="M932" i="13"/>
  <c r="L932" i="13"/>
  <c r="K932" i="13"/>
  <c r="J932" i="13"/>
  <c r="I932" i="13"/>
  <c r="H932" i="13"/>
  <c r="G932" i="13"/>
  <c r="F932" i="13"/>
  <c r="E933" i="13"/>
  <c r="D933" i="13" s="1"/>
  <c r="D932" i="13" s="1"/>
  <c r="R933" i="13"/>
  <c r="R932" i="13" s="1"/>
  <c r="N933" i="13"/>
  <c r="U933" i="13" s="1"/>
  <c r="T929" i="13"/>
  <c r="S929" i="13"/>
  <c r="R929" i="13"/>
  <c r="Q929" i="13"/>
  <c r="P929" i="13"/>
  <c r="O929" i="13"/>
  <c r="M929" i="13"/>
  <c r="L929" i="13"/>
  <c r="K929" i="13"/>
  <c r="J929" i="13"/>
  <c r="H929" i="13"/>
  <c r="F929" i="13"/>
  <c r="I931" i="13"/>
  <c r="G931" i="13"/>
  <c r="E931" i="13"/>
  <c r="I930" i="13"/>
  <c r="G930" i="13"/>
  <c r="E930" i="13"/>
  <c r="N931" i="13"/>
  <c r="N930" i="13"/>
  <c r="U930" i="13" s="1"/>
  <c r="T918" i="13"/>
  <c r="S918" i="13"/>
  <c r="Q918" i="13"/>
  <c r="O918" i="13"/>
  <c r="M918" i="13"/>
  <c r="L918" i="13"/>
  <c r="K918" i="13"/>
  <c r="J918" i="13"/>
  <c r="I928" i="13"/>
  <c r="H928" i="13"/>
  <c r="G928" i="13"/>
  <c r="F928" i="13"/>
  <c r="E928" i="13"/>
  <c r="I927" i="13"/>
  <c r="H927" i="13"/>
  <c r="G927" i="13"/>
  <c r="F927" i="13"/>
  <c r="E927" i="13"/>
  <c r="I926" i="13"/>
  <c r="H926" i="13"/>
  <c r="G926" i="13"/>
  <c r="F926" i="13"/>
  <c r="E926" i="13"/>
  <c r="N925" i="13"/>
  <c r="I925" i="13"/>
  <c r="H925" i="13"/>
  <c r="G925" i="13"/>
  <c r="F925" i="13"/>
  <c r="E925" i="13"/>
  <c r="I924" i="13"/>
  <c r="H924" i="13"/>
  <c r="G924" i="13"/>
  <c r="F924" i="13"/>
  <c r="E924" i="13"/>
  <c r="I923" i="13"/>
  <c r="H923" i="13"/>
  <c r="G923" i="13"/>
  <c r="F923" i="13"/>
  <c r="E923" i="13"/>
  <c r="I922" i="13"/>
  <c r="H922" i="13"/>
  <c r="G922" i="13"/>
  <c r="F922" i="13"/>
  <c r="E922" i="13"/>
  <c r="I921" i="13"/>
  <c r="H921" i="13"/>
  <c r="G921" i="13"/>
  <c r="F921" i="13"/>
  <c r="E921" i="13"/>
  <c r="I920" i="13"/>
  <c r="H920" i="13"/>
  <c r="G920" i="13"/>
  <c r="F920" i="13"/>
  <c r="E920" i="13"/>
  <c r="I919" i="13"/>
  <c r="H919" i="13"/>
  <c r="G919" i="13"/>
  <c r="F919" i="13"/>
  <c r="E919" i="13"/>
  <c r="P919" i="13"/>
  <c r="P918" i="13" s="1"/>
  <c r="R928" i="13"/>
  <c r="R927" i="13"/>
  <c r="R926" i="13"/>
  <c r="R925" i="13"/>
  <c r="R924" i="13"/>
  <c r="R923" i="13"/>
  <c r="R922" i="13"/>
  <c r="R921" i="13"/>
  <c r="R920" i="13"/>
  <c r="R919" i="13"/>
  <c r="N919" i="13"/>
  <c r="U919" i="13" s="1"/>
  <c r="T916" i="13"/>
  <c r="S916" i="13"/>
  <c r="R916" i="13"/>
  <c r="Q916" i="13"/>
  <c r="P916" i="13"/>
  <c r="O916" i="13"/>
  <c r="M916" i="13"/>
  <c r="L916" i="13"/>
  <c r="K916" i="13"/>
  <c r="J916" i="13"/>
  <c r="I916" i="13"/>
  <c r="H916" i="13"/>
  <c r="G916" i="13"/>
  <c r="F916" i="13"/>
  <c r="E916" i="13"/>
  <c r="D917" i="13"/>
  <c r="T910" i="13"/>
  <c r="S910" i="13"/>
  <c r="Q910" i="13"/>
  <c r="P910" i="13"/>
  <c r="O910" i="13"/>
  <c r="M910" i="13"/>
  <c r="L910" i="13"/>
  <c r="K910" i="13"/>
  <c r="J910" i="13"/>
  <c r="H910" i="13"/>
  <c r="F910" i="13"/>
  <c r="I913" i="13"/>
  <c r="G913" i="13"/>
  <c r="E913" i="13"/>
  <c r="I912" i="13"/>
  <c r="G912" i="13"/>
  <c r="E912" i="13"/>
  <c r="D915" i="13"/>
  <c r="D914" i="13"/>
  <c r="D911" i="13"/>
  <c r="R914" i="13"/>
  <c r="R912" i="13"/>
  <c r="R911" i="13"/>
  <c r="N915" i="13"/>
  <c r="U915" i="13" s="1"/>
  <c r="N914" i="13"/>
  <c r="U914" i="13" s="1"/>
  <c r="N911" i="13"/>
  <c r="U911" i="13" s="1"/>
  <c r="T908" i="13"/>
  <c r="S908" i="13"/>
  <c r="Q908" i="13"/>
  <c r="P908" i="13"/>
  <c r="O908" i="13"/>
  <c r="N908" i="13"/>
  <c r="M908" i="13"/>
  <c r="L908" i="13"/>
  <c r="K908" i="13"/>
  <c r="J908" i="13"/>
  <c r="R909" i="13"/>
  <c r="R908" i="13" s="1"/>
  <c r="I909" i="13"/>
  <c r="I908" i="13" s="1"/>
  <c r="H909" i="13"/>
  <c r="H908" i="13" s="1"/>
  <c r="G909" i="13"/>
  <c r="G908" i="13" s="1"/>
  <c r="F909" i="13"/>
  <c r="F908" i="13" s="1"/>
  <c r="E909" i="13"/>
  <c r="E908" i="13" s="1"/>
  <c r="T905" i="13"/>
  <c r="S905" i="13"/>
  <c r="Q905" i="13"/>
  <c r="O905" i="13"/>
  <c r="N905" i="13"/>
  <c r="M905" i="13"/>
  <c r="L905" i="13"/>
  <c r="K905" i="13"/>
  <c r="J905" i="13"/>
  <c r="I907" i="13"/>
  <c r="H907" i="13"/>
  <c r="G907" i="13"/>
  <c r="F907" i="13"/>
  <c r="E907" i="13"/>
  <c r="R907" i="13"/>
  <c r="R906" i="13"/>
  <c r="P907" i="13"/>
  <c r="P906" i="13"/>
  <c r="I906" i="13"/>
  <c r="H906" i="13"/>
  <c r="G906" i="13"/>
  <c r="F906" i="13"/>
  <c r="E906" i="13"/>
  <c r="T902" i="13"/>
  <c r="S902" i="13"/>
  <c r="Q902" i="13"/>
  <c r="P902" i="13"/>
  <c r="O902" i="13"/>
  <c r="M902" i="13"/>
  <c r="L902" i="13"/>
  <c r="K902" i="13"/>
  <c r="J902" i="13"/>
  <c r="I902" i="13"/>
  <c r="H902" i="13"/>
  <c r="G902" i="13"/>
  <c r="F902" i="13"/>
  <c r="E902" i="13"/>
  <c r="R904" i="13"/>
  <c r="R903" i="13"/>
  <c r="N904" i="13"/>
  <c r="U904" i="13" s="1"/>
  <c r="N903" i="13"/>
  <c r="D904" i="13"/>
  <c r="D903" i="13"/>
  <c r="T898" i="13"/>
  <c r="S898" i="13"/>
  <c r="Q898" i="13"/>
  <c r="O898" i="13"/>
  <c r="M898" i="13"/>
  <c r="L898" i="13"/>
  <c r="K898" i="13"/>
  <c r="J898" i="13"/>
  <c r="R901" i="13"/>
  <c r="R898" i="13" s="1"/>
  <c r="P901" i="13"/>
  <c r="P898" i="13" s="1"/>
  <c r="N901" i="13"/>
  <c r="U901" i="13" s="1"/>
  <c r="I901" i="13"/>
  <c r="H901" i="13"/>
  <c r="G901" i="13"/>
  <c r="F901" i="13"/>
  <c r="E901" i="13"/>
  <c r="I900" i="13"/>
  <c r="H900" i="13"/>
  <c r="G900" i="13"/>
  <c r="F900" i="13"/>
  <c r="E900" i="13"/>
  <c r="I899" i="13"/>
  <c r="H899" i="13"/>
  <c r="G899" i="13"/>
  <c r="F899" i="13"/>
  <c r="E899" i="13"/>
  <c r="T887" i="13"/>
  <c r="S887" i="13"/>
  <c r="Q887" i="13"/>
  <c r="P887" i="13"/>
  <c r="O887" i="13"/>
  <c r="M887" i="13"/>
  <c r="L887" i="13"/>
  <c r="K887" i="13"/>
  <c r="J887" i="13"/>
  <c r="I897" i="13"/>
  <c r="H897" i="13"/>
  <c r="G897" i="13"/>
  <c r="F897" i="13"/>
  <c r="E897" i="13"/>
  <c r="I896" i="13"/>
  <c r="H896" i="13"/>
  <c r="G896" i="13"/>
  <c r="F896" i="13"/>
  <c r="E896" i="13"/>
  <c r="I895" i="13"/>
  <c r="H895" i="13"/>
  <c r="G895" i="13"/>
  <c r="F895" i="13"/>
  <c r="E895" i="13"/>
  <c r="I894" i="13"/>
  <c r="H894" i="13"/>
  <c r="G894" i="13"/>
  <c r="F894" i="13"/>
  <c r="E894" i="13"/>
  <c r="I893" i="13"/>
  <c r="H893" i="13"/>
  <c r="G893" i="13"/>
  <c r="F893" i="13"/>
  <c r="E893" i="13"/>
  <c r="I892" i="13"/>
  <c r="H892" i="13"/>
  <c r="G892" i="13"/>
  <c r="F892" i="13"/>
  <c r="E892" i="13"/>
  <c r="I891" i="13"/>
  <c r="H891" i="13"/>
  <c r="G891" i="13"/>
  <c r="F891" i="13"/>
  <c r="E891" i="13"/>
  <c r="I890" i="13"/>
  <c r="H890" i="13"/>
  <c r="G890" i="13"/>
  <c r="F890" i="13"/>
  <c r="E890" i="13"/>
  <c r="I889" i="13"/>
  <c r="H889" i="13"/>
  <c r="G889" i="13"/>
  <c r="F889" i="13"/>
  <c r="E889" i="13"/>
  <c r="R896" i="13"/>
  <c r="N896" i="13"/>
  <c r="U896" i="13" s="1"/>
  <c r="N895" i="13"/>
  <c r="U895" i="13" s="1"/>
  <c r="R897" i="13"/>
  <c r="R894" i="13"/>
  <c r="R892" i="13"/>
  <c r="R891" i="13"/>
  <c r="R890" i="13"/>
  <c r="R889" i="13"/>
  <c r="R888" i="13"/>
  <c r="I888" i="13"/>
  <c r="H888" i="13"/>
  <c r="G888" i="13"/>
  <c r="F888" i="13"/>
  <c r="E888" i="13"/>
  <c r="T884" i="13"/>
  <c r="S884" i="13"/>
  <c r="Q884" i="13"/>
  <c r="P884" i="13"/>
  <c r="O884" i="13"/>
  <c r="M884" i="13"/>
  <c r="L884" i="13"/>
  <c r="K884" i="13"/>
  <c r="J884" i="13"/>
  <c r="H884" i="13"/>
  <c r="F884" i="13"/>
  <c r="I886" i="13"/>
  <c r="G886" i="13"/>
  <c r="E886" i="13"/>
  <c r="I885" i="13"/>
  <c r="G885" i="13"/>
  <c r="E885" i="13"/>
  <c r="R886" i="13"/>
  <c r="R885" i="13"/>
  <c r="N886" i="13"/>
  <c r="U886" i="13" s="1"/>
  <c r="N885" i="13"/>
  <c r="U885" i="13" s="1"/>
  <c r="T880" i="13"/>
  <c r="S880" i="13"/>
  <c r="Q880" i="13"/>
  <c r="P880" i="13"/>
  <c r="O880" i="13"/>
  <c r="M880" i="13"/>
  <c r="L880" i="13"/>
  <c r="K880" i="13"/>
  <c r="J880" i="13"/>
  <c r="I880" i="13"/>
  <c r="H880" i="13"/>
  <c r="G880" i="13"/>
  <c r="F880" i="13"/>
  <c r="E882" i="13"/>
  <c r="D882" i="13" s="1"/>
  <c r="E881" i="13"/>
  <c r="D881" i="13" s="1"/>
  <c r="R882" i="13"/>
  <c r="R881" i="13"/>
  <c r="N882" i="13"/>
  <c r="N881" i="13"/>
  <c r="U881" i="13" s="1"/>
  <c r="T876" i="13"/>
  <c r="S876" i="13"/>
  <c r="Q876" i="13"/>
  <c r="P876" i="13"/>
  <c r="O876" i="13"/>
  <c r="M876" i="13"/>
  <c r="L876" i="13"/>
  <c r="K876" i="13"/>
  <c r="J876" i="13"/>
  <c r="H876" i="13"/>
  <c r="I879" i="13"/>
  <c r="I876" i="13" s="1"/>
  <c r="G879" i="13"/>
  <c r="G876" i="13" s="1"/>
  <c r="F879" i="13"/>
  <c r="F876" i="13" s="1"/>
  <c r="E879" i="13"/>
  <c r="E878" i="13"/>
  <c r="D878" i="13" s="1"/>
  <c r="R878" i="13"/>
  <c r="R877" i="13"/>
  <c r="N878" i="13"/>
  <c r="U878" i="13" s="1"/>
  <c r="N877" i="13"/>
  <c r="U877" i="13" s="1"/>
  <c r="E877" i="13"/>
  <c r="D877" i="13" s="1"/>
  <c r="T874" i="13"/>
  <c r="S874" i="13"/>
  <c r="Q874" i="13"/>
  <c r="P874" i="13"/>
  <c r="O874" i="13"/>
  <c r="M874" i="13"/>
  <c r="L874" i="13"/>
  <c r="K874" i="13"/>
  <c r="J874" i="13"/>
  <c r="I874" i="13"/>
  <c r="H874" i="13"/>
  <c r="G874" i="13"/>
  <c r="F875" i="13"/>
  <c r="E875" i="13"/>
  <c r="E874" i="13" s="1"/>
  <c r="R875" i="13"/>
  <c r="R874" i="13" s="1"/>
  <c r="N875" i="13"/>
  <c r="U875" i="13" s="1"/>
  <c r="T872" i="13"/>
  <c r="S872" i="13"/>
  <c r="R872" i="13"/>
  <c r="Q872" i="13"/>
  <c r="P872" i="13"/>
  <c r="O872" i="13"/>
  <c r="N872" i="13"/>
  <c r="M872" i="13"/>
  <c r="L872" i="13"/>
  <c r="K872" i="13"/>
  <c r="J872" i="13"/>
  <c r="I872" i="13"/>
  <c r="H872" i="13"/>
  <c r="G872" i="13"/>
  <c r="F872" i="13"/>
  <c r="E873" i="13"/>
  <c r="D873" i="13" s="1"/>
  <c r="C873" i="13" s="1"/>
  <c r="C872" i="13" s="1"/>
  <c r="T867" i="13"/>
  <c r="S867" i="13"/>
  <c r="Q867" i="13"/>
  <c r="O867" i="13"/>
  <c r="M867" i="13"/>
  <c r="L867" i="13"/>
  <c r="K867" i="13"/>
  <c r="J867" i="13"/>
  <c r="H867" i="13"/>
  <c r="F867" i="13"/>
  <c r="E871" i="13"/>
  <c r="D871" i="13" s="1"/>
  <c r="E870" i="13"/>
  <c r="D870" i="13" s="1"/>
  <c r="I869" i="13"/>
  <c r="G869" i="13"/>
  <c r="E869" i="13"/>
  <c r="I868" i="13"/>
  <c r="G868" i="13"/>
  <c r="E868" i="13"/>
  <c r="R871" i="13"/>
  <c r="R870" i="13"/>
  <c r="R869" i="13"/>
  <c r="R868" i="13"/>
  <c r="P869" i="13"/>
  <c r="P867" i="13" s="1"/>
  <c r="N871" i="13"/>
  <c r="U871" i="13" s="1"/>
  <c r="N870" i="13"/>
  <c r="U870" i="13" s="1"/>
  <c r="N868" i="13"/>
  <c r="U868" i="13" s="1"/>
  <c r="U960" i="13"/>
  <c r="U958" i="13"/>
  <c r="U937" i="13"/>
  <c r="U936" i="13"/>
  <c r="U935" i="13"/>
  <c r="U931" i="13"/>
  <c r="U927" i="13"/>
  <c r="U926" i="13"/>
  <c r="U924" i="13"/>
  <c r="U922" i="13"/>
  <c r="U921" i="13"/>
  <c r="U920" i="13"/>
  <c r="U913" i="13"/>
  <c r="U912" i="13"/>
  <c r="U909" i="13"/>
  <c r="U907" i="13"/>
  <c r="U906" i="13"/>
  <c r="U900" i="13"/>
  <c r="U899" i="13"/>
  <c r="U897" i="13"/>
  <c r="U894" i="13"/>
  <c r="U893" i="13"/>
  <c r="U892" i="13"/>
  <c r="U891" i="13"/>
  <c r="U890" i="13"/>
  <c r="U889" i="13"/>
  <c r="U888" i="13"/>
  <c r="U883" i="13"/>
  <c r="U882" i="13"/>
  <c r="U879" i="13"/>
  <c r="U873" i="13"/>
  <c r="U869" i="13"/>
  <c r="T850" i="13"/>
  <c r="S850" i="13"/>
  <c r="Q850" i="13"/>
  <c r="O850" i="13"/>
  <c r="M850" i="13"/>
  <c r="L850" i="13"/>
  <c r="K850" i="13"/>
  <c r="J850" i="13"/>
  <c r="I866" i="13"/>
  <c r="H866" i="13"/>
  <c r="G866" i="13"/>
  <c r="F866" i="13"/>
  <c r="E866" i="13"/>
  <c r="I865" i="13"/>
  <c r="G865" i="13"/>
  <c r="E865" i="13"/>
  <c r="I864" i="13"/>
  <c r="G864" i="13"/>
  <c r="E864" i="13"/>
  <c r="I863" i="13"/>
  <c r="G863" i="13"/>
  <c r="E863" i="13"/>
  <c r="I862" i="13"/>
  <c r="G862" i="13"/>
  <c r="E862" i="13"/>
  <c r="I861" i="13"/>
  <c r="G861" i="13"/>
  <c r="F861" i="13"/>
  <c r="E861" i="13"/>
  <c r="I860" i="13"/>
  <c r="H860" i="13"/>
  <c r="G860" i="13"/>
  <c r="F860" i="13"/>
  <c r="E860" i="13"/>
  <c r="I859" i="13"/>
  <c r="G859" i="13"/>
  <c r="F859" i="13"/>
  <c r="E859" i="13"/>
  <c r="I858" i="13"/>
  <c r="G858" i="13"/>
  <c r="F858" i="13"/>
  <c r="E858" i="13"/>
  <c r="I857" i="13"/>
  <c r="H857" i="13"/>
  <c r="G857" i="13"/>
  <c r="F857" i="13"/>
  <c r="E857" i="13"/>
  <c r="I856" i="13"/>
  <c r="H856" i="13"/>
  <c r="G856" i="13"/>
  <c r="F856" i="13"/>
  <c r="E856" i="13"/>
  <c r="I855" i="13"/>
  <c r="H855" i="13"/>
  <c r="G855" i="13"/>
  <c r="F855" i="13"/>
  <c r="E855" i="13"/>
  <c r="I853" i="13"/>
  <c r="G853" i="13"/>
  <c r="F853" i="13"/>
  <c r="E853" i="13"/>
  <c r="I852" i="13"/>
  <c r="G852" i="13"/>
  <c r="F852" i="13"/>
  <c r="E852" i="13"/>
  <c r="I851" i="13"/>
  <c r="G851" i="13"/>
  <c r="F851" i="13"/>
  <c r="E851" i="13"/>
  <c r="P866" i="13"/>
  <c r="P859" i="13"/>
  <c r="P858" i="13"/>
  <c r="P853" i="13"/>
  <c r="P852" i="13"/>
  <c r="P851" i="13"/>
  <c r="N866" i="13"/>
  <c r="U866" i="13" s="1"/>
  <c r="N861" i="13"/>
  <c r="U861" i="13" s="1"/>
  <c r="N860" i="13"/>
  <c r="U860" i="13" s="1"/>
  <c r="N857" i="13"/>
  <c r="U857" i="13" s="1"/>
  <c r="N856" i="13"/>
  <c r="U856" i="13" s="1"/>
  <c r="N855" i="13"/>
  <c r="U855" i="13" s="1"/>
  <c r="N853" i="13"/>
  <c r="U853" i="13" s="1"/>
  <c r="N851" i="13"/>
  <c r="U851" i="13" s="1"/>
  <c r="R866" i="13"/>
  <c r="R861" i="13"/>
  <c r="R860" i="13"/>
  <c r="R859" i="13"/>
  <c r="R858" i="13"/>
  <c r="R856" i="13"/>
  <c r="R855" i="13"/>
  <c r="R854" i="13"/>
  <c r="R853" i="13"/>
  <c r="R851" i="13"/>
  <c r="T846" i="13"/>
  <c r="S846" i="13"/>
  <c r="Q846" i="13"/>
  <c r="P846" i="13"/>
  <c r="O846" i="13"/>
  <c r="M846" i="13"/>
  <c r="L846" i="13"/>
  <c r="K846" i="13"/>
  <c r="J846" i="13"/>
  <c r="H846" i="13"/>
  <c r="R849" i="13"/>
  <c r="R847" i="13"/>
  <c r="N849" i="13"/>
  <c r="U849" i="13" s="1"/>
  <c r="N848" i="13"/>
  <c r="U848" i="13" s="1"/>
  <c r="N847" i="13"/>
  <c r="U847" i="13" s="1"/>
  <c r="U865" i="13"/>
  <c r="U864" i="13"/>
  <c r="U863" i="13"/>
  <c r="U862" i="13"/>
  <c r="U859" i="13"/>
  <c r="U858" i="13"/>
  <c r="U854" i="13"/>
  <c r="U852" i="13"/>
  <c r="I849" i="13"/>
  <c r="I846" i="13" s="1"/>
  <c r="G849" i="13"/>
  <c r="G846" i="13" s="1"/>
  <c r="F849" i="13"/>
  <c r="F846" i="13" s="1"/>
  <c r="E849" i="13"/>
  <c r="E846" i="13" s="1"/>
  <c r="D848" i="13"/>
  <c r="D847" i="13"/>
  <c r="T552" i="13"/>
  <c r="S552" i="13"/>
  <c r="Q552" i="13"/>
  <c r="P552" i="13"/>
  <c r="O552" i="13"/>
  <c r="M552" i="13"/>
  <c r="L552" i="13"/>
  <c r="K552" i="13"/>
  <c r="J552" i="13"/>
  <c r="I554" i="13"/>
  <c r="H554" i="13"/>
  <c r="G554" i="13"/>
  <c r="F554" i="13"/>
  <c r="E554" i="13"/>
  <c r="I553" i="13"/>
  <c r="H553" i="13"/>
  <c r="G553" i="13"/>
  <c r="F553" i="13"/>
  <c r="E553" i="13"/>
  <c r="T549" i="13"/>
  <c r="S549" i="13"/>
  <c r="Q549" i="13"/>
  <c r="P549" i="13"/>
  <c r="O549" i="13"/>
  <c r="M549" i="13"/>
  <c r="L549" i="13"/>
  <c r="K549" i="13"/>
  <c r="J549" i="13"/>
  <c r="I549" i="13"/>
  <c r="H549" i="13"/>
  <c r="G549" i="13"/>
  <c r="F549" i="13"/>
  <c r="R554" i="13"/>
  <c r="R553" i="13"/>
  <c r="R551" i="13"/>
  <c r="R550" i="13"/>
  <c r="N554" i="13"/>
  <c r="N553" i="13"/>
  <c r="U553" i="13" s="1"/>
  <c r="N551" i="13"/>
  <c r="U551" i="13" s="1"/>
  <c r="N550" i="13"/>
  <c r="U550" i="13" s="1"/>
  <c r="E551" i="13"/>
  <c r="D551" i="13" s="1"/>
  <c r="E550" i="13"/>
  <c r="T545" i="13"/>
  <c r="S545" i="13"/>
  <c r="Q545" i="13"/>
  <c r="O545" i="13"/>
  <c r="M545" i="13"/>
  <c r="L545" i="13"/>
  <c r="K545" i="13"/>
  <c r="J545" i="13"/>
  <c r="I548" i="13"/>
  <c r="H548" i="13"/>
  <c r="G548" i="13"/>
  <c r="F548" i="13"/>
  <c r="E548" i="13"/>
  <c r="I547" i="13"/>
  <c r="H547" i="13"/>
  <c r="G547" i="13"/>
  <c r="F547" i="13"/>
  <c r="E547" i="13"/>
  <c r="I546" i="13"/>
  <c r="H546" i="13"/>
  <c r="G546" i="13"/>
  <c r="F546" i="13"/>
  <c r="E546" i="13"/>
  <c r="T543" i="13"/>
  <c r="S543" i="13"/>
  <c r="R543" i="13"/>
  <c r="Q543" i="13"/>
  <c r="P543" i="13"/>
  <c r="O543" i="13"/>
  <c r="N543" i="13"/>
  <c r="M543" i="13"/>
  <c r="L543" i="13"/>
  <c r="K543" i="13"/>
  <c r="J543" i="13"/>
  <c r="I544" i="13"/>
  <c r="I543" i="13" s="1"/>
  <c r="H544" i="13"/>
  <c r="H543" i="13" s="1"/>
  <c r="G544" i="13"/>
  <c r="G543" i="13" s="1"/>
  <c r="F544" i="13"/>
  <c r="F543" i="13" s="1"/>
  <c r="E544" i="13"/>
  <c r="E543" i="13" s="1"/>
  <c r="T540" i="13"/>
  <c r="S540" i="13"/>
  <c r="Q540" i="13"/>
  <c r="P540" i="13"/>
  <c r="O540" i="13"/>
  <c r="M540" i="13"/>
  <c r="L540" i="13"/>
  <c r="K540" i="13"/>
  <c r="J540" i="13"/>
  <c r="I542" i="13"/>
  <c r="H542" i="13"/>
  <c r="G542" i="13"/>
  <c r="F542" i="13"/>
  <c r="E542" i="13"/>
  <c r="I541" i="13"/>
  <c r="H541" i="13"/>
  <c r="G541" i="13"/>
  <c r="F541" i="13"/>
  <c r="E541" i="13"/>
  <c r="T537" i="13"/>
  <c r="S537" i="13"/>
  <c r="Q537" i="13"/>
  <c r="P537" i="13"/>
  <c r="O537" i="13"/>
  <c r="M537" i="13"/>
  <c r="L537" i="13"/>
  <c r="K537" i="13"/>
  <c r="J537" i="13"/>
  <c r="I539" i="13"/>
  <c r="H539" i="13"/>
  <c r="G539" i="13"/>
  <c r="F539" i="13"/>
  <c r="E539" i="13"/>
  <c r="I538" i="13"/>
  <c r="H538" i="13"/>
  <c r="G538" i="13"/>
  <c r="F538" i="13"/>
  <c r="E538" i="13"/>
  <c r="E536" i="13"/>
  <c r="D536" i="13" s="1"/>
  <c r="P547" i="13"/>
  <c r="P546" i="13"/>
  <c r="N548" i="13"/>
  <c r="U548" i="13" s="1"/>
  <c r="N547" i="13"/>
  <c r="U547" i="13" s="1"/>
  <c r="N546" i="13"/>
  <c r="U546" i="13" s="1"/>
  <c r="R548" i="13"/>
  <c r="R547" i="13"/>
  <c r="R546" i="13"/>
  <c r="R542" i="13"/>
  <c r="R541" i="13"/>
  <c r="R539" i="13"/>
  <c r="R538" i="13"/>
  <c r="R536" i="13"/>
  <c r="N542" i="13"/>
  <c r="U542" i="13" s="1"/>
  <c r="N541" i="13"/>
  <c r="U541" i="13" s="1"/>
  <c r="N539" i="13"/>
  <c r="U539" i="13" s="1"/>
  <c r="N538" i="13"/>
  <c r="N536" i="13"/>
  <c r="U536" i="13" s="1"/>
  <c r="T528" i="13"/>
  <c r="S528" i="13"/>
  <c r="Q528" i="13"/>
  <c r="O528" i="13"/>
  <c r="M528" i="13"/>
  <c r="L528" i="13"/>
  <c r="K528" i="13"/>
  <c r="J528" i="13"/>
  <c r="H528" i="13"/>
  <c r="F528" i="13"/>
  <c r="I534" i="13"/>
  <c r="G534" i="13"/>
  <c r="E534" i="13"/>
  <c r="I533" i="13"/>
  <c r="G533" i="13"/>
  <c r="E533" i="13"/>
  <c r="I532" i="13"/>
  <c r="G532" i="13"/>
  <c r="E532" i="13"/>
  <c r="I531" i="13"/>
  <c r="G531" i="13"/>
  <c r="E531" i="13"/>
  <c r="I530" i="13"/>
  <c r="G530" i="13"/>
  <c r="E530" i="13"/>
  <c r="G529" i="13"/>
  <c r="E529" i="13"/>
  <c r="R534" i="13"/>
  <c r="R533" i="13"/>
  <c r="R532" i="13"/>
  <c r="R530" i="13"/>
  <c r="R529" i="13"/>
  <c r="P531" i="13"/>
  <c r="P533" i="13"/>
  <c r="P529" i="13"/>
  <c r="P530" i="13"/>
  <c r="N533" i="13"/>
  <c r="U533" i="13" s="1"/>
  <c r="N530" i="13"/>
  <c r="U530" i="13" s="1"/>
  <c r="N529" i="13"/>
  <c r="T523" i="13"/>
  <c r="S523" i="13"/>
  <c r="Q523" i="13"/>
  <c r="P523" i="13"/>
  <c r="O523" i="13"/>
  <c r="M523" i="13"/>
  <c r="L523" i="13"/>
  <c r="K523" i="13"/>
  <c r="J523" i="13"/>
  <c r="H523" i="13"/>
  <c r="F523" i="13"/>
  <c r="D525" i="13"/>
  <c r="I527" i="13"/>
  <c r="G527" i="13"/>
  <c r="E527" i="13"/>
  <c r="I526" i="13"/>
  <c r="G526" i="13"/>
  <c r="E526" i="13"/>
  <c r="I524" i="13"/>
  <c r="G524" i="13"/>
  <c r="E524" i="13"/>
  <c r="R527" i="13"/>
  <c r="R525" i="13"/>
  <c r="N525" i="13"/>
  <c r="U525" i="13" s="1"/>
  <c r="T520" i="13"/>
  <c r="S520" i="13"/>
  <c r="Q520" i="13"/>
  <c r="P520" i="13"/>
  <c r="O520" i="13"/>
  <c r="N520" i="13"/>
  <c r="M520" i="13"/>
  <c r="L520" i="13"/>
  <c r="K520" i="13"/>
  <c r="J520" i="13"/>
  <c r="H520" i="13"/>
  <c r="I522" i="13"/>
  <c r="G522" i="13"/>
  <c r="F522" i="13"/>
  <c r="E522" i="13"/>
  <c r="R522" i="13"/>
  <c r="R521" i="13"/>
  <c r="I521" i="13"/>
  <c r="G521" i="13"/>
  <c r="F521" i="13"/>
  <c r="E521" i="13"/>
  <c r="I519" i="13"/>
  <c r="G519" i="13"/>
  <c r="E519" i="13"/>
  <c r="R519" i="13"/>
  <c r="N519" i="13"/>
  <c r="U519" i="13" s="1"/>
  <c r="T507" i="13"/>
  <c r="S507" i="13"/>
  <c r="Q507" i="13"/>
  <c r="O507" i="13"/>
  <c r="M507" i="13"/>
  <c r="L507" i="13"/>
  <c r="K507" i="13"/>
  <c r="J507" i="13"/>
  <c r="I517" i="13"/>
  <c r="H517" i="13"/>
  <c r="G517" i="13"/>
  <c r="F517" i="13"/>
  <c r="E517" i="13"/>
  <c r="I516" i="13"/>
  <c r="H516" i="13"/>
  <c r="G516" i="13"/>
  <c r="F516" i="13"/>
  <c r="E516" i="13"/>
  <c r="I515" i="13"/>
  <c r="H515" i="13"/>
  <c r="G515" i="13"/>
  <c r="F515" i="13"/>
  <c r="E515" i="13"/>
  <c r="I514" i="13"/>
  <c r="H514" i="13"/>
  <c r="G514" i="13"/>
  <c r="F514" i="13"/>
  <c r="E514" i="13"/>
  <c r="I513" i="13"/>
  <c r="H513" i="13"/>
  <c r="G513" i="13"/>
  <c r="F513" i="13"/>
  <c r="E513" i="13"/>
  <c r="I512" i="13"/>
  <c r="H512" i="13"/>
  <c r="G512" i="13"/>
  <c r="F512" i="13"/>
  <c r="E512" i="13"/>
  <c r="I511" i="13"/>
  <c r="H511" i="13"/>
  <c r="G511" i="13"/>
  <c r="F511" i="13"/>
  <c r="E511" i="13"/>
  <c r="I510" i="13"/>
  <c r="H510" i="13"/>
  <c r="G510" i="13"/>
  <c r="F510" i="13"/>
  <c r="E510" i="13"/>
  <c r="I509" i="13"/>
  <c r="H509" i="13"/>
  <c r="G509" i="13"/>
  <c r="F509" i="13"/>
  <c r="E509" i="13"/>
  <c r="I508" i="13"/>
  <c r="H508" i="13"/>
  <c r="G508" i="13"/>
  <c r="F508" i="13"/>
  <c r="E508" i="13"/>
  <c r="N515" i="13"/>
  <c r="U515" i="13" s="1"/>
  <c r="N514" i="13"/>
  <c r="U514" i="13" s="1"/>
  <c r="N513" i="13"/>
  <c r="N511" i="13"/>
  <c r="U511" i="13" s="1"/>
  <c r="N510" i="13"/>
  <c r="U510" i="13" s="1"/>
  <c r="N509" i="13"/>
  <c r="U509" i="13" s="1"/>
  <c r="N508" i="13"/>
  <c r="U508" i="13" s="1"/>
  <c r="N517" i="13"/>
  <c r="U517" i="13" s="1"/>
  <c r="N516" i="13"/>
  <c r="U516" i="13" s="1"/>
  <c r="P517" i="13"/>
  <c r="P516" i="13"/>
  <c r="P511" i="13"/>
  <c r="R517" i="13"/>
  <c r="R516" i="13"/>
  <c r="R515" i="13"/>
  <c r="R514" i="13"/>
  <c r="R513" i="13"/>
  <c r="R512" i="13"/>
  <c r="R511" i="13"/>
  <c r="R510" i="13"/>
  <c r="R509" i="13"/>
  <c r="R508" i="13"/>
  <c r="R506" i="13"/>
  <c r="D506" i="13"/>
  <c r="T503" i="13"/>
  <c r="S503" i="13"/>
  <c r="Q503" i="13"/>
  <c r="O503" i="13"/>
  <c r="N503" i="13"/>
  <c r="M503" i="13"/>
  <c r="L503" i="13"/>
  <c r="K503" i="13"/>
  <c r="J503" i="13"/>
  <c r="R504" i="13"/>
  <c r="R503" i="13" s="1"/>
  <c r="P504" i="13"/>
  <c r="P503" i="13" s="1"/>
  <c r="I504" i="13"/>
  <c r="I503" i="13" s="1"/>
  <c r="H504" i="13"/>
  <c r="H503" i="13" s="1"/>
  <c r="G504" i="13"/>
  <c r="G503" i="13" s="1"/>
  <c r="F504" i="13"/>
  <c r="F503" i="13" s="1"/>
  <c r="E504" i="13"/>
  <c r="E503" i="13" s="1"/>
  <c r="T497" i="13"/>
  <c r="S497" i="13"/>
  <c r="Q497" i="13"/>
  <c r="O497" i="13"/>
  <c r="M497" i="13"/>
  <c r="L497" i="13"/>
  <c r="K497" i="13"/>
  <c r="J497" i="13"/>
  <c r="H497" i="13"/>
  <c r="F497" i="13"/>
  <c r="I501" i="13"/>
  <c r="G501" i="13"/>
  <c r="E501" i="13"/>
  <c r="N502" i="13"/>
  <c r="U502" i="13" s="1"/>
  <c r="I500" i="13"/>
  <c r="G500" i="13"/>
  <c r="E500" i="13"/>
  <c r="I499" i="13"/>
  <c r="G499" i="13"/>
  <c r="E499" i="13"/>
  <c r="P498" i="13"/>
  <c r="P497" i="13" s="1"/>
  <c r="R500" i="13"/>
  <c r="R498" i="13"/>
  <c r="N501" i="13"/>
  <c r="U501" i="13" s="1"/>
  <c r="N500" i="13"/>
  <c r="U500" i="13" s="1"/>
  <c r="N499" i="13"/>
  <c r="U499" i="13" s="1"/>
  <c r="N498" i="13"/>
  <c r="U498" i="13" s="1"/>
  <c r="I498" i="13"/>
  <c r="G498" i="13"/>
  <c r="E498" i="13"/>
  <c r="D502" i="13"/>
  <c r="U563" i="13"/>
  <c r="U562" i="13"/>
  <c r="U561" i="13"/>
  <c r="U560" i="13"/>
  <c r="U559" i="13"/>
  <c r="U544" i="13"/>
  <c r="U534" i="13"/>
  <c r="U532" i="13"/>
  <c r="U531" i="13"/>
  <c r="U527" i="13"/>
  <c r="U526" i="13"/>
  <c r="U524" i="13"/>
  <c r="U522" i="13"/>
  <c r="U521" i="13"/>
  <c r="U513" i="13"/>
  <c r="U512" i="13"/>
  <c r="U506" i="13"/>
  <c r="U504" i="13"/>
  <c r="T495" i="13"/>
  <c r="S495" i="13"/>
  <c r="Q495" i="13"/>
  <c r="P495" i="13"/>
  <c r="O495" i="13"/>
  <c r="N495" i="13"/>
  <c r="M495" i="13"/>
  <c r="L495" i="13"/>
  <c r="K495" i="13"/>
  <c r="J495" i="13"/>
  <c r="I496" i="13"/>
  <c r="I495" i="13" s="1"/>
  <c r="H496" i="13"/>
  <c r="H495" i="13" s="1"/>
  <c r="G496" i="13"/>
  <c r="G495" i="13" s="1"/>
  <c r="F496" i="13"/>
  <c r="F495" i="13" s="1"/>
  <c r="E496" i="13"/>
  <c r="E495" i="13" s="1"/>
  <c r="T493" i="13"/>
  <c r="S493" i="13"/>
  <c r="Q493" i="13"/>
  <c r="O493" i="13"/>
  <c r="N493" i="13"/>
  <c r="M493" i="13"/>
  <c r="L493" i="13"/>
  <c r="K493" i="13"/>
  <c r="J493" i="13"/>
  <c r="I493" i="13"/>
  <c r="H493" i="13"/>
  <c r="G493" i="13"/>
  <c r="F493" i="13"/>
  <c r="E493" i="13"/>
  <c r="R496" i="13"/>
  <c r="R495" i="13" s="1"/>
  <c r="R494" i="13"/>
  <c r="R493" i="13" s="1"/>
  <c r="D494" i="13"/>
  <c r="D493" i="13" s="1"/>
  <c r="P494" i="13"/>
  <c r="P493" i="13" s="1"/>
  <c r="T489" i="13"/>
  <c r="S489" i="13"/>
  <c r="Q489" i="13"/>
  <c r="P489" i="13"/>
  <c r="O489" i="13"/>
  <c r="N489" i="13"/>
  <c r="M489" i="13"/>
  <c r="L489" i="13"/>
  <c r="K489" i="13"/>
  <c r="J489" i="13"/>
  <c r="I492" i="13"/>
  <c r="H492" i="13"/>
  <c r="G492" i="13"/>
  <c r="F492" i="13"/>
  <c r="E492" i="13"/>
  <c r="I491" i="13"/>
  <c r="H491" i="13"/>
  <c r="G491" i="13"/>
  <c r="F491" i="13"/>
  <c r="E491" i="13"/>
  <c r="R492" i="13"/>
  <c r="R491" i="13"/>
  <c r="R490" i="13"/>
  <c r="I490" i="13"/>
  <c r="H490" i="13"/>
  <c r="G490" i="13"/>
  <c r="F490" i="13"/>
  <c r="E490" i="13"/>
  <c r="T485" i="13"/>
  <c r="S485" i="13"/>
  <c r="R485" i="13"/>
  <c r="Q485" i="13"/>
  <c r="O485" i="13"/>
  <c r="N485" i="13"/>
  <c r="M485" i="13"/>
  <c r="L485" i="13"/>
  <c r="K485" i="13"/>
  <c r="J485" i="13"/>
  <c r="I488" i="13"/>
  <c r="H488" i="13"/>
  <c r="G488" i="13"/>
  <c r="F488" i="13"/>
  <c r="E488" i="13"/>
  <c r="P487" i="13"/>
  <c r="P485" i="13" s="1"/>
  <c r="D487" i="13"/>
  <c r="I486" i="13"/>
  <c r="H486" i="13"/>
  <c r="G486" i="13"/>
  <c r="F486" i="13"/>
  <c r="E486" i="13"/>
  <c r="T474" i="13"/>
  <c r="S474" i="13"/>
  <c r="Q474" i="13"/>
  <c r="P474" i="13"/>
  <c r="O474" i="13"/>
  <c r="M474" i="13"/>
  <c r="L474" i="13"/>
  <c r="K474" i="13"/>
  <c r="J474" i="13"/>
  <c r="N484" i="13"/>
  <c r="I484" i="13"/>
  <c r="H484" i="13"/>
  <c r="G484" i="13"/>
  <c r="F484" i="13"/>
  <c r="E484" i="13"/>
  <c r="I482" i="13"/>
  <c r="H482" i="13"/>
  <c r="G482" i="13"/>
  <c r="F482" i="13"/>
  <c r="E482" i="13"/>
  <c r="I520" i="13" l="1"/>
  <c r="N902" i="13"/>
  <c r="I910" i="13"/>
  <c r="E929" i="13"/>
  <c r="G929" i="13"/>
  <c r="D957" i="13"/>
  <c r="G507" i="13"/>
  <c r="D526" i="13"/>
  <c r="C526" i="13" s="1"/>
  <c r="G523" i="13"/>
  <c r="G520" i="13"/>
  <c r="R880" i="13"/>
  <c r="D897" i="13"/>
  <c r="C897" i="13" s="1"/>
  <c r="G485" i="13"/>
  <c r="E867" i="13"/>
  <c r="G884" i="13"/>
  <c r="H887" i="13"/>
  <c r="R887" i="13"/>
  <c r="F887" i="13"/>
  <c r="D894" i="13"/>
  <c r="C894" i="13" s="1"/>
  <c r="E905" i="13"/>
  <c r="I905" i="13"/>
  <c r="I929" i="13"/>
  <c r="C940" i="13"/>
  <c r="E949" i="13"/>
  <c r="U903" i="13"/>
  <c r="C1197" i="13"/>
  <c r="U1197" i="13" s="1"/>
  <c r="D1197" i="13"/>
  <c r="H489" i="13"/>
  <c r="G528" i="13"/>
  <c r="R537" i="13"/>
  <c r="H537" i="13"/>
  <c r="E540" i="13"/>
  <c r="I540" i="13"/>
  <c r="D547" i="13"/>
  <c r="H552" i="13"/>
  <c r="R949" i="13"/>
  <c r="R956" i="13"/>
  <c r="C551" i="13"/>
  <c r="U944" i="13"/>
  <c r="D956" i="13"/>
  <c r="H485" i="13"/>
  <c r="I523" i="13"/>
  <c r="P545" i="13"/>
  <c r="N552" i="13"/>
  <c r="R552" i="13"/>
  <c r="G552" i="13"/>
  <c r="F898" i="13"/>
  <c r="R905" i="13"/>
  <c r="E497" i="13"/>
  <c r="R918" i="13"/>
  <c r="F918" i="13"/>
  <c r="E918" i="13"/>
  <c r="I918" i="13"/>
  <c r="F485" i="13"/>
  <c r="D501" i="13"/>
  <c r="C501" i="13" s="1"/>
  <c r="N540" i="13"/>
  <c r="E537" i="13"/>
  <c r="F540" i="13"/>
  <c r="I850" i="13"/>
  <c r="R876" i="13"/>
  <c r="R884" i="13"/>
  <c r="I884" i="13"/>
  <c r="N887" i="13"/>
  <c r="D902" i="13"/>
  <c r="R902" i="13"/>
  <c r="F905" i="13"/>
  <c r="P905" i="13"/>
  <c r="P938" i="13"/>
  <c r="E938" i="13"/>
  <c r="C948" i="13"/>
  <c r="C947" i="13" s="1"/>
  <c r="R507" i="13"/>
  <c r="F507" i="13"/>
  <c r="R523" i="13"/>
  <c r="D527" i="13"/>
  <c r="C527" i="13" s="1"/>
  <c r="N528" i="13"/>
  <c r="R528" i="13"/>
  <c r="E528" i="13"/>
  <c r="N537" i="13"/>
  <c r="H540" i="13"/>
  <c r="E545" i="13"/>
  <c r="H545" i="13"/>
  <c r="N850" i="13"/>
  <c r="F850" i="13"/>
  <c r="H850" i="13"/>
  <c r="G887" i="13"/>
  <c r="I898" i="13"/>
  <c r="H905" i="13"/>
  <c r="R910" i="13"/>
  <c r="F489" i="13"/>
  <c r="R489" i="13"/>
  <c r="U529" i="13"/>
  <c r="I497" i="13"/>
  <c r="E507" i="13"/>
  <c r="I507" i="13"/>
  <c r="D521" i="13"/>
  <c r="C521" i="13" s="1"/>
  <c r="R520" i="13"/>
  <c r="R540" i="13"/>
  <c r="F537" i="13"/>
  <c r="G540" i="13"/>
  <c r="N549" i="13"/>
  <c r="R549" i="13"/>
  <c r="E552" i="13"/>
  <c r="I552" i="13"/>
  <c r="C848" i="13"/>
  <c r="R846" i="13"/>
  <c r="N876" i="13"/>
  <c r="E884" i="13"/>
  <c r="D895" i="13"/>
  <c r="C895" i="13" s="1"/>
  <c r="H898" i="13"/>
  <c r="G905" i="13"/>
  <c r="H918" i="13"/>
  <c r="G918" i="13"/>
  <c r="N932" i="13"/>
  <c r="R953" i="13"/>
  <c r="R959" i="13"/>
  <c r="G489" i="13"/>
  <c r="R497" i="13"/>
  <c r="N507" i="13"/>
  <c r="I528" i="13"/>
  <c r="G537" i="13"/>
  <c r="I545" i="13"/>
  <c r="E549" i="13"/>
  <c r="F552" i="13"/>
  <c r="P850" i="13"/>
  <c r="G850" i="13"/>
  <c r="R867" i="13"/>
  <c r="G867" i="13"/>
  <c r="D880" i="13"/>
  <c r="E898" i="13"/>
  <c r="E485" i="13"/>
  <c r="I485" i="13"/>
  <c r="E489" i="13"/>
  <c r="I489" i="13"/>
  <c r="D492" i="13"/>
  <c r="U554" i="13"/>
  <c r="G497" i="13"/>
  <c r="P507" i="13"/>
  <c r="D508" i="13"/>
  <c r="C508" i="13" s="1"/>
  <c r="H507" i="13"/>
  <c r="E520" i="13"/>
  <c r="E523" i="13"/>
  <c r="P528" i="13"/>
  <c r="D532" i="13"/>
  <c r="C532" i="13" s="1"/>
  <c r="R545" i="13"/>
  <c r="G545" i="13"/>
  <c r="F545" i="13"/>
  <c r="D548" i="13"/>
  <c r="C548" i="13" s="1"/>
  <c r="D554" i="13"/>
  <c r="C554" i="13" s="1"/>
  <c r="E850" i="13"/>
  <c r="D855" i="13"/>
  <c r="C855" i="13" s="1"/>
  <c r="I867" i="13"/>
  <c r="C870" i="13"/>
  <c r="E887" i="13"/>
  <c r="I887" i="13"/>
  <c r="G898" i="13"/>
  <c r="N898" i="13"/>
  <c r="E910" i="13"/>
  <c r="G910" i="13"/>
  <c r="R934" i="13"/>
  <c r="N938" i="13"/>
  <c r="R938" i="13"/>
  <c r="C958" i="13"/>
  <c r="N956" i="13"/>
  <c r="C954" i="13"/>
  <c r="D953" i="13"/>
  <c r="N497" i="13"/>
  <c r="F520" i="13"/>
  <c r="D524" i="13"/>
  <c r="D538" i="13"/>
  <c r="I537" i="13"/>
  <c r="N545" i="13"/>
  <c r="N945" i="13"/>
  <c r="N959" i="13"/>
  <c r="N523" i="13"/>
  <c r="D550" i="13"/>
  <c r="N867" i="13"/>
  <c r="E872" i="13"/>
  <c r="D875" i="13"/>
  <c r="D874" i="13" s="1"/>
  <c r="F874" i="13"/>
  <c r="N874" i="13"/>
  <c r="N880" i="13"/>
  <c r="N884" i="13"/>
  <c r="C903" i="13"/>
  <c r="C915" i="13"/>
  <c r="N929" i="13"/>
  <c r="E932" i="13"/>
  <c r="C955" i="13"/>
  <c r="N953" i="13"/>
  <c r="G956" i="13"/>
  <c r="E959" i="13"/>
  <c r="N846" i="13"/>
  <c r="E876" i="13"/>
  <c r="E880" i="13"/>
  <c r="C914" i="13"/>
  <c r="D916" i="13"/>
  <c r="D947" i="13"/>
  <c r="N949" i="13"/>
  <c r="E953" i="13"/>
  <c r="U538" i="13"/>
  <c r="D512" i="13"/>
  <c r="C512" i="13" s="1"/>
  <c r="C525" i="13"/>
  <c r="D542" i="13"/>
  <c r="C542" i="13" s="1"/>
  <c r="D868" i="13"/>
  <c r="C868" i="13" s="1"/>
  <c r="C911" i="13"/>
  <c r="N910" i="13"/>
  <c r="E956" i="13"/>
  <c r="C960" i="13"/>
  <c r="D961" i="13"/>
  <c r="C957" i="13"/>
  <c r="D952" i="13"/>
  <c r="D951" i="13"/>
  <c r="C951" i="13" s="1"/>
  <c r="D950" i="13"/>
  <c r="C950" i="13" s="1"/>
  <c r="D946" i="13"/>
  <c r="D944" i="13"/>
  <c r="D941" i="13"/>
  <c r="C941" i="13" s="1"/>
  <c r="D939" i="13"/>
  <c r="D942" i="13"/>
  <c r="C942" i="13" s="1"/>
  <c r="D937" i="13"/>
  <c r="C937" i="13" s="1"/>
  <c r="D936" i="13"/>
  <c r="C936" i="13" s="1"/>
  <c r="D935" i="13"/>
  <c r="C933" i="13"/>
  <c r="C932" i="13" s="1"/>
  <c r="D930" i="13"/>
  <c r="D931" i="13"/>
  <c r="C931" i="13" s="1"/>
  <c r="D928" i="13"/>
  <c r="D927" i="13"/>
  <c r="C927" i="13" s="1"/>
  <c r="D926" i="13"/>
  <c r="C926" i="13" s="1"/>
  <c r="D925" i="13"/>
  <c r="D924" i="13"/>
  <c r="C924" i="13" s="1"/>
  <c r="D923" i="13"/>
  <c r="D922" i="13"/>
  <c r="C922" i="13" s="1"/>
  <c r="D921" i="13"/>
  <c r="C921" i="13" s="1"/>
  <c r="D920" i="13"/>
  <c r="C920" i="13" s="1"/>
  <c r="D919" i="13"/>
  <c r="D913" i="13"/>
  <c r="C913" i="13" s="1"/>
  <c r="D912" i="13"/>
  <c r="C912" i="13" s="1"/>
  <c r="D909" i="13"/>
  <c r="D907" i="13"/>
  <c r="C907" i="13" s="1"/>
  <c r="D906" i="13"/>
  <c r="C904" i="13"/>
  <c r="D901" i="13"/>
  <c r="C901" i="13" s="1"/>
  <c r="D900" i="13"/>
  <c r="C900" i="13" s="1"/>
  <c r="D899" i="13"/>
  <c r="D896" i="13"/>
  <c r="C896" i="13" s="1"/>
  <c r="D893" i="13"/>
  <c r="C893" i="13" s="1"/>
  <c r="D892" i="13"/>
  <c r="C892" i="13" s="1"/>
  <c r="D891" i="13"/>
  <c r="C891" i="13" s="1"/>
  <c r="D890" i="13"/>
  <c r="C890" i="13" s="1"/>
  <c r="D889" i="13"/>
  <c r="C889" i="13" s="1"/>
  <c r="D888" i="13"/>
  <c r="D885" i="13"/>
  <c r="D886" i="13"/>
  <c r="C886" i="13" s="1"/>
  <c r="C882" i="13"/>
  <c r="C881" i="13"/>
  <c r="C878" i="13"/>
  <c r="C877" i="13"/>
  <c r="D879" i="13"/>
  <c r="C879" i="13" s="1"/>
  <c r="D872" i="13"/>
  <c r="D869" i="13"/>
  <c r="C869" i="13" s="1"/>
  <c r="C871" i="13"/>
  <c r="D866" i="13"/>
  <c r="C866" i="13" s="1"/>
  <c r="D864" i="13"/>
  <c r="C864" i="13" s="1"/>
  <c r="D863" i="13"/>
  <c r="C863" i="13" s="1"/>
  <c r="D862" i="13"/>
  <c r="C862" i="13" s="1"/>
  <c r="D861" i="13"/>
  <c r="D860" i="13"/>
  <c r="C860" i="13" s="1"/>
  <c r="D859" i="13"/>
  <c r="C859" i="13" s="1"/>
  <c r="D858" i="13"/>
  <c r="C858" i="13" s="1"/>
  <c r="D856" i="13"/>
  <c r="C856" i="13" s="1"/>
  <c r="D853" i="13"/>
  <c r="C853" i="13" s="1"/>
  <c r="D852" i="13"/>
  <c r="C861" i="13"/>
  <c r="D851" i="13"/>
  <c r="D854" i="13"/>
  <c r="C854" i="13" s="1"/>
  <c r="D865" i="13"/>
  <c r="C865" i="13" s="1"/>
  <c r="D857" i="13"/>
  <c r="C847" i="13"/>
  <c r="D849" i="13"/>
  <c r="D553" i="13"/>
  <c r="C547" i="13"/>
  <c r="D546" i="13"/>
  <c r="D544" i="13"/>
  <c r="D541" i="13"/>
  <c r="D539" i="13"/>
  <c r="C539" i="13" s="1"/>
  <c r="C536" i="13"/>
  <c r="D533" i="13"/>
  <c r="C533" i="13" s="1"/>
  <c r="D531" i="13"/>
  <c r="C531" i="13" s="1"/>
  <c r="D529" i="13"/>
  <c r="D534" i="13"/>
  <c r="C534" i="13" s="1"/>
  <c r="D530" i="13"/>
  <c r="C530" i="13" s="1"/>
  <c r="D522" i="13"/>
  <c r="C522" i="13" s="1"/>
  <c r="D519" i="13"/>
  <c r="C519" i="13" s="1"/>
  <c r="D517" i="13"/>
  <c r="C517" i="13" s="1"/>
  <c r="D516" i="13"/>
  <c r="C516" i="13" s="1"/>
  <c r="D515" i="13"/>
  <c r="C515" i="13" s="1"/>
  <c r="D514" i="13"/>
  <c r="C514" i="13" s="1"/>
  <c r="D513" i="13"/>
  <c r="C513" i="13" s="1"/>
  <c r="D511" i="13"/>
  <c r="C511" i="13" s="1"/>
  <c r="D510" i="13"/>
  <c r="C510" i="13" s="1"/>
  <c r="D509" i="13"/>
  <c r="C509" i="13" s="1"/>
  <c r="C506" i="13"/>
  <c r="D504" i="13"/>
  <c r="C502" i="13"/>
  <c r="D500" i="13"/>
  <c r="C500" i="13" s="1"/>
  <c r="D499" i="13"/>
  <c r="C499" i="13" s="1"/>
  <c r="D498" i="13"/>
  <c r="D496" i="13"/>
  <c r="C494" i="13"/>
  <c r="C493" i="13" s="1"/>
  <c r="D491" i="13"/>
  <c r="C491" i="13" s="1"/>
  <c r="C492" i="13"/>
  <c r="D490" i="13"/>
  <c r="D488" i="13"/>
  <c r="C488" i="13" s="1"/>
  <c r="C487" i="13"/>
  <c r="D486" i="13"/>
  <c r="C507" i="13" l="1"/>
  <c r="C875" i="13"/>
  <c r="C874" i="13" s="1"/>
  <c r="C520" i="13"/>
  <c r="C953" i="13"/>
  <c r="C956" i="13"/>
  <c r="C546" i="13"/>
  <c r="C545" i="13" s="1"/>
  <c r="D545" i="13"/>
  <c r="C851" i="13"/>
  <c r="D850" i="13"/>
  <c r="C909" i="13"/>
  <c r="C908" i="13" s="1"/>
  <c r="D908" i="13"/>
  <c r="C935" i="13"/>
  <c r="C934" i="13" s="1"/>
  <c r="D934" i="13"/>
  <c r="C961" i="13"/>
  <c r="C959" i="13" s="1"/>
  <c r="D959" i="13"/>
  <c r="C544" i="13"/>
  <c r="C543" i="13" s="1"/>
  <c r="D543" i="13"/>
  <c r="C849" i="13"/>
  <c r="C846" i="13" s="1"/>
  <c r="D846" i="13"/>
  <c r="C888" i="13"/>
  <c r="C887" i="13" s="1"/>
  <c r="D887" i="13"/>
  <c r="C919" i="13"/>
  <c r="D918" i="13"/>
  <c r="C486" i="13"/>
  <c r="C485" i="13" s="1"/>
  <c r="D485" i="13"/>
  <c r="C498" i="13"/>
  <c r="C497" i="13" s="1"/>
  <c r="D497" i="13"/>
  <c r="C504" i="13"/>
  <c r="C503" i="13" s="1"/>
  <c r="D503" i="13"/>
  <c r="C541" i="13"/>
  <c r="C540" i="13" s="1"/>
  <c r="D540" i="13"/>
  <c r="C553" i="13"/>
  <c r="C552" i="13" s="1"/>
  <c r="D552" i="13"/>
  <c r="C885" i="13"/>
  <c r="C884" i="13" s="1"/>
  <c r="D884" i="13"/>
  <c r="C899" i="13"/>
  <c r="C898" i="13" s="1"/>
  <c r="D898" i="13"/>
  <c r="C906" i="13"/>
  <c r="C905" i="13" s="1"/>
  <c r="D905" i="13"/>
  <c r="C930" i="13"/>
  <c r="C929" i="13" s="1"/>
  <c r="D929" i="13"/>
  <c r="C550" i="13"/>
  <c r="C549" i="13" s="1"/>
  <c r="D549" i="13"/>
  <c r="D523" i="13"/>
  <c r="C524" i="13"/>
  <c r="C523" i="13" s="1"/>
  <c r="D507" i="13"/>
  <c r="C867" i="13"/>
  <c r="C880" i="13"/>
  <c r="D867" i="13"/>
  <c r="C902" i="13"/>
  <c r="D876" i="13"/>
  <c r="D520" i="13"/>
  <c r="C939" i="13"/>
  <c r="C938" i="13" s="1"/>
  <c r="D938" i="13"/>
  <c r="C490" i="13"/>
  <c r="C489" i="13" s="1"/>
  <c r="D489" i="13"/>
  <c r="C496" i="13"/>
  <c r="C495" i="13" s="1"/>
  <c r="D495" i="13"/>
  <c r="C529" i="13"/>
  <c r="C528" i="13" s="1"/>
  <c r="D528" i="13"/>
  <c r="C538" i="13"/>
  <c r="C537" i="13" s="1"/>
  <c r="D537" i="13"/>
  <c r="C876" i="13"/>
  <c r="C910" i="13"/>
  <c r="D910" i="13"/>
  <c r="C944" i="13"/>
  <c r="C943" i="13" s="1"/>
  <c r="D943" i="13"/>
  <c r="C946" i="13"/>
  <c r="C945" i="13" s="1"/>
  <c r="D945" i="13"/>
  <c r="C952" i="13"/>
  <c r="C949" i="13" s="1"/>
  <c r="D949" i="13"/>
  <c r="I481" i="13"/>
  <c r="H481" i="13"/>
  <c r="G481" i="13"/>
  <c r="F481" i="13"/>
  <c r="E481" i="13"/>
  <c r="I480" i="13"/>
  <c r="H480" i="13"/>
  <c r="G480" i="13"/>
  <c r="F480" i="13"/>
  <c r="E480" i="13"/>
  <c r="D484" i="13"/>
  <c r="D483" i="13"/>
  <c r="D482" i="13"/>
  <c r="D479" i="13"/>
  <c r="D475" i="13"/>
  <c r="N481" i="13"/>
  <c r="U481" i="13" s="1"/>
  <c r="N480" i="13"/>
  <c r="N478" i="13"/>
  <c r="U478" i="13" s="1"/>
  <c r="I478" i="13"/>
  <c r="H478" i="13"/>
  <c r="G478" i="13"/>
  <c r="F478" i="13"/>
  <c r="E478" i="13"/>
  <c r="N477" i="13"/>
  <c r="I477" i="13"/>
  <c r="H477" i="13"/>
  <c r="G477" i="13"/>
  <c r="F477" i="13"/>
  <c r="E477" i="13"/>
  <c r="I476" i="13"/>
  <c r="H476" i="13"/>
  <c r="G476" i="13"/>
  <c r="F476" i="13"/>
  <c r="E476" i="13"/>
  <c r="T471" i="13"/>
  <c r="S471" i="13"/>
  <c r="Q471" i="13"/>
  <c r="O471" i="13"/>
  <c r="M471" i="13"/>
  <c r="L471" i="13"/>
  <c r="K471" i="13"/>
  <c r="J471" i="13"/>
  <c r="I471" i="13"/>
  <c r="H471" i="13"/>
  <c r="F471" i="13"/>
  <c r="G473" i="13"/>
  <c r="E473" i="13"/>
  <c r="G472" i="13"/>
  <c r="E472" i="13"/>
  <c r="P473" i="13"/>
  <c r="P471" i="13" s="1"/>
  <c r="T467" i="13"/>
  <c r="S467" i="13"/>
  <c r="Q467" i="13"/>
  <c r="P467" i="13"/>
  <c r="O467" i="13"/>
  <c r="M467" i="13"/>
  <c r="L467" i="13"/>
  <c r="K467" i="13"/>
  <c r="J467" i="13"/>
  <c r="I467" i="13"/>
  <c r="H467" i="13"/>
  <c r="G467" i="13"/>
  <c r="F467" i="13"/>
  <c r="E470" i="13"/>
  <c r="D470" i="13" s="1"/>
  <c r="E469" i="13"/>
  <c r="D469" i="13" s="1"/>
  <c r="E468" i="13"/>
  <c r="T463" i="13"/>
  <c r="S463" i="13"/>
  <c r="Q463" i="13"/>
  <c r="O463" i="13"/>
  <c r="M463" i="13"/>
  <c r="L463" i="13"/>
  <c r="K463" i="13"/>
  <c r="J463" i="13"/>
  <c r="I463" i="13"/>
  <c r="H463" i="13"/>
  <c r="G463" i="13"/>
  <c r="F463" i="13"/>
  <c r="P466" i="13"/>
  <c r="P465" i="13"/>
  <c r="P464" i="13"/>
  <c r="E466" i="13"/>
  <c r="D466" i="13" s="1"/>
  <c r="E465" i="13"/>
  <c r="D465" i="13" s="1"/>
  <c r="E464" i="13"/>
  <c r="T460" i="13"/>
  <c r="S460" i="13"/>
  <c r="Q460" i="13"/>
  <c r="P460" i="13"/>
  <c r="O460" i="13"/>
  <c r="M460" i="13"/>
  <c r="L460" i="13"/>
  <c r="K460" i="13"/>
  <c r="J460" i="13"/>
  <c r="I460" i="13"/>
  <c r="H460" i="13"/>
  <c r="G460" i="13"/>
  <c r="R484" i="13"/>
  <c r="R483" i="13"/>
  <c r="R482" i="13"/>
  <c r="R481" i="13"/>
  <c r="R480" i="13"/>
  <c r="R479" i="13"/>
  <c r="R476" i="13"/>
  <c r="R475" i="13"/>
  <c r="R473" i="13"/>
  <c r="R472" i="13"/>
  <c r="R470" i="13"/>
  <c r="R469" i="13"/>
  <c r="R468" i="13"/>
  <c r="R466" i="13"/>
  <c r="R465" i="13"/>
  <c r="R464" i="13"/>
  <c r="R462" i="13"/>
  <c r="R461" i="13"/>
  <c r="N473" i="13"/>
  <c r="U473" i="13" s="1"/>
  <c r="N472" i="13"/>
  <c r="N470" i="13"/>
  <c r="U470" i="13" s="1"/>
  <c r="N469" i="13"/>
  <c r="U469" i="13" s="1"/>
  <c r="N468" i="13"/>
  <c r="U468" i="13" s="1"/>
  <c r="N466" i="13"/>
  <c r="U466" i="13" s="1"/>
  <c r="N465" i="13"/>
  <c r="N464" i="13"/>
  <c r="U464" i="13" s="1"/>
  <c r="N462" i="13"/>
  <c r="U462" i="13" s="1"/>
  <c r="N461" i="13"/>
  <c r="F462" i="13"/>
  <c r="E462" i="13"/>
  <c r="F461" i="13"/>
  <c r="E461" i="13"/>
  <c r="T458" i="13"/>
  <c r="S458" i="13"/>
  <c r="Q458" i="13"/>
  <c r="O458" i="13"/>
  <c r="N458" i="13"/>
  <c r="M458" i="13"/>
  <c r="L458" i="13"/>
  <c r="K458" i="13"/>
  <c r="J458" i="13"/>
  <c r="I458" i="13"/>
  <c r="H458" i="13"/>
  <c r="F458" i="13"/>
  <c r="R459" i="13"/>
  <c r="R458" i="13" s="1"/>
  <c r="P459" i="13"/>
  <c r="P458" i="13" s="1"/>
  <c r="G459" i="13"/>
  <c r="G458" i="13" s="1"/>
  <c r="E459" i="13"/>
  <c r="E458" i="13" s="1"/>
  <c r="U484" i="13"/>
  <c r="U483" i="13"/>
  <c r="U482" i="13"/>
  <c r="U479" i="13"/>
  <c r="U476" i="13"/>
  <c r="U475" i="13"/>
  <c r="U465" i="13"/>
  <c r="U459" i="13"/>
  <c r="J453" i="13"/>
  <c r="T453" i="13"/>
  <c r="S453" i="13"/>
  <c r="Q453" i="13"/>
  <c r="P453" i="13"/>
  <c r="O453" i="13"/>
  <c r="M453" i="13"/>
  <c r="L453" i="13"/>
  <c r="K453" i="13"/>
  <c r="H453" i="13"/>
  <c r="F453" i="13"/>
  <c r="G457" i="13"/>
  <c r="E457" i="13"/>
  <c r="G456" i="13"/>
  <c r="E456" i="13"/>
  <c r="I455" i="13"/>
  <c r="G455" i="13"/>
  <c r="E455" i="13"/>
  <c r="I454" i="13"/>
  <c r="G454" i="13"/>
  <c r="E454" i="13"/>
  <c r="R457" i="13"/>
  <c r="R456" i="13"/>
  <c r="R455" i="13"/>
  <c r="R454" i="13"/>
  <c r="N457" i="13"/>
  <c r="U457" i="13" s="1"/>
  <c r="N456" i="13"/>
  <c r="U456" i="13" s="1"/>
  <c r="N455" i="13"/>
  <c r="U455" i="13" s="1"/>
  <c r="N454" i="13"/>
  <c r="U454" i="13" s="1"/>
  <c r="T437" i="13"/>
  <c r="S437" i="13"/>
  <c r="Q437" i="13"/>
  <c r="O437" i="13"/>
  <c r="M437" i="13"/>
  <c r="L437" i="13"/>
  <c r="K437" i="13"/>
  <c r="J437" i="13"/>
  <c r="N452" i="13"/>
  <c r="F460" i="13" l="1"/>
  <c r="D462" i="13"/>
  <c r="C462" i="13" s="1"/>
  <c r="N460" i="13"/>
  <c r="N471" i="13"/>
  <c r="E471" i="13"/>
  <c r="G453" i="13"/>
  <c r="D455" i="13"/>
  <c r="C455" i="13" s="1"/>
  <c r="E467" i="13"/>
  <c r="R460" i="13"/>
  <c r="R467" i="13"/>
  <c r="D477" i="13"/>
  <c r="C477" i="13" s="1"/>
  <c r="C475" i="13"/>
  <c r="U461" i="13"/>
  <c r="E463" i="13"/>
  <c r="N463" i="13"/>
  <c r="R471" i="13"/>
  <c r="P463" i="13"/>
  <c r="E453" i="13"/>
  <c r="D456" i="13"/>
  <c r="C456" i="13" s="1"/>
  <c r="G471" i="13"/>
  <c r="C482" i="13"/>
  <c r="R453" i="13"/>
  <c r="I453" i="13"/>
  <c r="E460" i="13"/>
  <c r="R463" i="13"/>
  <c r="R474" i="13"/>
  <c r="D464" i="13"/>
  <c r="D463" i="13" s="1"/>
  <c r="E474" i="13"/>
  <c r="I474" i="13"/>
  <c r="D478" i="13"/>
  <c r="C478" i="13" s="1"/>
  <c r="C479" i="13"/>
  <c r="N453" i="13"/>
  <c r="H474" i="13"/>
  <c r="C483" i="13"/>
  <c r="C469" i="13"/>
  <c r="N467" i="13"/>
  <c r="G474" i="13"/>
  <c r="N474" i="13"/>
  <c r="U472" i="13"/>
  <c r="C465" i="13"/>
  <c r="C470" i="13"/>
  <c r="D468" i="13"/>
  <c r="F474" i="13"/>
  <c r="D476" i="13"/>
  <c r="C476" i="13" s="1"/>
  <c r="C484" i="13"/>
  <c r="D481" i="13"/>
  <c r="C481" i="13" s="1"/>
  <c r="D480" i="13"/>
  <c r="C480" i="13" s="1"/>
  <c r="U480" i="13"/>
  <c r="D472" i="13"/>
  <c r="D473" i="13"/>
  <c r="C473" i="13" s="1"/>
  <c r="C466" i="13"/>
  <c r="D461" i="13"/>
  <c r="D457" i="13"/>
  <c r="D459" i="13"/>
  <c r="D454" i="13"/>
  <c r="C454" i="13" s="1"/>
  <c r="I451" i="13"/>
  <c r="G451" i="13"/>
  <c r="F451" i="13"/>
  <c r="E451" i="13"/>
  <c r="I450" i="13"/>
  <c r="H450" i="13"/>
  <c r="G450" i="13"/>
  <c r="F450" i="13"/>
  <c r="E450" i="13"/>
  <c r="I448" i="13"/>
  <c r="H448" i="13"/>
  <c r="G448" i="13"/>
  <c r="F448" i="13"/>
  <c r="E448" i="13"/>
  <c r="I447" i="13"/>
  <c r="G447" i="13"/>
  <c r="F447" i="13"/>
  <c r="E447" i="13"/>
  <c r="I446" i="13"/>
  <c r="G446" i="13"/>
  <c r="F446" i="13"/>
  <c r="E446" i="13"/>
  <c r="H437" i="13" l="1"/>
  <c r="C464" i="13"/>
  <c r="C463" i="13" s="1"/>
  <c r="C474" i="13"/>
  <c r="C461" i="13"/>
  <c r="C460" i="13" s="1"/>
  <c r="D460" i="13"/>
  <c r="C468" i="13"/>
  <c r="C467" i="13" s="1"/>
  <c r="D467" i="13"/>
  <c r="D474" i="13"/>
  <c r="C472" i="13"/>
  <c r="C471" i="13" s="1"/>
  <c r="D471" i="13"/>
  <c r="C459" i="13"/>
  <c r="C458" i="13" s="1"/>
  <c r="D458" i="13"/>
  <c r="C457" i="13"/>
  <c r="C453" i="13" s="1"/>
  <c r="D453" i="13"/>
  <c r="I445" i="13" l="1"/>
  <c r="G445" i="13"/>
  <c r="F445" i="13"/>
  <c r="E445" i="13"/>
  <c r="R445" i="13"/>
  <c r="P445" i="13"/>
  <c r="N445" i="13"/>
  <c r="I444" i="13"/>
  <c r="G444" i="13"/>
  <c r="F444" i="13"/>
  <c r="E444" i="13"/>
  <c r="R444" i="13"/>
  <c r="P444" i="13"/>
  <c r="N444" i="13"/>
  <c r="U444" i="13" s="1"/>
  <c r="D452" i="13"/>
  <c r="C452" i="13" s="1"/>
  <c r="D451" i="13"/>
  <c r="D450" i="13"/>
  <c r="D449" i="13"/>
  <c r="D448" i="13"/>
  <c r="D447" i="13"/>
  <c r="D446" i="13"/>
  <c r="D443" i="13"/>
  <c r="D442" i="13"/>
  <c r="D441" i="13"/>
  <c r="D440" i="13"/>
  <c r="D439" i="13"/>
  <c r="R451" i="13"/>
  <c r="R450" i="13"/>
  <c r="R448" i="13"/>
  <c r="R447" i="13"/>
  <c r="R446" i="13"/>
  <c r="R441" i="13"/>
  <c r="R440" i="13"/>
  <c r="R439" i="13"/>
  <c r="R438" i="13"/>
  <c r="U452" i="13"/>
  <c r="N451" i="13"/>
  <c r="U451" i="13" s="1"/>
  <c r="N450" i="13"/>
  <c r="U450" i="13" s="1"/>
  <c r="N448" i="13"/>
  <c r="U448" i="13" s="1"/>
  <c r="N447" i="13"/>
  <c r="U447" i="13" s="1"/>
  <c r="N446" i="13"/>
  <c r="U446" i="13" s="1"/>
  <c r="N449" i="13"/>
  <c r="U449" i="13" s="1"/>
  <c r="N443" i="13"/>
  <c r="N442" i="13"/>
  <c r="U442" i="13" s="1"/>
  <c r="N441" i="13"/>
  <c r="U441" i="13" s="1"/>
  <c r="N440" i="13"/>
  <c r="U440" i="13" s="1"/>
  <c r="N439" i="13"/>
  <c r="U439" i="13" s="1"/>
  <c r="N438" i="13"/>
  <c r="U438" i="13" s="1"/>
  <c r="I438" i="13"/>
  <c r="G438" i="13"/>
  <c r="F438" i="13"/>
  <c r="E438" i="13"/>
  <c r="T433" i="13"/>
  <c r="S433" i="13"/>
  <c r="Q433" i="13"/>
  <c r="P433" i="13"/>
  <c r="O433" i="13"/>
  <c r="M433" i="13"/>
  <c r="L433" i="13"/>
  <c r="K433" i="13"/>
  <c r="J433" i="13"/>
  <c r="H433" i="13"/>
  <c r="I436" i="13"/>
  <c r="I433" i="13" s="1"/>
  <c r="G436" i="13"/>
  <c r="G433" i="13" s="1"/>
  <c r="F436" i="13"/>
  <c r="F433" i="13" s="1"/>
  <c r="E436" i="13"/>
  <c r="E434" i="13"/>
  <c r="D434" i="13" s="1"/>
  <c r="R436" i="13"/>
  <c r="R435" i="13"/>
  <c r="R434" i="13"/>
  <c r="N436" i="13"/>
  <c r="U436" i="13" s="1"/>
  <c r="N435" i="13"/>
  <c r="U435" i="13" s="1"/>
  <c r="N434" i="13"/>
  <c r="U434" i="13" s="1"/>
  <c r="U445" i="13"/>
  <c r="D435" i="13"/>
  <c r="T138" i="13"/>
  <c r="S138" i="13"/>
  <c r="Q138" i="13"/>
  <c r="P138" i="13"/>
  <c r="O138" i="13"/>
  <c r="M138" i="13"/>
  <c r="L138" i="13"/>
  <c r="K138" i="13"/>
  <c r="J138" i="13"/>
  <c r="I138" i="13"/>
  <c r="H138" i="13"/>
  <c r="F138" i="13"/>
  <c r="T136" i="13"/>
  <c r="S136" i="13"/>
  <c r="Q136" i="13"/>
  <c r="P136" i="13"/>
  <c r="O136" i="13"/>
  <c r="M136" i="13"/>
  <c r="L136" i="13"/>
  <c r="K136" i="13"/>
  <c r="J136" i="13"/>
  <c r="I136" i="13"/>
  <c r="H136" i="13"/>
  <c r="G136" i="13"/>
  <c r="F136" i="13"/>
  <c r="E136" i="13"/>
  <c r="R137" i="13"/>
  <c r="R136" i="13" s="1"/>
  <c r="N137" i="13"/>
  <c r="N136" i="13" s="1"/>
  <c r="D137" i="13"/>
  <c r="D136" i="13" s="1"/>
  <c r="G139" i="13"/>
  <c r="G138" i="13" s="1"/>
  <c r="E139" i="13"/>
  <c r="E138" i="13" s="1"/>
  <c r="R139" i="13"/>
  <c r="R138" i="13" s="1"/>
  <c r="N139" i="13"/>
  <c r="U139" i="13" s="1"/>
  <c r="T134" i="13"/>
  <c r="S134" i="13"/>
  <c r="Q134" i="13"/>
  <c r="P134" i="13"/>
  <c r="O134" i="13"/>
  <c r="N134" i="13"/>
  <c r="M134" i="13"/>
  <c r="L134" i="13"/>
  <c r="K134" i="13"/>
  <c r="J134" i="13"/>
  <c r="R135" i="13"/>
  <c r="R134" i="13" s="1"/>
  <c r="I135" i="13"/>
  <c r="I134" i="13" s="1"/>
  <c r="H135" i="13"/>
  <c r="H134" i="13" s="1"/>
  <c r="G135" i="13"/>
  <c r="G134" i="13" s="1"/>
  <c r="F135" i="13"/>
  <c r="F134" i="13" s="1"/>
  <c r="E135" i="13"/>
  <c r="E134" i="13" s="1"/>
  <c r="T131" i="13"/>
  <c r="S131" i="13"/>
  <c r="Q131" i="13"/>
  <c r="P131" i="13"/>
  <c r="O131" i="13"/>
  <c r="M131" i="13"/>
  <c r="L131" i="13"/>
  <c r="K131" i="13"/>
  <c r="J131" i="13"/>
  <c r="I131" i="13"/>
  <c r="H131" i="13"/>
  <c r="G131" i="13"/>
  <c r="F131" i="13"/>
  <c r="E133" i="13"/>
  <c r="R133" i="13"/>
  <c r="R132" i="13"/>
  <c r="E132" i="13"/>
  <c r="D132" i="13" s="1"/>
  <c r="T128" i="13"/>
  <c r="S128" i="13"/>
  <c r="Q128" i="13"/>
  <c r="O128" i="13"/>
  <c r="M128" i="13"/>
  <c r="L128" i="13"/>
  <c r="K128" i="13"/>
  <c r="J128" i="13"/>
  <c r="I130" i="13"/>
  <c r="H130" i="13"/>
  <c r="G130" i="13"/>
  <c r="F130" i="13"/>
  <c r="E130" i="13"/>
  <c r="P129" i="13"/>
  <c r="P128" i="13" s="1"/>
  <c r="R129" i="13"/>
  <c r="R128" i="13" s="1"/>
  <c r="N129" i="13"/>
  <c r="U129" i="13" s="1"/>
  <c r="I129" i="13"/>
  <c r="I128" i="13" s="1"/>
  <c r="H129" i="13"/>
  <c r="H128" i="13" s="1"/>
  <c r="G129" i="13"/>
  <c r="G128" i="13" s="1"/>
  <c r="F129" i="13"/>
  <c r="F128" i="13" s="1"/>
  <c r="E129" i="13"/>
  <c r="E128" i="13" s="1"/>
  <c r="T126" i="13"/>
  <c r="S126" i="13"/>
  <c r="Q126" i="13"/>
  <c r="P126" i="13"/>
  <c r="O126" i="13"/>
  <c r="M126" i="13"/>
  <c r="L126" i="13"/>
  <c r="K126" i="13"/>
  <c r="J126" i="13"/>
  <c r="H126" i="13"/>
  <c r="F126" i="13"/>
  <c r="I127" i="13"/>
  <c r="I126" i="13" s="1"/>
  <c r="G127" i="13"/>
  <c r="G126" i="13" s="1"/>
  <c r="E127" i="13"/>
  <c r="E126" i="13" s="1"/>
  <c r="D133" i="13"/>
  <c r="R127" i="13"/>
  <c r="R126" i="13" s="1"/>
  <c r="I125" i="13"/>
  <c r="I124" i="13" s="1"/>
  <c r="T124" i="13"/>
  <c r="S124" i="13"/>
  <c r="Q124" i="13"/>
  <c r="P124" i="13"/>
  <c r="O124" i="13"/>
  <c r="M124" i="13"/>
  <c r="L124" i="13"/>
  <c r="K124" i="13"/>
  <c r="J124" i="13"/>
  <c r="R125" i="13"/>
  <c r="R124" i="13" s="1"/>
  <c r="N133" i="13"/>
  <c r="U133" i="13" s="1"/>
  <c r="N132" i="13"/>
  <c r="N127" i="13"/>
  <c r="N126" i="13" s="1"/>
  <c r="N125" i="13"/>
  <c r="U125" i="13" s="1"/>
  <c r="H125" i="13"/>
  <c r="H124" i="13" s="1"/>
  <c r="G125" i="13"/>
  <c r="G124" i="13" s="1"/>
  <c r="F125" i="13"/>
  <c r="F124" i="13" s="1"/>
  <c r="E125" i="13"/>
  <c r="E124" i="13" s="1"/>
  <c r="T122" i="13"/>
  <c r="S122" i="13"/>
  <c r="Q122" i="13"/>
  <c r="P122" i="13"/>
  <c r="O122" i="13"/>
  <c r="M122" i="13"/>
  <c r="L122" i="13"/>
  <c r="K122" i="13"/>
  <c r="J122" i="13"/>
  <c r="I123" i="13"/>
  <c r="I122" i="13" s="1"/>
  <c r="H123" i="13"/>
  <c r="H122" i="13" s="1"/>
  <c r="G123" i="13"/>
  <c r="G122" i="13" s="1"/>
  <c r="F123" i="13"/>
  <c r="F122" i="13" s="1"/>
  <c r="E123" i="13"/>
  <c r="E122" i="13" s="1"/>
  <c r="R123" i="13"/>
  <c r="R122" i="13" s="1"/>
  <c r="N123" i="13"/>
  <c r="N122" i="13" s="1"/>
  <c r="T114" i="13"/>
  <c r="S114" i="13"/>
  <c r="Q114" i="13"/>
  <c r="O114" i="13"/>
  <c r="M114" i="13"/>
  <c r="L114" i="13"/>
  <c r="K114" i="13"/>
  <c r="J114" i="13"/>
  <c r="H114" i="13"/>
  <c r="F114" i="13"/>
  <c r="I120" i="13"/>
  <c r="G120" i="13"/>
  <c r="E120" i="13"/>
  <c r="G119" i="13"/>
  <c r="E119" i="13"/>
  <c r="G118" i="13"/>
  <c r="E118" i="13"/>
  <c r="I116" i="13"/>
  <c r="G116" i="13"/>
  <c r="E116" i="13"/>
  <c r="I115" i="13"/>
  <c r="E115" i="13"/>
  <c r="R121" i="13"/>
  <c r="R120" i="13"/>
  <c r="R119" i="13"/>
  <c r="R118" i="13"/>
  <c r="R117" i="13"/>
  <c r="R116" i="13"/>
  <c r="R115" i="13"/>
  <c r="P120" i="13"/>
  <c r="P119" i="13"/>
  <c r="P118" i="13"/>
  <c r="N120" i="13"/>
  <c r="U120" i="13" s="1"/>
  <c r="N119" i="13"/>
  <c r="U119" i="13" s="1"/>
  <c r="N118" i="13"/>
  <c r="U118" i="13" s="1"/>
  <c r="N117" i="13"/>
  <c r="U117" i="13" s="1"/>
  <c r="D121" i="13"/>
  <c r="D117" i="13"/>
  <c r="T110" i="13"/>
  <c r="S110" i="13"/>
  <c r="R110" i="13"/>
  <c r="Q110" i="13"/>
  <c r="P110" i="13"/>
  <c r="O110" i="13"/>
  <c r="M110" i="13"/>
  <c r="L110" i="13"/>
  <c r="K110" i="13"/>
  <c r="J110" i="13"/>
  <c r="I112" i="13"/>
  <c r="I110" i="13" s="1"/>
  <c r="H112" i="13"/>
  <c r="H110" i="13" s="1"/>
  <c r="G112" i="13"/>
  <c r="G110" i="13" s="1"/>
  <c r="F112" i="13"/>
  <c r="F110" i="13" s="1"/>
  <c r="E112" i="13"/>
  <c r="E110" i="13" s="1"/>
  <c r="N113" i="13"/>
  <c r="U113" i="13" s="1"/>
  <c r="N111" i="13"/>
  <c r="U111" i="13" s="1"/>
  <c r="D113" i="13"/>
  <c r="D111" i="13"/>
  <c r="T106" i="13"/>
  <c r="S106" i="13"/>
  <c r="Q106" i="13"/>
  <c r="P106" i="13"/>
  <c r="O106" i="13"/>
  <c r="M106" i="13"/>
  <c r="L106" i="13"/>
  <c r="K106" i="13"/>
  <c r="J106" i="13"/>
  <c r="H106" i="13"/>
  <c r="I109" i="13"/>
  <c r="G109" i="13"/>
  <c r="F109" i="13"/>
  <c r="E109" i="13"/>
  <c r="I108" i="13"/>
  <c r="I106" i="13" s="1"/>
  <c r="G108" i="13"/>
  <c r="G106" i="13" s="1"/>
  <c r="F108" i="13"/>
  <c r="F106" i="13" s="1"/>
  <c r="E108" i="13"/>
  <c r="E106" i="13" s="1"/>
  <c r="R109" i="13"/>
  <c r="R108" i="13"/>
  <c r="N109" i="13"/>
  <c r="U109" i="13" s="1"/>
  <c r="N108" i="13"/>
  <c r="U108" i="13" s="1"/>
  <c r="N107" i="13"/>
  <c r="U107" i="13" s="1"/>
  <c r="D107" i="13"/>
  <c r="T104" i="13"/>
  <c r="S104" i="13"/>
  <c r="Q104" i="13"/>
  <c r="P104" i="13"/>
  <c r="O104" i="13"/>
  <c r="M104" i="13"/>
  <c r="L104" i="13"/>
  <c r="K104" i="13"/>
  <c r="J104" i="13"/>
  <c r="I104" i="13"/>
  <c r="H104" i="13"/>
  <c r="G104" i="13"/>
  <c r="F104" i="13"/>
  <c r="R105" i="13"/>
  <c r="R104" i="13" s="1"/>
  <c r="N105" i="13"/>
  <c r="U105" i="13" s="1"/>
  <c r="E105" i="13"/>
  <c r="E104" i="13" s="1"/>
  <c r="T101" i="13"/>
  <c r="S101" i="13"/>
  <c r="Q101" i="13"/>
  <c r="P101" i="13"/>
  <c r="O101" i="13"/>
  <c r="M101" i="13"/>
  <c r="L101" i="13"/>
  <c r="K101" i="13"/>
  <c r="J101" i="13"/>
  <c r="H101" i="13"/>
  <c r="F101" i="13"/>
  <c r="I103" i="13"/>
  <c r="G103" i="13"/>
  <c r="E103" i="13"/>
  <c r="I102" i="13"/>
  <c r="G102" i="13"/>
  <c r="E102" i="13"/>
  <c r="R103" i="13"/>
  <c r="R102" i="13"/>
  <c r="N103" i="13"/>
  <c r="U103" i="13" s="1"/>
  <c r="N102" i="13"/>
  <c r="T89" i="13"/>
  <c r="S89" i="13"/>
  <c r="Q89" i="13"/>
  <c r="O89" i="13"/>
  <c r="M89" i="13"/>
  <c r="L89" i="13"/>
  <c r="K89" i="13"/>
  <c r="J89" i="13"/>
  <c r="I100" i="13"/>
  <c r="H100" i="13"/>
  <c r="G100" i="13"/>
  <c r="F100" i="13"/>
  <c r="E100" i="13"/>
  <c r="I99" i="13"/>
  <c r="H99" i="13"/>
  <c r="G99" i="13"/>
  <c r="F99" i="13"/>
  <c r="E99" i="13"/>
  <c r="I98" i="13"/>
  <c r="H98" i="13"/>
  <c r="G98" i="13"/>
  <c r="F98" i="13"/>
  <c r="E98" i="13"/>
  <c r="I97" i="13"/>
  <c r="H97" i="13"/>
  <c r="G97" i="13"/>
  <c r="F97" i="13"/>
  <c r="E97" i="13"/>
  <c r="I96" i="13"/>
  <c r="H96" i="13"/>
  <c r="G96" i="13"/>
  <c r="F96" i="13"/>
  <c r="E96" i="13"/>
  <c r="P96" i="13"/>
  <c r="P95" i="13"/>
  <c r="I95" i="13"/>
  <c r="H95" i="13"/>
  <c r="G95" i="13"/>
  <c r="F95" i="13"/>
  <c r="E95" i="13"/>
  <c r="I94" i="13"/>
  <c r="H94" i="13"/>
  <c r="G94" i="13"/>
  <c r="F94" i="13"/>
  <c r="E94" i="13"/>
  <c r="I93" i="13"/>
  <c r="H93" i="13"/>
  <c r="G93" i="13"/>
  <c r="F93" i="13"/>
  <c r="E93" i="13"/>
  <c r="I92" i="13"/>
  <c r="H92" i="13"/>
  <c r="G92" i="13"/>
  <c r="F92" i="13"/>
  <c r="E92" i="13"/>
  <c r="I91" i="13"/>
  <c r="H91" i="13"/>
  <c r="G91" i="13"/>
  <c r="F91" i="13"/>
  <c r="E91" i="13"/>
  <c r="I90" i="13"/>
  <c r="H90" i="13"/>
  <c r="G90" i="13"/>
  <c r="F90" i="13"/>
  <c r="E90" i="13"/>
  <c r="R100" i="13"/>
  <c r="R99" i="13"/>
  <c r="R98" i="13"/>
  <c r="R97" i="13"/>
  <c r="R96" i="13"/>
  <c r="R95" i="13"/>
  <c r="R94" i="13"/>
  <c r="R93" i="13"/>
  <c r="R92" i="13"/>
  <c r="R91" i="13"/>
  <c r="R90" i="13"/>
  <c r="N99" i="13"/>
  <c r="U99" i="13" s="1"/>
  <c r="N96" i="13"/>
  <c r="U96" i="13" s="1"/>
  <c r="N95" i="13"/>
  <c r="U95" i="13" s="1"/>
  <c r="N94" i="13"/>
  <c r="U94" i="13" s="1"/>
  <c r="N93" i="13"/>
  <c r="U93" i="13" s="1"/>
  <c r="N92" i="13"/>
  <c r="U92" i="13" s="1"/>
  <c r="N91" i="13"/>
  <c r="U91" i="13" s="1"/>
  <c r="T86" i="13"/>
  <c r="S86" i="13"/>
  <c r="Q86" i="13"/>
  <c r="P86" i="13"/>
  <c r="O86" i="13"/>
  <c r="M86" i="13"/>
  <c r="L86" i="13"/>
  <c r="K86" i="13"/>
  <c r="J86" i="13"/>
  <c r="I88" i="13"/>
  <c r="H88" i="13"/>
  <c r="G88" i="13"/>
  <c r="F88" i="13"/>
  <c r="E88" i="13"/>
  <c r="I87" i="13"/>
  <c r="H87" i="13"/>
  <c r="G87" i="13"/>
  <c r="F87" i="13"/>
  <c r="E87" i="13"/>
  <c r="R87" i="13"/>
  <c r="R86" i="13" s="1"/>
  <c r="N88" i="13"/>
  <c r="U88" i="13" s="1"/>
  <c r="N87" i="13"/>
  <c r="T84" i="13"/>
  <c r="S84" i="13"/>
  <c r="Q84" i="13"/>
  <c r="P84" i="13"/>
  <c r="O84" i="13"/>
  <c r="N84" i="13"/>
  <c r="M84" i="13"/>
  <c r="L84" i="13"/>
  <c r="K84" i="13"/>
  <c r="J84" i="13"/>
  <c r="E84" i="13"/>
  <c r="R85" i="13"/>
  <c r="R84" i="13" s="1"/>
  <c r="I85" i="13"/>
  <c r="I84" i="13" s="1"/>
  <c r="H85" i="13"/>
  <c r="H84" i="13" s="1"/>
  <c r="G85" i="13"/>
  <c r="G84" i="13" s="1"/>
  <c r="F85" i="13"/>
  <c r="F84" i="13" s="1"/>
  <c r="T78" i="13"/>
  <c r="S78" i="13"/>
  <c r="Q78" i="13"/>
  <c r="O78" i="13"/>
  <c r="M78" i="13"/>
  <c r="L78" i="13"/>
  <c r="K78" i="13"/>
  <c r="J78" i="13"/>
  <c r="H78" i="13"/>
  <c r="F78" i="13"/>
  <c r="N83" i="13"/>
  <c r="U83" i="13" s="1"/>
  <c r="N82" i="13"/>
  <c r="I82" i="13"/>
  <c r="G82" i="13"/>
  <c r="E82" i="13"/>
  <c r="I81" i="13"/>
  <c r="G81" i="13"/>
  <c r="E81" i="13"/>
  <c r="P80" i="13"/>
  <c r="I80" i="13"/>
  <c r="G80" i="13"/>
  <c r="E80" i="13"/>
  <c r="P79" i="13"/>
  <c r="P78" i="13" s="1"/>
  <c r="R83" i="13"/>
  <c r="R82" i="13"/>
  <c r="R81" i="13"/>
  <c r="R80" i="13"/>
  <c r="R79" i="13"/>
  <c r="I83" i="13"/>
  <c r="G83" i="13"/>
  <c r="E83" i="13"/>
  <c r="D79" i="13"/>
  <c r="T75" i="13"/>
  <c r="S75" i="13"/>
  <c r="Q75" i="13"/>
  <c r="O75" i="13"/>
  <c r="N75" i="13"/>
  <c r="M75" i="13"/>
  <c r="L75" i="13"/>
  <c r="K75" i="13"/>
  <c r="J75" i="13"/>
  <c r="I75" i="13"/>
  <c r="H75" i="13"/>
  <c r="G75" i="13"/>
  <c r="F75" i="13"/>
  <c r="E75" i="13"/>
  <c r="R77" i="13"/>
  <c r="P77" i="13"/>
  <c r="P76" i="13"/>
  <c r="D77" i="13"/>
  <c r="D76" i="13"/>
  <c r="T71" i="13"/>
  <c r="R71" i="13"/>
  <c r="Q71" i="13"/>
  <c r="P71" i="13"/>
  <c r="O71" i="13"/>
  <c r="M71" i="13"/>
  <c r="L71" i="13"/>
  <c r="K71" i="13"/>
  <c r="J71" i="13"/>
  <c r="S74" i="13"/>
  <c r="S73" i="13"/>
  <c r="I74" i="13"/>
  <c r="H74" i="13"/>
  <c r="G74" i="13"/>
  <c r="F74" i="13"/>
  <c r="E74" i="13"/>
  <c r="I73" i="13"/>
  <c r="H73" i="13"/>
  <c r="G73" i="13"/>
  <c r="F73" i="13"/>
  <c r="F72" i="13"/>
  <c r="E73" i="13"/>
  <c r="N72" i="13"/>
  <c r="N71" i="13" s="1"/>
  <c r="I72" i="13"/>
  <c r="H72" i="13"/>
  <c r="G72" i="13"/>
  <c r="E72" i="13"/>
  <c r="T67" i="13"/>
  <c r="S67" i="13"/>
  <c r="Q67" i="13"/>
  <c r="O67" i="13"/>
  <c r="M67" i="13"/>
  <c r="L67" i="13"/>
  <c r="K67" i="13"/>
  <c r="J67" i="13"/>
  <c r="R70" i="13"/>
  <c r="P70" i="13"/>
  <c r="P67" i="13" s="1"/>
  <c r="N70" i="13"/>
  <c r="U70" i="13" s="1"/>
  <c r="I70" i="13"/>
  <c r="H70" i="13"/>
  <c r="G70" i="13"/>
  <c r="F70" i="13"/>
  <c r="E70" i="13"/>
  <c r="N69" i="13"/>
  <c r="U69" i="13" s="1"/>
  <c r="R69" i="13"/>
  <c r="I69" i="13"/>
  <c r="H69" i="13"/>
  <c r="G69" i="13"/>
  <c r="F69" i="13"/>
  <c r="E69" i="13"/>
  <c r="I68" i="13"/>
  <c r="H68" i="13"/>
  <c r="G68" i="13"/>
  <c r="F68" i="13"/>
  <c r="E68" i="13"/>
  <c r="R68" i="13"/>
  <c r="N68" i="13"/>
  <c r="U68" i="13" s="1"/>
  <c r="T56" i="13"/>
  <c r="S56" i="13"/>
  <c r="Q56" i="13"/>
  <c r="P56" i="13"/>
  <c r="O56" i="13"/>
  <c r="M56" i="13"/>
  <c r="L56" i="13"/>
  <c r="K56" i="13"/>
  <c r="J56" i="13"/>
  <c r="I66" i="13"/>
  <c r="H66" i="13"/>
  <c r="G66" i="13"/>
  <c r="F66" i="13"/>
  <c r="E66" i="13"/>
  <c r="I65" i="13"/>
  <c r="H65" i="13"/>
  <c r="G65" i="13"/>
  <c r="F65" i="13"/>
  <c r="E65" i="13"/>
  <c r="I64" i="13"/>
  <c r="H64" i="13"/>
  <c r="G64" i="13"/>
  <c r="F64" i="13"/>
  <c r="E64" i="13"/>
  <c r="I63" i="13"/>
  <c r="H63" i="13"/>
  <c r="G63" i="13"/>
  <c r="F63" i="13"/>
  <c r="E63" i="13"/>
  <c r="E62" i="13"/>
  <c r="I61" i="13"/>
  <c r="H61" i="13"/>
  <c r="G61" i="13"/>
  <c r="F61" i="13"/>
  <c r="E61" i="13"/>
  <c r="I60" i="13"/>
  <c r="H60" i="13"/>
  <c r="G60" i="13"/>
  <c r="F60" i="13"/>
  <c r="E60" i="13"/>
  <c r="I59" i="13"/>
  <c r="H59" i="13"/>
  <c r="G59" i="13"/>
  <c r="F59" i="13"/>
  <c r="E59" i="13"/>
  <c r="I58" i="13"/>
  <c r="H58" i="13"/>
  <c r="G58" i="13"/>
  <c r="F58" i="13"/>
  <c r="E58" i="13"/>
  <c r="N66" i="13"/>
  <c r="U66" i="13" s="1"/>
  <c r="N65" i="13"/>
  <c r="U65" i="13" s="1"/>
  <c r="N62" i="13"/>
  <c r="U62" i="13" s="1"/>
  <c r="N57" i="13"/>
  <c r="U57" i="13" s="1"/>
  <c r="E57" i="13"/>
  <c r="T53" i="13"/>
  <c r="S53" i="13"/>
  <c r="Q53" i="13"/>
  <c r="P53" i="13"/>
  <c r="O53" i="13"/>
  <c r="M53" i="13"/>
  <c r="L53" i="13"/>
  <c r="K53" i="13"/>
  <c r="J53" i="13"/>
  <c r="I53" i="13"/>
  <c r="H53" i="13"/>
  <c r="G53" i="13"/>
  <c r="F53" i="13"/>
  <c r="E55" i="13"/>
  <c r="E54" i="13"/>
  <c r="N55" i="13"/>
  <c r="U55" i="13" s="1"/>
  <c r="N54" i="13"/>
  <c r="U54" i="13" s="1"/>
  <c r="R76" i="13"/>
  <c r="U135" i="13"/>
  <c r="U132" i="13"/>
  <c r="U130" i="13"/>
  <c r="U121" i="13"/>
  <c r="U116" i="13"/>
  <c r="U115" i="13"/>
  <c r="U112" i="13"/>
  <c r="U100" i="13"/>
  <c r="U98" i="13"/>
  <c r="U97" i="13"/>
  <c r="U90" i="13"/>
  <c r="U85" i="13"/>
  <c r="U81" i="13"/>
  <c r="U80" i="13"/>
  <c r="U79" i="13"/>
  <c r="U77" i="13"/>
  <c r="U76" i="13"/>
  <c r="U74" i="13"/>
  <c r="U73" i="13"/>
  <c r="U64" i="13"/>
  <c r="U63" i="13"/>
  <c r="U61" i="13"/>
  <c r="U60" i="13"/>
  <c r="U59" i="13"/>
  <c r="U58" i="13"/>
  <c r="T47" i="13"/>
  <c r="S47" i="13"/>
  <c r="Q47" i="13"/>
  <c r="P47" i="13"/>
  <c r="O47" i="13"/>
  <c r="M47" i="13"/>
  <c r="L47" i="13"/>
  <c r="K47" i="13"/>
  <c r="J47" i="13"/>
  <c r="H47" i="13"/>
  <c r="F47" i="13"/>
  <c r="I52" i="13"/>
  <c r="G52" i="13"/>
  <c r="E52" i="13"/>
  <c r="I51" i="13"/>
  <c r="G51" i="13"/>
  <c r="E51" i="13"/>
  <c r="I50" i="13"/>
  <c r="G50" i="13"/>
  <c r="E50" i="13"/>
  <c r="E49" i="13"/>
  <c r="N52" i="13"/>
  <c r="U52" i="13" s="1"/>
  <c r="N51" i="13"/>
  <c r="U51" i="13" s="1"/>
  <c r="N50" i="13"/>
  <c r="U50" i="13" s="1"/>
  <c r="N49" i="13"/>
  <c r="U49" i="13" s="1"/>
  <c r="E48" i="13"/>
  <c r="T43" i="13"/>
  <c r="S43" i="13"/>
  <c r="Q43" i="13"/>
  <c r="P43" i="13"/>
  <c r="O43" i="13"/>
  <c r="M43" i="13"/>
  <c r="L43" i="13"/>
  <c r="K43" i="13"/>
  <c r="J43" i="13"/>
  <c r="I46" i="13"/>
  <c r="H46" i="13"/>
  <c r="G46" i="13"/>
  <c r="F46" i="13"/>
  <c r="E46" i="13"/>
  <c r="N46" i="13"/>
  <c r="U46" i="13" s="1"/>
  <c r="N45" i="13"/>
  <c r="U45" i="13" s="1"/>
  <c r="I45" i="13"/>
  <c r="H45" i="13"/>
  <c r="G45" i="13"/>
  <c r="F45" i="13"/>
  <c r="E45" i="13"/>
  <c r="T40" i="13"/>
  <c r="S40" i="13"/>
  <c r="Q40" i="13"/>
  <c r="P40" i="13"/>
  <c r="O40" i="13"/>
  <c r="M40" i="13"/>
  <c r="L40" i="13"/>
  <c r="K40" i="13"/>
  <c r="J40" i="13"/>
  <c r="I40" i="13"/>
  <c r="H40" i="13"/>
  <c r="G40" i="13"/>
  <c r="F42" i="13"/>
  <c r="E42" i="13"/>
  <c r="R66" i="13"/>
  <c r="R65" i="13"/>
  <c r="R62" i="13"/>
  <c r="R61" i="13"/>
  <c r="R60" i="13"/>
  <c r="R59" i="13"/>
  <c r="R58" i="13"/>
  <c r="R57" i="13"/>
  <c r="R55" i="13"/>
  <c r="R54" i="13"/>
  <c r="R52" i="13"/>
  <c r="R51" i="13"/>
  <c r="R50" i="13"/>
  <c r="R49" i="13"/>
  <c r="R48" i="13"/>
  <c r="R46" i="13"/>
  <c r="R45" i="13"/>
  <c r="R42" i="13"/>
  <c r="R41" i="13"/>
  <c r="N42" i="13"/>
  <c r="U42" i="13" s="1"/>
  <c r="N41" i="13"/>
  <c r="F41" i="13"/>
  <c r="E41" i="13"/>
  <c r="T37" i="13"/>
  <c r="S37" i="13"/>
  <c r="R37" i="13"/>
  <c r="Q37" i="13"/>
  <c r="O37" i="13"/>
  <c r="N37" i="13"/>
  <c r="M37" i="13"/>
  <c r="L37" i="13"/>
  <c r="K37" i="13"/>
  <c r="J37" i="13"/>
  <c r="I37" i="13"/>
  <c r="H37" i="13"/>
  <c r="G37" i="13"/>
  <c r="F37" i="13"/>
  <c r="P39" i="13"/>
  <c r="P38" i="13"/>
  <c r="E39" i="13"/>
  <c r="E38" i="13"/>
  <c r="T31" i="13"/>
  <c r="S31" i="13"/>
  <c r="Q31" i="13"/>
  <c r="P31" i="13"/>
  <c r="O31" i="13"/>
  <c r="M31" i="13"/>
  <c r="L31" i="13"/>
  <c r="K31" i="13"/>
  <c r="J31" i="13"/>
  <c r="H31" i="13"/>
  <c r="F31" i="13"/>
  <c r="I33" i="13"/>
  <c r="I31" i="13" s="1"/>
  <c r="G33" i="13"/>
  <c r="G31" i="13" s="1"/>
  <c r="E33" i="13"/>
  <c r="R33" i="13"/>
  <c r="R32" i="13"/>
  <c r="N36" i="13"/>
  <c r="U36" i="13" s="1"/>
  <c r="N35" i="13"/>
  <c r="U35" i="13" s="1"/>
  <c r="N34" i="13"/>
  <c r="U34" i="13" s="1"/>
  <c r="N33" i="13"/>
  <c r="U33" i="13" s="1"/>
  <c r="N32" i="13"/>
  <c r="U32" i="13" s="1"/>
  <c r="U44" i="13"/>
  <c r="U39" i="13"/>
  <c r="U38" i="13"/>
  <c r="E32" i="13"/>
  <c r="D36" i="13"/>
  <c r="D35" i="13"/>
  <c r="D34" i="13"/>
  <c r="T15" i="13"/>
  <c r="S15" i="13"/>
  <c r="Q15" i="13"/>
  <c r="O15" i="13"/>
  <c r="M15" i="13"/>
  <c r="L15" i="13"/>
  <c r="K15" i="13"/>
  <c r="J15" i="13"/>
  <c r="N29" i="13"/>
  <c r="E78" i="13" l="1"/>
  <c r="E437" i="13"/>
  <c r="U72" i="13"/>
  <c r="G67" i="13"/>
  <c r="N78" i="13"/>
  <c r="F43" i="13"/>
  <c r="G71" i="13"/>
  <c r="G78" i="13"/>
  <c r="I101" i="13"/>
  <c r="R106" i="13"/>
  <c r="E31" i="13"/>
  <c r="D82" i="13"/>
  <c r="C82" i="13" s="1"/>
  <c r="R31" i="13"/>
  <c r="E37" i="13"/>
  <c r="N40" i="13"/>
  <c r="D75" i="13"/>
  <c r="H86" i="13"/>
  <c r="F40" i="13"/>
  <c r="E43" i="13"/>
  <c r="I43" i="13"/>
  <c r="H71" i="13"/>
  <c r="F71" i="13"/>
  <c r="D95" i="13"/>
  <c r="C95" i="13" s="1"/>
  <c r="I56" i="13"/>
  <c r="D83" i="13"/>
  <c r="C83" i="13" s="1"/>
  <c r="G86" i="13"/>
  <c r="H89" i="13"/>
  <c r="I89" i="13"/>
  <c r="U41" i="13"/>
  <c r="P37" i="13"/>
  <c r="R40" i="13"/>
  <c r="U137" i="13"/>
  <c r="E67" i="13"/>
  <c r="I67" i="13"/>
  <c r="P114" i="13"/>
  <c r="E114" i="13"/>
  <c r="N131" i="13"/>
  <c r="D131" i="13"/>
  <c r="E433" i="13"/>
  <c r="C443" i="13"/>
  <c r="C451" i="13"/>
  <c r="E56" i="13"/>
  <c r="F67" i="13"/>
  <c r="E89" i="13"/>
  <c r="R101" i="13"/>
  <c r="H43" i="13"/>
  <c r="R67" i="13"/>
  <c r="I71" i="13"/>
  <c r="E101" i="13"/>
  <c r="N104" i="13"/>
  <c r="N128" i="13"/>
  <c r="C435" i="13"/>
  <c r="C441" i="13"/>
  <c r="R75" i="13"/>
  <c r="R43" i="13"/>
  <c r="F86" i="13"/>
  <c r="P89" i="13"/>
  <c r="U443" i="13"/>
  <c r="R53" i="13"/>
  <c r="R56" i="13"/>
  <c r="E47" i="13"/>
  <c r="I47" i="13"/>
  <c r="H56" i="13"/>
  <c r="H67" i="13"/>
  <c r="E71" i="13"/>
  <c r="S71" i="13"/>
  <c r="P75" i="13"/>
  <c r="E86" i="13"/>
  <c r="I86" i="13"/>
  <c r="N89" i="13"/>
  <c r="F89" i="13"/>
  <c r="N101" i="13"/>
  <c r="G101" i="13"/>
  <c r="N106" i="13"/>
  <c r="C440" i="13"/>
  <c r="C449" i="13"/>
  <c r="D33" i="13"/>
  <c r="C33" i="13" s="1"/>
  <c r="E53" i="13"/>
  <c r="N86" i="13"/>
  <c r="G89" i="13"/>
  <c r="R131" i="13"/>
  <c r="R433" i="13"/>
  <c r="N437" i="13"/>
  <c r="E40" i="13"/>
  <c r="R47" i="13"/>
  <c r="G43" i="13"/>
  <c r="G47" i="13"/>
  <c r="U127" i="13"/>
  <c r="G56" i="13"/>
  <c r="F56" i="13"/>
  <c r="R78" i="13"/>
  <c r="I78" i="13"/>
  <c r="R89" i="13"/>
  <c r="N114" i="13"/>
  <c r="R114" i="13"/>
  <c r="G114" i="13"/>
  <c r="I114" i="13"/>
  <c r="C448" i="13"/>
  <c r="N56" i="13"/>
  <c r="N67" i="13"/>
  <c r="U82" i="13"/>
  <c r="D105" i="13"/>
  <c r="I437" i="13"/>
  <c r="C442" i="13"/>
  <c r="C450" i="13"/>
  <c r="N31" i="13"/>
  <c r="U87" i="13"/>
  <c r="U123" i="13"/>
  <c r="N53" i="13"/>
  <c r="D112" i="13"/>
  <c r="N110" i="13"/>
  <c r="C121" i="13"/>
  <c r="C133" i="13"/>
  <c r="G437" i="13"/>
  <c r="C439" i="13"/>
  <c r="C35" i="13"/>
  <c r="C132" i="13"/>
  <c r="C131" i="13" s="1"/>
  <c r="D32" i="13"/>
  <c r="N43" i="13"/>
  <c r="U102" i="13"/>
  <c r="C107" i="13"/>
  <c r="N124" i="13"/>
  <c r="E131" i="13"/>
  <c r="N138" i="13"/>
  <c r="N433" i="13"/>
  <c r="F437" i="13"/>
  <c r="R437" i="13"/>
  <c r="D445" i="13"/>
  <c r="C445" i="13" s="1"/>
  <c r="D444" i="13"/>
  <c r="C444" i="13" s="1"/>
  <c r="C434" i="13"/>
  <c r="D436" i="13"/>
  <c r="C137" i="13"/>
  <c r="C136" i="13" s="1"/>
  <c r="D139" i="13"/>
  <c r="D135" i="13"/>
  <c r="D130" i="13"/>
  <c r="C130" i="13" s="1"/>
  <c r="D129" i="13"/>
  <c r="D127" i="13"/>
  <c r="D125" i="13"/>
  <c r="D123" i="13"/>
  <c r="D119" i="13"/>
  <c r="C119" i="13" s="1"/>
  <c r="D118" i="13"/>
  <c r="C118" i="13" s="1"/>
  <c r="D115" i="13"/>
  <c r="C117" i="13"/>
  <c r="D120" i="13"/>
  <c r="C120" i="13" s="1"/>
  <c r="D116" i="13"/>
  <c r="C116" i="13" s="1"/>
  <c r="C113" i="13"/>
  <c r="C111" i="13"/>
  <c r="D109" i="13"/>
  <c r="C109" i="13" s="1"/>
  <c r="D108" i="13"/>
  <c r="D103" i="13"/>
  <c r="C103" i="13" s="1"/>
  <c r="D102" i="13"/>
  <c r="D100" i="13"/>
  <c r="C100" i="13" s="1"/>
  <c r="D99" i="13"/>
  <c r="C99" i="13" s="1"/>
  <c r="D98" i="13"/>
  <c r="C98" i="13" s="1"/>
  <c r="D97" i="13"/>
  <c r="C97" i="13" s="1"/>
  <c r="D96" i="13"/>
  <c r="C96" i="13" s="1"/>
  <c r="D94" i="13"/>
  <c r="C94" i="13" s="1"/>
  <c r="D93" i="13"/>
  <c r="C93" i="13" s="1"/>
  <c r="D92" i="13"/>
  <c r="C92" i="13" s="1"/>
  <c r="D91" i="13"/>
  <c r="C91" i="13" s="1"/>
  <c r="D90" i="13"/>
  <c r="D88" i="13"/>
  <c r="C88" i="13" s="1"/>
  <c r="D87" i="13"/>
  <c r="D85" i="13"/>
  <c r="D81" i="13"/>
  <c r="C81" i="13" s="1"/>
  <c r="D80" i="13"/>
  <c r="C79" i="13"/>
  <c r="C77" i="13"/>
  <c r="C76" i="13"/>
  <c r="D74" i="13"/>
  <c r="C74" i="13" s="1"/>
  <c r="D73" i="13"/>
  <c r="C73" i="13" s="1"/>
  <c r="D72" i="13"/>
  <c r="D70" i="13"/>
  <c r="C70" i="13" s="1"/>
  <c r="D69" i="13"/>
  <c r="C69" i="13" s="1"/>
  <c r="D68" i="13"/>
  <c r="C36" i="13"/>
  <c r="C34" i="13"/>
  <c r="D31" i="13" l="1"/>
  <c r="C32" i="13"/>
  <c r="C31" i="13" s="1"/>
  <c r="C72" i="13"/>
  <c r="C71" i="13" s="1"/>
  <c r="D71" i="13"/>
  <c r="C80" i="13"/>
  <c r="C78" i="13" s="1"/>
  <c r="D78" i="13"/>
  <c r="C102" i="13"/>
  <c r="C101" i="13" s="1"/>
  <c r="D101" i="13"/>
  <c r="C115" i="13"/>
  <c r="C114" i="13" s="1"/>
  <c r="D114" i="13"/>
  <c r="C135" i="13"/>
  <c r="C134" i="13" s="1"/>
  <c r="D134" i="13"/>
  <c r="C112" i="13"/>
  <c r="C110" i="13" s="1"/>
  <c r="D110" i="13"/>
  <c r="C90" i="13"/>
  <c r="C89" i="13" s="1"/>
  <c r="D89" i="13"/>
  <c r="C108" i="13"/>
  <c r="C106" i="13" s="1"/>
  <c r="D106" i="13"/>
  <c r="C123" i="13"/>
  <c r="C122" i="13" s="1"/>
  <c r="D122" i="13"/>
  <c r="C436" i="13"/>
  <c r="C433" i="13" s="1"/>
  <c r="D433" i="13"/>
  <c r="D437" i="13"/>
  <c r="C87" i="13"/>
  <c r="C86" i="13" s="1"/>
  <c r="D86" i="13"/>
  <c r="C127" i="13"/>
  <c r="C126" i="13" s="1"/>
  <c r="D126" i="13"/>
  <c r="C139" i="13"/>
  <c r="C138" i="13" s="1"/>
  <c r="D138" i="13"/>
  <c r="C85" i="13"/>
  <c r="C84" i="13" s="1"/>
  <c r="D84" i="13"/>
  <c r="C68" i="13"/>
  <c r="C67" i="13" s="1"/>
  <c r="D67" i="13"/>
  <c r="C129" i="13"/>
  <c r="C128" i="13" s="1"/>
  <c r="D128" i="13"/>
  <c r="C105" i="13"/>
  <c r="C104" i="13" s="1"/>
  <c r="D104" i="13"/>
  <c r="C75" i="13"/>
  <c r="C125" i="13"/>
  <c r="C124" i="13" s="1"/>
  <c r="D124" i="13"/>
  <c r="I28" i="13"/>
  <c r="H28" i="13"/>
  <c r="G28" i="13"/>
  <c r="F28" i="13"/>
  <c r="E28" i="13"/>
  <c r="I27" i="13"/>
  <c r="H27" i="13"/>
  <c r="G27" i="13"/>
  <c r="F27" i="13"/>
  <c r="E27" i="13"/>
  <c r="I25" i="13"/>
  <c r="G25" i="13"/>
  <c r="F25" i="13"/>
  <c r="E25" i="13"/>
  <c r="I24" i="13"/>
  <c r="G24" i="13"/>
  <c r="F24" i="13"/>
  <c r="E24" i="13"/>
  <c r="I23" i="13"/>
  <c r="G23" i="13"/>
  <c r="F23" i="13"/>
  <c r="E23" i="13"/>
  <c r="I22" i="13"/>
  <c r="G22" i="13"/>
  <c r="F22" i="13"/>
  <c r="E22" i="13"/>
  <c r="P24" i="13"/>
  <c r="I21" i="13"/>
  <c r="G21" i="13"/>
  <c r="F21" i="13"/>
  <c r="E21" i="13"/>
  <c r="I20" i="13"/>
  <c r="H20" i="13"/>
  <c r="G20" i="13"/>
  <c r="F20" i="13"/>
  <c r="E20" i="13"/>
  <c r="R28" i="13"/>
  <c r="R27" i="13"/>
  <c r="R25" i="13"/>
  <c r="R24" i="13"/>
  <c r="R21" i="13"/>
  <c r="R20" i="13"/>
  <c r="R19" i="13"/>
  <c r="P21" i="13"/>
  <c r="P20" i="13"/>
  <c r="N30" i="13"/>
  <c r="U30" i="13" s="1"/>
  <c r="N28" i="13"/>
  <c r="U28" i="13" s="1"/>
  <c r="N27" i="13"/>
  <c r="U27" i="13" s="1"/>
  <c r="N26" i="13"/>
  <c r="U26" i="13" s="1"/>
  <c r="N25" i="13"/>
  <c r="U25" i="13" s="1"/>
  <c r="N24" i="13"/>
  <c r="U24" i="13" s="1"/>
  <c r="N21" i="13"/>
  <c r="U21" i="13" s="1"/>
  <c r="N20" i="13"/>
  <c r="U20" i="13" s="1"/>
  <c r="N19" i="13"/>
  <c r="U19" i="13" s="1"/>
  <c r="N18" i="13"/>
  <c r="U18" i="13" s="1"/>
  <c r="N16" i="13"/>
  <c r="I17" i="13"/>
  <c r="H17" i="13"/>
  <c r="G17" i="13"/>
  <c r="F17" i="13"/>
  <c r="E17" i="13"/>
  <c r="E13" i="13"/>
  <c r="D13" i="13" s="1"/>
  <c r="D30" i="13"/>
  <c r="D29" i="13"/>
  <c r="C29" i="13" s="1"/>
  <c r="D26" i="13"/>
  <c r="C26" i="13" s="1"/>
  <c r="D18" i="13"/>
  <c r="D16" i="13"/>
  <c r="D14" i="13"/>
  <c r="I12" i="13"/>
  <c r="G12" i="13"/>
  <c r="F12" i="13"/>
  <c r="E12" i="13"/>
  <c r="I19" i="13"/>
  <c r="H19" i="13"/>
  <c r="G19" i="13"/>
  <c r="F19" i="13"/>
  <c r="E19" i="13"/>
  <c r="N14" i="13"/>
  <c r="U14" i="13" s="1"/>
  <c r="N13" i="13"/>
  <c r="U13" i="13" s="1"/>
  <c r="U12" i="13"/>
  <c r="U29" i="13"/>
  <c r="U23" i="13"/>
  <c r="U22" i="13"/>
  <c r="U17" i="13"/>
  <c r="T1244" i="13"/>
  <c r="S1244" i="13"/>
  <c r="Q1244" i="13"/>
  <c r="O1244" i="13"/>
  <c r="M1244" i="13"/>
  <c r="L1244" i="13"/>
  <c r="K1244" i="13"/>
  <c r="J1244" i="13"/>
  <c r="H1244" i="13"/>
  <c r="T1231" i="13"/>
  <c r="S1231" i="13"/>
  <c r="Q1231" i="13"/>
  <c r="O1231" i="13"/>
  <c r="M1231" i="13"/>
  <c r="L1231" i="13"/>
  <c r="K1231" i="13"/>
  <c r="J1231" i="13"/>
  <c r="P1245" i="13"/>
  <c r="P1244" i="13" s="1"/>
  <c r="I1245" i="13"/>
  <c r="I1244" i="13" s="1"/>
  <c r="G1245" i="13"/>
  <c r="G1244" i="13" s="1"/>
  <c r="F1245" i="13"/>
  <c r="F1244" i="13" s="1"/>
  <c r="E1245" i="13"/>
  <c r="E1244" i="13" s="1"/>
  <c r="R1245" i="13"/>
  <c r="R1244" i="13" s="1"/>
  <c r="N1245" i="13"/>
  <c r="N1244" i="13" s="1"/>
  <c r="I1243" i="13"/>
  <c r="G1243" i="13"/>
  <c r="F1243" i="13"/>
  <c r="E1243" i="13"/>
  <c r="R1243" i="13"/>
  <c r="P1243" i="13"/>
  <c r="N1243" i="13"/>
  <c r="N1233" i="13"/>
  <c r="N1234" i="13"/>
  <c r="N1236" i="13"/>
  <c r="N1237" i="13"/>
  <c r="N1238" i="13"/>
  <c r="N1239" i="13"/>
  <c r="N1240" i="13"/>
  <c r="N1241" i="13"/>
  <c r="R1242" i="13"/>
  <c r="P1242" i="13"/>
  <c r="N1242" i="13"/>
  <c r="D1242" i="13"/>
  <c r="I1241" i="13"/>
  <c r="H1241" i="13"/>
  <c r="G1241" i="13"/>
  <c r="F1241" i="13"/>
  <c r="E1241" i="13"/>
  <c r="R1241" i="13"/>
  <c r="P1241" i="13"/>
  <c r="R1240" i="13"/>
  <c r="P1240" i="13"/>
  <c r="D1240" i="13"/>
  <c r="I1239" i="13"/>
  <c r="G1239" i="13"/>
  <c r="F1239" i="13"/>
  <c r="E1239" i="13"/>
  <c r="R1239" i="13"/>
  <c r="P1239" i="13"/>
  <c r="I1238" i="13"/>
  <c r="G1238" i="13"/>
  <c r="F1238" i="13"/>
  <c r="E1238" i="13"/>
  <c r="R1238" i="13"/>
  <c r="P1238" i="13"/>
  <c r="P1237" i="13"/>
  <c r="D1237" i="13"/>
  <c r="P1236" i="13"/>
  <c r="D1236" i="13"/>
  <c r="I1235" i="13"/>
  <c r="H1235" i="13"/>
  <c r="G1235" i="13"/>
  <c r="F1235" i="13"/>
  <c r="E1235" i="13"/>
  <c r="R1235" i="13"/>
  <c r="P1235" i="13"/>
  <c r="N1235" i="13"/>
  <c r="I1234" i="13"/>
  <c r="H1234" i="13"/>
  <c r="G1234" i="13"/>
  <c r="F1234" i="13"/>
  <c r="E1234" i="13"/>
  <c r="R1234" i="13"/>
  <c r="P1234" i="13"/>
  <c r="I1233" i="13"/>
  <c r="H1233" i="13"/>
  <c r="G1233" i="13"/>
  <c r="F1233" i="13"/>
  <c r="E1233" i="13"/>
  <c r="R1233" i="13"/>
  <c r="P1233" i="13"/>
  <c r="P1232" i="13"/>
  <c r="N1232" i="13"/>
  <c r="D1232" i="13"/>
  <c r="T842" i="13"/>
  <c r="S842" i="13"/>
  <c r="Q842" i="13"/>
  <c r="O842" i="13"/>
  <c r="M842" i="13"/>
  <c r="L842" i="13"/>
  <c r="K842" i="13"/>
  <c r="J842" i="13"/>
  <c r="H842" i="13"/>
  <c r="P844" i="13"/>
  <c r="P842" i="13" s="1"/>
  <c r="I844" i="13"/>
  <c r="G844" i="13"/>
  <c r="F844" i="13"/>
  <c r="F842" i="13" s="1"/>
  <c r="E844" i="13"/>
  <c r="R844" i="13"/>
  <c r="N844" i="13"/>
  <c r="U844" i="13" s="1"/>
  <c r="I843" i="13"/>
  <c r="G843" i="13"/>
  <c r="E843" i="13"/>
  <c r="R843" i="13"/>
  <c r="N843" i="13"/>
  <c r="U843" i="13" s="1"/>
  <c r="T831" i="13"/>
  <c r="S831" i="13"/>
  <c r="Q831" i="13"/>
  <c r="P831" i="13"/>
  <c r="O831" i="13"/>
  <c r="M831" i="13"/>
  <c r="L831" i="13"/>
  <c r="K831" i="13"/>
  <c r="J831" i="13"/>
  <c r="H831" i="13"/>
  <c r="I841" i="13"/>
  <c r="G841" i="13"/>
  <c r="E841" i="13"/>
  <c r="R841" i="13"/>
  <c r="N841" i="13"/>
  <c r="U841" i="13" s="1"/>
  <c r="I840" i="13"/>
  <c r="G840" i="13"/>
  <c r="F840" i="13"/>
  <c r="E840" i="13"/>
  <c r="R840" i="13"/>
  <c r="N840" i="13"/>
  <c r="U840" i="13" s="1"/>
  <c r="I839" i="13"/>
  <c r="G839" i="13"/>
  <c r="F839" i="13"/>
  <c r="E839" i="13"/>
  <c r="R839" i="13"/>
  <c r="N839" i="13"/>
  <c r="U839" i="13" s="1"/>
  <c r="I838" i="13"/>
  <c r="G838" i="13"/>
  <c r="F838" i="13"/>
  <c r="E838" i="13"/>
  <c r="I837" i="13"/>
  <c r="G837" i="13"/>
  <c r="F837" i="13"/>
  <c r="E837" i="13"/>
  <c r="R838" i="13"/>
  <c r="N838" i="13"/>
  <c r="U838" i="13" s="1"/>
  <c r="R837" i="13"/>
  <c r="N837" i="13"/>
  <c r="U837" i="13" s="1"/>
  <c r="I836" i="13"/>
  <c r="G836" i="13"/>
  <c r="F836" i="13"/>
  <c r="E836" i="13"/>
  <c r="R836" i="13"/>
  <c r="N836" i="13"/>
  <c r="U836" i="13" s="1"/>
  <c r="I835" i="13"/>
  <c r="G835" i="13"/>
  <c r="F835" i="13"/>
  <c r="E835" i="13"/>
  <c r="R835" i="13"/>
  <c r="N835" i="13"/>
  <c r="U835" i="13" s="1"/>
  <c r="I834" i="13"/>
  <c r="G834" i="13"/>
  <c r="F834" i="13"/>
  <c r="E834" i="13"/>
  <c r="R834" i="13"/>
  <c r="N834" i="13"/>
  <c r="U834" i="13" s="1"/>
  <c r="I833" i="13"/>
  <c r="G833" i="13"/>
  <c r="F833" i="13"/>
  <c r="E833" i="13"/>
  <c r="R833" i="13"/>
  <c r="N833" i="13"/>
  <c r="U833" i="13" s="1"/>
  <c r="I832" i="13"/>
  <c r="G832" i="13"/>
  <c r="F832" i="13"/>
  <c r="E832" i="13"/>
  <c r="N832" i="13"/>
  <c r="U832" i="13" s="1"/>
  <c r="R832" i="13"/>
  <c r="T555" i="13"/>
  <c r="S555" i="13"/>
  <c r="R555" i="13"/>
  <c r="Q555" i="13"/>
  <c r="P555" i="13"/>
  <c r="O555" i="13"/>
  <c r="M555" i="13"/>
  <c r="L555" i="13"/>
  <c r="K555" i="13"/>
  <c r="J555" i="13"/>
  <c r="I555" i="13"/>
  <c r="H555" i="13"/>
  <c r="G555" i="13"/>
  <c r="F555" i="13"/>
  <c r="E555" i="13"/>
  <c r="D557" i="13"/>
  <c r="D556" i="13"/>
  <c r="T430" i="13"/>
  <c r="S430" i="13"/>
  <c r="Q430" i="13"/>
  <c r="O430" i="13"/>
  <c r="M430" i="13"/>
  <c r="L430" i="13"/>
  <c r="K430" i="13"/>
  <c r="J430" i="13"/>
  <c r="I430" i="13"/>
  <c r="H430" i="13"/>
  <c r="G430" i="13"/>
  <c r="F430" i="13"/>
  <c r="E430" i="13"/>
  <c r="R431" i="13"/>
  <c r="R430" i="13" s="1"/>
  <c r="P431" i="13"/>
  <c r="P430" i="13" s="1"/>
  <c r="N431" i="13"/>
  <c r="N430" i="13" s="1"/>
  <c r="D431" i="13"/>
  <c r="D430" i="13" s="1"/>
  <c r="T418" i="13"/>
  <c r="S418" i="13"/>
  <c r="Q418" i="13"/>
  <c r="O418" i="13"/>
  <c r="M418" i="13"/>
  <c r="L418" i="13"/>
  <c r="K418" i="13"/>
  <c r="J418" i="13"/>
  <c r="I429" i="13"/>
  <c r="H429" i="13"/>
  <c r="G429" i="13"/>
  <c r="F429" i="13"/>
  <c r="E429" i="13"/>
  <c r="P429" i="13"/>
  <c r="N429" i="13"/>
  <c r="I428" i="13"/>
  <c r="H428" i="13"/>
  <c r="G428" i="13"/>
  <c r="F428" i="13"/>
  <c r="E428" i="13"/>
  <c r="P428" i="13"/>
  <c r="N428" i="13"/>
  <c r="I427" i="13"/>
  <c r="G427" i="13"/>
  <c r="F427" i="13"/>
  <c r="E427" i="13"/>
  <c r="R427" i="13"/>
  <c r="P427" i="13"/>
  <c r="N427" i="13"/>
  <c r="I426" i="13"/>
  <c r="G426" i="13"/>
  <c r="F426" i="13"/>
  <c r="E426" i="13"/>
  <c r="R426" i="13"/>
  <c r="P426" i="13"/>
  <c r="N426" i="13"/>
  <c r="F831" i="13" l="1"/>
  <c r="D428" i="13"/>
  <c r="C428" i="13" s="1"/>
  <c r="D426" i="13"/>
  <c r="C426" i="13" s="1"/>
  <c r="R831" i="13"/>
  <c r="G831" i="13"/>
  <c r="G842" i="13"/>
  <c r="E1231" i="13"/>
  <c r="I1231" i="13"/>
  <c r="H1231" i="13"/>
  <c r="D427" i="13"/>
  <c r="C427" i="13" s="1"/>
  <c r="H418" i="13"/>
  <c r="D429" i="13"/>
  <c r="C429" i="13" s="1"/>
  <c r="E842" i="13"/>
  <c r="D19" i="13"/>
  <c r="C19" i="13" s="1"/>
  <c r="D12" i="13"/>
  <c r="C12" i="13" s="1"/>
  <c r="E831" i="13"/>
  <c r="R842" i="13"/>
  <c r="G1231" i="13"/>
  <c r="R1231" i="13"/>
  <c r="D840" i="13"/>
  <c r="C840" i="13" s="1"/>
  <c r="I842" i="13"/>
  <c r="P1231" i="13"/>
  <c r="F1231" i="13"/>
  <c r="N1231" i="13"/>
  <c r="C18" i="13"/>
  <c r="C13" i="13"/>
  <c r="H15" i="13"/>
  <c r="I831" i="13"/>
  <c r="N842" i="13"/>
  <c r="G15" i="13"/>
  <c r="R15" i="13"/>
  <c r="U16" i="13"/>
  <c r="N15" i="13"/>
  <c r="C431" i="13"/>
  <c r="C430" i="13" s="1"/>
  <c r="F15" i="13"/>
  <c r="N831" i="13"/>
  <c r="C14" i="13"/>
  <c r="E15" i="13"/>
  <c r="I15" i="13"/>
  <c r="P15" i="13"/>
  <c r="D24" i="13"/>
  <c r="C24" i="13" s="1"/>
  <c r="D23" i="13"/>
  <c r="C23" i="13" s="1"/>
  <c r="D27" i="13"/>
  <c r="C27" i="13" s="1"/>
  <c r="D28" i="13"/>
  <c r="C28" i="13" s="1"/>
  <c r="D25" i="13"/>
  <c r="C25" i="13" s="1"/>
  <c r="D22" i="13"/>
  <c r="C22" i="13" s="1"/>
  <c r="D21" i="13"/>
  <c r="C21" i="13" s="1"/>
  <c r="D20" i="13"/>
  <c r="C20" i="13" s="1"/>
  <c r="C30" i="13"/>
  <c r="C16" i="13"/>
  <c r="D17" i="13"/>
  <c r="C17" i="13" s="1"/>
  <c r="D1245" i="13"/>
  <c r="D1243" i="13"/>
  <c r="C1243" i="13" s="1"/>
  <c r="C1236" i="13"/>
  <c r="C1242" i="13"/>
  <c r="D1241" i="13"/>
  <c r="C1241" i="13" s="1"/>
  <c r="C1240" i="13"/>
  <c r="D1239" i="13"/>
  <c r="C1239" i="13" s="1"/>
  <c r="D1238" i="13"/>
  <c r="C1238" i="13" s="1"/>
  <c r="C1237" i="13"/>
  <c r="D1235" i="13"/>
  <c r="C1235" i="13" s="1"/>
  <c r="D1234" i="13"/>
  <c r="C1234" i="13" s="1"/>
  <c r="D1233" i="13"/>
  <c r="C1232" i="13"/>
  <c r="D844" i="13"/>
  <c r="C844" i="13" s="1"/>
  <c r="D843" i="13"/>
  <c r="D841" i="13"/>
  <c r="C841" i="13" s="1"/>
  <c r="D839" i="13"/>
  <c r="C839" i="13" s="1"/>
  <c r="D838" i="13"/>
  <c r="C838" i="13" s="1"/>
  <c r="D837" i="13"/>
  <c r="C837" i="13" s="1"/>
  <c r="D836" i="13"/>
  <c r="C836" i="13" s="1"/>
  <c r="D835" i="13"/>
  <c r="C835" i="13" s="1"/>
  <c r="D834" i="13"/>
  <c r="C834" i="13" s="1"/>
  <c r="D833" i="13"/>
  <c r="C833" i="13" s="1"/>
  <c r="D832" i="13"/>
  <c r="D555" i="13"/>
  <c r="I425" i="13"/>
  <c r="G425" i="13"/>
  <c r="F425" i="13"/>
  <c r="E425" i="13"/>
  <c r="N425" i="13"/>
  <c r="U425" i="13" s="1"/>
  <c r="R425" i="13"/>
  <c r="P425" i="13"/>
  <c r="I424" i="13"/>
  <c r="G424" i="13"/>
  <c r="F424" i="13"/>
  <c r="E424" i="13"/>
  <c r="R424" i="13"/>
  <c r="P424" i="13"/>
  <c r="N424" i="13"/>
  <c r="U424" i="13" s="1"/>
  <c r="I423" i="13"/>
  <c r="G423" i="13"/>
  <c r="F423" i="13"/>
  <c r="E423" i="13"/>
  <c r="R423" i="13"/>
  <c r="P423" i="13"/>
  <c r="N423" i="13"/>
  <c r="U423" i="13" s="1"/>
  <c r="R422" i="13"/>
  <c r="P422" i="13"/>
  <c r="N422" i="13"/>
  <c r="U422" i="13" s="1"/>
  <c r="D422" i="13"/>
  <c r="I421" i="13"/>
  <c r="G421" i="13"/>
  <c r="E421" i="13"/>
  <c r="R421" i="13"/>
  <c r="P421" i="13"/>
  <c r="N421" i="13"/>
  <c r="U421" i="13" s="1"/>
  <c r="R420" i="13"/>
  <c r="P420" i="13"/>
  <c r="N420" i="13"/>
  <c r="U420" i="13" s="1"/>
  <c r="D420" i="13"/>
  <c r="E419" i="13"/>
  <c r="R419" i="13"/>
  <c r="P419" i="13"/>
  <c r="N419" i="13"/>
  <c r="D419" i="13"/>
  <c r="T416" i="13"/>
  <c r="S416" i="13"/>
  <c r="Q416" i="13"/>
  <c r="P416" i="13"/>
  <c r="O416" i="13"/>
  <c r="M416" i="13"/>
  <c r="L416" i="13"/>
  <c r="K416" i="13"/>
  <c r="J416" i="13"/>
  <c r="I416" i="13"/>
  <c r="H416" i="13"/>
  <c r="G416" i="13"/>
  <c r="F417" i="13"/>
  <c r="F416" i="13" s="1"/>
  <c r="E417" i="13"/>
  <c r="E416" i="13" s="1"/>
  <c r="R417" i="13"/>
  <c r="R416" i="13" s="1"/>
  <c r="N417" i="13"/>
  <c r="N416" i="13" s="1"/>
  <c r="T1226" i="13"/>
  <c r="S1226" i="13"/>
  <c r="Q1226" i="13"/>
  <c r="O1226" i="13"/>
  <c r="M1226" i="13"/>
  <c r="L1226" i="13"/>
  <c r="K1226" i="13"/>
  <c r="J1226" i="13"/>
  <c r="I1226" i="13"/>
  <c r="H1226" i="13"/>
  <c r="G1226" i="13"/>
  <c r="F1226" i="13"/>
  <c r="E1226" i="13"/>
  <c r="R1228" i="13"/>
  <c r="P1228" i="13"/>
  <c r="N1228" i="13"/>
  <c r="D1228" i="13"/>
  <c r="R1227" i="13"/>
  <c r="R1226" i="13" s="1"/>
  <c r="P1227" i="13"/>
  <c r="P1226" i="13" s="1"/>
  <c r="N1227" i="13"/>
  <c r="N1226" i="13" s="1"/>
  <c r="D1227" i="13"/>
  <c r="D1226" i="13" s="1"/>
  <c r="T1229" i="13"/>
  <c r="S1229" i="13"/>
  <c r="R1229" i="13"/>
  <c r="Q1229" i="13"/>
  <c r="O1229" i="13"/>
  <c r="M1229" i="13"/>
  <c r="L1229" i="13"/>
  <c r="K1229" i="13"/>
  <c r="J1229" i="13"/>
  <c r="I1229" i="13"/>
  <c r="H1229" i="13"/>
  <c r="G1229" i="13"/>
  <c r="F1229" i="13"/>
  <c r="E1229" i="13"/>
  <c r="N1230" i="13"/>
  <c r="N1229" i="13" s="1"/>
  <c r="P1230" i="13"/>
  <c r="P1229" i="13" s="1"/>
  <c r="D1230" i="13"/>
  <c r="D1229" i="13" s="1"/>
  <c r="T829" i="13"/>
  <c r="S829" i="13"/>
  <c r="Q829" i="13"/>
  <c r="P829" i="13"/>
  <c r="O829" i="13"/>
  <c r="M829" i="13"/>
  <c r="L829" i="13"/>
  <c r="K829" i="13"/>
  <c r="J829" i="13"/>
  <c r="I829" i="13"/>
  <c r="H829" i="13"/>
  <c r="G829" i="13"/>
  <c r="F829" i="13"/>
  <c r="E829" i="13"/>
  <c r="R830" i="13"/>
  <c r="N830" i="13"/>
  <c r="N829" i="13" s="1"/>
  <c r="D830" i="13"/>
  <c r="D829" i="13" s="1"/>
  <c r="T414" i="13"/>
  <c r="S414" i="13"/>
  <c r="Q414" i="13"/>
  <c r="P414" i="13"/>
  <c r="O414" i="13"/>
  <c r="M414" i="13"/>
  <c r="L414" i="13"/>
  <c r="K414" i="13"/>
  <c r="J414" i="13"/>
  <c r="I414" i="13"/>
  <c r="H414" i="13"/>
  <c r="G414" i="13"/>
  <c r="F415" i="13"/>
  <c r="F414" i="13" s="1"/>
  <c r="E415" i="13"/>
  <c r="R415" i="13"/>
  <c r="R414" i="13" s="1"/>
  <c r="N415" i="13"/>
  <c r="N414" i="13" s="1"/>
  <c r="T411" i="13"/>
  <c r="S411" i="13"/>
  <c r="Q411" i="13"/>
  <c r="O411" i="13"/>
  <c r="M411" i="13"/>
  <c r="L411" i="13"/>
  <c r="K411" i="13"/>
  <c r="J411" i="13"/>
  <c r="I411" i="13"/>
  <c r="H411" i="13"/>
  <c r="G411" i="13"/>
  <c r="F411" i="13"/>
  <c r="E413" i="13"/>
  <c r="D413" i="13" s="1"/>
  <c r="E412" i="13"/>
  <c r="D412" i="13" s="1"/>
  <c r="R413" i="13"/>
  <c r="P413" i="13"/>
  <c r="N413" i="13"/>
  <c r="U413" i="13" s="1"/>
  <c r="R412" i="13"/>
  <c r="P412" i="13"/>
  <c r="N412" i="13"/>
  <c r="U412" i="13" s="1"/>
  <c r="U429" i="13"/>
  <c r="U428" i="13"/>
  <c r="U427" i="13"/>
  <c r="U426" i="13"/>
  <c r="T408" i="13"/>
  <c r="S408" i="13"/>
  <c r="Q408" i="13"/>
  <c r="O408" i="13"/>
  <c r="M408" i="13"/>
  <c r="L408" i="13"/>
  <c r="K408" i="13"/>
  <c r="J408" i="13"/>
  <c r="I408" i="13"/>
  <c r="H408" i="13"/>
  <c r="F408" i="13"/>
  <c r="R410" i="13"/>
  <c r="P410" i="13"/>
  <c r="N410" i="13"/>
  <c r="G410" i="13"/>
  <c r="E410" i="13"/>
  <c r="G409" i="13"/>
  <c r="E409" i="13"/>
  <c r="R409" i="13"/>
  <c r="P409" i="13"/>
  <c r="N409" i="13"/>
  <c r="T825" i="13"/>
  <c r="S825" i="13"/>
  <c r="Q825" i="13"/>
  <c r="P825" i="13"/>
  <c r="O825" i="13"/>
  <c r="M825" i="13"/>
  <c r="L825" i="13"/>
  <c r="K825" i="13"/>
  <c r="J825" i="13"/>
  <c r="I825" i="13"/>
  <c r="H825" i="13"/>
  <c r="G825" i="13"/>
  <c r="F825" i="13"/>
  <c r="R828" i="13"/>
  <c r="N828" i="13"/>
  <c r="D828" i="13"/>
  <c r="R827" i="13"/>
  <c r="N827" i="13"/>
  <c r="D827" i="13"/>
  <c r="E826" i="13"/>
  <c r="D826" i="13" s="1"/>
  <c r="R826" i="13"/>
  <c r="N826" i="13"/>
  <c r="T821" i="13"/>
  <c r="S821" i="13"/>
  <c r="Q821" i="13"/>
  <c r="P821" i="13"/>
  <c r="O821" i="13"/>
  <c r="M821" i="13"/>
  <c r="L821" i="13"/>
  <c r="K821" i="13"/>
  <c r="J821" i="13"/>
  <c r="H821" i="13"/>
  <c r="G824" i="13"/>
  <c r="F824" i="13"/>
  <c r="E824" i="13"/>
  <c r="I823" i="13"/>
  <c r="I821" i="13" s="1"/>
  <c r="G823" i="13"/>
  <c r="F823" i="13"/>
  <c r="F821" i="13" s="1"/>
  <c r="E823" i="13"/>
  <c r="R824" i="13"/>
  <c r="N824" i="13"/>
  <c r="R823" i="13"/>
  <c r="N823" i="13"/>
  <c r="G822" i="13"/>
  <c r="E822" i="13"/>
  <c r="R822" i="13"/>
  <c r="N822" i="13"/>
  <c r="T1223" i="13"/>
  <c r="S1223" i="13"/>
  <c r="Q1223" i="13"/>
  <c r="O1223" i="13"/>
  <c r="M1223" i="13"/>
  <c r="L1223" i="13"/>
  <c r="K1223" i="13"/>
  <c r="J1223" i="13"/>
  <c r="I1223" i="13"/>
  <c r="H1223" i="13"/>
  <c r="G1225" i="13"/>
  <c r="F1225" i="13"/>
  <c r="E1225" i="13"/>
  <c r="N1225" i="13"/>
  <c r="N1224" i="13"/>
  <c r="G1224" i="13"/>
  <c r="F1224" i="13"/>
  <c r="E1224" i="13"/>
  <c r="R1225" i="13"/>
  <c r="P1225" i="13"/>
  <c r="R1224" i="13"/>
  <c r="P1224" i="13"/>
  <c r="T1220" i="13"/>
  <c r="S1220" i="13"/>
  <c r="Q1220" i="13"/>
  <c r="O1220" i="13"/>
  <c r="M1220" i="13"/>
  <c r="L1220" i="13"/>
  <c r="K1220" i="13"/>
  <c r="J1220" i="13"/>
  <c r="H1220" i="13"/>
  <c r="F1220" i="13"/>
  <c r="I1222" i="13"/>
  <c r="I1220" i="13" s="1"/>
  <c r="G1222" i="13"/>
  <c r="G1220" i="13" s="1"/>
  <c r="E1222" i="13"/>
  <c r="E1220" i="13" s="1"/>
  <c r="R1222" i="13"/>
  <c r="P1222" i="13"/>
  <c r="N1222" i="13"/>
  <c r="R1221" i="13"/>
  <c r="P1221" i="13"/>
  <c r="N1221" i="13"/>
  <c r="D1221" i="13"/>
  <c r="T818" i="13"/>
  <c r="S818" i="13"/>
  <c r="Q818" i="13"/>
  <c r="P818" i="13"/>
  <c r="O818" i="13"/>
  <c r="M818" i="13"/>
  <c r="L818" i="13"/>
  <c r="K818" i="13"/>
  <c r="J818" i="13"/>
  <c r="I818" i="13"/>
  <c r="H818" i="13"/>
  <c r="G818" i="13"/>
  <c r="F818" i="13"/>
  <c r="E820" i="13"/>
  <c r="D820" i="13" s="1"/>
  <c r="N820" i="13"/>
  <c r="N819" i="13"/>
  <c r="E819" i="13"/>
  <c r="D819" i="13" s="1"/>
  <c r="R820" i="13"/>
  <c r="R819" i="13"/>
  <c r="T664" i="13"/>
  <c r="S664" i="13"/>
  <c r="Q664" i="13"/>
  <c r="P664" i="13"/>
  <c r="O664" i="13"/>
  <c r="M664" i="13"/>
  <c r="L664" i="13"/>
  <c r="K664" i="13"/>
  <c r="J664" i="13"/>
  <c r="I664" i="13"/>
  <c r="H664" i="13"/>
  <c r="G664" i="13"/>
  <c r="F664" i="13"/>
  <c r="T406" i="13"/>
  <c r="S406" i="13"/>
  <c r="Q406" i="13"/>
  <c r="P406" i="13"/>
  <c r="O406" i="13"/>
  <c r="M406" i="13"/>
  <c r="L406" i="13"/>
  <c r="K406" i="13"/>
  <c r="J406" i="13"/>
  <c r="I406" i="13"/>
  <c r="H406" i="13"/>
  <c r="G406" i="13"/>
  <c r="F406" i="13"/>
  <c r="E407" i="13"/>
  <c r="E406" i="13" s="1"/>
  <c r="R407" i="13"/>
  <c r="R406" i="13" s="1"/>
  <c r="N407" i="13"/>
  <c r="N406" i="13" s="1"/>
  <c r="T404" i="13"/>
  <c r="S404" i="13"/>
  <c r="Q404" i="13"/>
  <c r="P404" i="13"/>
  <c r="O404" i="13"/>
  <c r="M404" i="13"/>
  <c r="L404" i="13"/>
  <c r="K404" i="13"/>
  <c r="J404" i="13"/>
  <c r="I404" i="13"/>
  <c r="H404" i="13"/>
  <c r="G404" i="13"/>
  <c r="F404" i="13"/>
  <c r="E405" i="13"/>
  <c r="E404" i="13" s="1"/>
  <c r="R405" i="13"/>
  <c r="R404" i="13" s="1"/>
  <c r="N405" i="13"/>
  <c r="N404" i="13" s="1"/>
  <c r="F810" i="13"/>
  <c r="F811" i="13"/>
  <c r="T394" i="13"/>
  <c r="S394" i="13"/>
  <c r="Q394" i="13"/>
  <c r="P394" i="13"/>
  <c r="O394" i="13"/>
  <c r="M394" i="13"/>
  <c r="L394" i="13"/>
  <c r="K394" i="13"/>
  <c r="J394" i="13"/>
  <c r="I394" i="13"/>
  <c r="H394" i="13"/>
  <c r="G394" i="13"/>
  <c r="F403" i="13"/>
  <c r="E403" i="13"/>
  <c r="F402" i="13"/>
  <c r="E402" i="13"/>
  <c r="E401" i="13"/>
  <c r="D401" i="13" s="1"/>
  <c r="E400" i="13"/>
  <c r="D400" i="13" s="1"/>
  <c r="E399" i="13"/>
  <c r="D399" i="13" s="1"/>
  <c r="R403" i="13"/>
  <c r="N403" i="13"/>
  <c r="R402" i="13"/>
  <c r="N402" i="13"/>
  <c r="R401" i="13"/>
  <c r="N401" i="13"/>
  <c r="R400" i="13"/>
  <c r="N400" i="13"/>
  <c r="R399" i="13"/>
  <c r="N399" i="13"/>
  <c r="R398" i="13"/>
  <c r="N398" i="13"/>
  <c r="E398" i="13"/>
  <c r="D398" i="13" s="1"/>
  <c r="E397" i="13"/>
  <c r="D397" i="13" s="1"/>
  <c r="E396" i="13"/>
  <c r="D396" i="13" s="1"/>
  <c r="E395" i="13"/>
  <c r="D395" i="13" s="1"/>
  <c r="R397" i="13"/>
  <c r="R396" i="13"/>
  <c r="R395" i="13"/>
  <c r="N397" i="13"/>
  <c r="N395" i="13"/>
  <c r="T1218" i="13"/>
  <c r="S1218" i="13"/>
  <c r="Q1218" i="13"/>
  <c r="O1218" i="13"/>
  <c r="M1218" i="13"/>
  <c r="L1218" i="13"/>
  <c r="K1218" i="13"/>
  <c r="J1218" i="13"/>
  <c r="I1218" i="13"/>
  <c r="H1218" i="13"/>
  <c r="G1218" i="13"/>
  <c r="F1218" i="13"/>
  <c r="E1219" i="13"/>
  <c r="E1218" i="13" s="1"/>
  <c r="R1219" i="13"/>
  <c r="R1218" i="13" s="1"/>
  <c r="P1219" i="13"/>
  <c r="P1218" i="13" s="1"/>
  <c r="N1219" i="13"/>
  <c r="N1218" i="13" s="1"/>
  <c r="P1223" i="13" l="1"/>
  <c r="E408" i="13"/>
  <c r="D417" i="13"/>
  <c r="D416" i="13" s="1"/>
  <c r="R821" i="13"/>
  <c r="G408" i="13"/>
  <c r="U417" i="13"/>
  <c r="R418" i="13"/>
  <c r="F418" i="13"/>
  <c r="N1223" i="13"/>
  <c r="R825" i="13"/>
  <c r="E825" i="13"/>
  <c r="R408" i="13"/>
  <c r="D1219" i="13"/>
  <c r="D1218" i="13" s="1"/>
  <c r="F1223" i="13"/>
  <c r="N408" i="13"/>
  <c r="R411" i="13"/>
  <c r="D415" i="13"/>
  <c r="D414" i="13" s="1"/>
  <c r="C830" i="13"/>
  <c r="C829" i="13" s="1"/>
  <c r="C412" i="13"/>
  <c r="D407" i="13"/>
  <c r="C407" i="13" s="1"/>
  <c r="C406" i="13" s="1"/>
  <c r="P1220" i="13"/>
  <c r="P411" i="13"/>
  <c r="R394" i="13"/>
  <c r="C396" i="13"/>
  <c r="R818" i="13"/>
  <c r="N818" i="13"/>
  <c r="N1220" i="13"/>
  <c r="G1223" i="13"/>
  <c r="G821" i="13"/>
  <c r="N825" i="13"/>
  <c r="P408" i="13"/>
  <c r="E411" i="13"/>
  <c r="F394" i="13"/>
  <c r="R1223" i="13"/>
  <c r="E821" i="13"/>
  <c r="N821" i="13"/>
  <c r="N394" i="13"/>
  <c r="D405" i="13"/>
  <c r="D404" i="13" s="1"/>
  <c r="D818" i="13"/>
  <c r="R1220" i="13"/>
  <c r="E1223" i="13"/>
  <c r="U419" i="13"/>
  <c r="N418" i="13"/>
  <c r="C843" i="13"/>
  <c r="C842" i="13" s="1"/>
  <c r="D842" i="13"/>
  <c r="C419" i="13"/>
  <c r="C832" i="13"/>
  <c r="C831" i="13" s="1"/>
  <c r="D831" i="13"/>
  <c r="C1233" i="13"/>
  <c r="C1231" i="13" s="1"/>
  <c r="D1231" i="13"/>
  <c r="C398" i="13"/>
  <c r="E394" i="13"/>
  <c r="E818" i="13"/>
  <c r="D1224" i="13"/>
  <c r="C1224" i="13" s="1"/>
  <c r="D411" i="13"/>
  <c r="E414" i="13"/>
  <c r="G418" i="13"/>
  <c r="C15" i="13"/>
  <c r="D15" i="13"/>
  <c r="C397" i="13"/>
  <c r="D1225" i="13"/>
  <c r="C1225" i="13" s="1"/>
  <c r="D822" i="13"/>
  <c r="C826" i="13"/>
  <c r="D825" i="13"/>
  <c r="E418" i="13"/>
  <c r="C1245" i="13"/>
  <c r="C1244" i="13" s="1"/>
  <c r="D1244" i="13"/>
  <c r="D421" i="13"/>
  <c r="C421" i="13" s="1"/>
  <c r="I418" i="13"/>
  <c r="N411" i="13"/>
  <c r="R829" i="13"/>
  <c r="C395" i="13"/>
  <c r="D1222" i="13"/>
  <c r="D1220" i="13" s="1"/>
  <c r="U415" i="13"/>
  <c r="P418" i="13"/>
  <c r="D425" i="13"/>
  <c r="C425" i="13" s="1"/>
  <c r="D424" i="13"/>
  <c r="C424" i="13" s="1"/>
  <c r="D423" i="13"/>
  <c r="C423" i="13" s="1"/>
  <c r="C422" i="13"/>
  <c r="C420" i="13"/>
  <c r="C1228" i="13"/>
  <c r="C1227" i="13"/>
  <c r="C1230" i="13"/>
  <c r="C1229" i="13" s="1"/>
  <c r="C415" i="13"/>
  <c r="C414" i="13" s="1"/>
  <c r="C413" i="13"/>
  <c r="D410" i="13"/>
  <c r="C410" i="13" s="1"/>
  <c r="D409" i="13"/>
  <c r="C828" i="13"/>
  <c r="C827" i="13"/>
  <c r="D824" i="13"/>
  <c r="C824" i="13" s="1"/>
  <c r="D823" i="13"/>
  <c r="C823" i="13" s="1"/>
  <c r="C1221" i="13"/>
  <c r="C820" i="13"/>
  <c r="C819" i="13"/>
  <c r="D403" i="13"/>
  <c r="C403" i="13" s="1"/>
  <c r="D402" i="13"/>
  <c r="C402" i="13" s="1"/>
  <c r="C401" i="13"/>
  <c r="C400" i="13"/>
  <c r="C399" i="13"/>
  <c r="T1208" i="13"/>
  <c r="S1208" i="13"/>
  <c r="Q1208" i="13"/>
  <c r="O1208" i="13"/>
  <c r="M1208" i="13"/>
  <c r="L1208" i="13"/>
  <c r="K1208" i="13"/>
  <c r="J1208" i="13"/>
  <c r="I1208" i="13"/>
  <c r="H1208" i="13"/>
  <c r="G1208" i="13"/>
  <c r="F1208" i="13"/>
  <c r="E1217" i="13"/>
  <c r="D1217" i="13" s="1"/>
  <c r="E1216" i="13"/>
  <c r="D1216" i="13" s="1"/>
  <c r="R1217" i="13"/>
  <c r="P1217" i="13"/>
  <c r="N1217" i="13"/>
  <c r="U1217" i="13" s="1"/>
  <c r="R1216" i="13"/>
  <c r="P1216" i="13"/>
  <c r="N1216" i="13"/>
  <c r="U1216" i="13" s="1"/>
  <c r="E1215" i="13"/>
  <c r="R1215" i="13"/>
  <c r="P1215" i="13"/>
  <c r="N1215" i="13"/>
  <c r="U1215" i="13" s="1"/>
  <c r="D1215" i="13"/>
  <c r="E1214" i="13"/>
  <c r="D1214" i="13" s="1"/>
  <c r="E1213" i="13"/>
  <c r="D1213" i="13" s="1"/>
  <c r="E1212" i="13"/>
  <c r="D1212" i="13" s="1"/>
  <c r="E1211" i="13"/>
  <c r="D1211" i="13" s="1"/>
  <c r="E1210" i="13"/>
  <c r="D1210" i="13" s="1"/>
  <c r="E1209" i="13"/>
  <c r="D1209" i="13" s="1"/>
  <c r="R1214" i="13"/>
  <c r="P1214" i="13"/>
  <c r="N1214" i="13"/>
  <c r="R1213" i="13"/>
  <c r="P1213" i="13"/>
  <c r="N1213" i="13"/>
  <c r="U1213" i="13" s="1"/>
  <c r="R1212" i="13"/>
  <c r="P1212" i="13"/>
  <c r="N1212" i="13"/>
  <c r="U1212" i="13" s="1"/>
  <c r="R1211" i="13"/>
  <c r="P1211" i="13"/>
  <c r="N1211" i="13"/>
  <c r="U1211" i="13" s="1"/>
  <c r="R1210" i="13"/>
  <c r="P1210" i="13"/>
  <c r="N1210" i="13"/>
  <c r="U1210" i="13" s="1"/>
  <c r="R1209" i="13"/>
  <c r="P1209" i="13"/>
  <c r="N1209" i="13"/>
  <c r="U1209" i="13" s="1"/>
  <c r="T816" i="13"/>
  <c r="S816" i="13"/>
  <c r="Q816" i="13"/>
  <c r="P816" i="13"/>
  <c r="O816" i="13"/>
  <c r="M816" i="13"/>
  <c r="L816" i="13"/>
  <c r="K816" i="13"/>
  <c r="J816" i="13"/>
  <c r="I816" i="13"/>
  <c r="H816" i="13"/>
  <c r="G816" i="13"/>
  <c r="F816" i="13"/>
  <c r="E817" i="13"/>
  <c r="D817" i="13" s="1"/>
  <c r="D816" i="13" s="1"/>
  <c r="R817" i="13"/>
  <c r="R816" i="13" s="1"/>
  <c r="N817" i="13"/>
  <c r="N816" i="13" s="1"/>
  <c r="T814" i="13"/>
  <c r="S814" i="13"/>
  <c r="Q814" i="13"/>
  <c r="P814" i="13"/>
  <c r="O814" i="13"/>
  <c r="M814" i="13"/>
  <c r="L814" i="13"/>
  <c r="K814" i="13"/>
  <c r="J814" i="13"/>
  <c r="I814" i="13"/>
  <c r="H814" i="13"/>
  <c r="G814" i="13"/>
  <c r="F814" i="13"/>
  <c r="E814" i="13"/>
  <c r="R815" i="13"/>
  <c r="R814" i="13" s="1"/>
  <c r="N815" i="13"/>
  <c r="N814" i="13" s="1"/>
  <c r="D815" i="13"/>
  <c r="D814" i="13" s="1"/>
  <c r="U830" i="13"/>
  <c r="U828" i="13"/>
  <c r="U827" i="13"/>
  <c r="U826" i="13"/>
  <c r="U824" i="13"/>
  <c r="U823" i="13"/>
  <c r="U822" i="13"/>
  <c r="U820" i="13"/>
  <c r="U819" i="13"/>
  <c r="T804" i="13"/>
  <c r="S804" i="13"/>
  <c r="Q804" i="13"/>
  <c r="P804" i="13"/>
  <c r="O804" i="13"/>
  <c r="M804" i="13"/>
  <c r="L804" i="13"/>
  <c r="K804" i="13"/>
  <c r="J804" i="13"/>
  <c r="I804" i="13"/>
  <c r="H804" i="13"/>
  <c r="G804" i="13"/>
  <c r="F804" i="13"/>
  <c r="E813" i="13"/>
  <c r="D813" i="13" s="1"/>
  <c r="R813" i="13"/>
  <c r="N813" i="13"/>
  <c r="U813" i="13" s="1"/>
  <c r="E812" i="13"/>
  <c r="E811" i="13"/>
  <c r="D811" i="13" s="1"/>
  <c r="R812" i="13"/>
  <c r="N812" i="13"/>
  <c r="U812" i="13" s="1"/>
  <c r="D812" i="13"/>
  <c r="R811" i="13"/>
  <c r="N811" i="13"/>
  <c r="U811" i="13" s="1"/>
  <c r="E810" i="13"/>
  <c r="E809" i="13"/>
  <c r="D809" i="13" s="1"/>
  <c r="R810" i="13"/>
  <c r="N810" i="13"/>
  <c r="U810" i="13" s="1"/>
  <c r="D810" i="13"/>
  <c r="R809" i="13"/>
  <c r="N809" i="13"/>
  <c r="E808" i="13"/>
  <c r="D808" i="13" s="1"/>
  <c r="R808" i="13"/>
  <c r="N808" i="13"/>
  <c r="U808" i="13" s="1"/>
  <c r="E807" i="13"/>
  <c r="D807" i="13" s="1"/>
  <c r="R807" i="13"/>
  <c r="N807" i="13"/>
  <c r="U807" i="13" s="1"/>
  <c r="R806" i="13"/>
  <c r="R805" i="13"/>
  <c r="N806" i="13"/>
  <c r="U806" i="13" s="1"/>
  <c r="E806" i="13"/>
  <c r="D806" i="13" s="1"/>
  <c r="N805" i="13"/>
  <c r="U805" i="13" s="1"/>
  <c r="E805" i="13"/>
  <c r="T1201" i="13"/>
  <c r="S1201" i="13"/>
  <c r="Q1201" i="13"/>
  <c r="O1201" i="13"/>
  <c r="M1201" i="13"/>
  <c r="L1201" i="13"/>
  <c r="K1201" i="13"/>
  <c r="J1201" i="13"/>
  <c r="I1207" i="13"/>
  <c r="H1207" i="13"/>
  <c r="G1207" i="13"/>
  <c r="F1207" i="13"/>
  <c r="E1207" i="13"/>
  <c r="I1206" i="13"/>
  <c r="H1206" i="13"/>
  <c r="G1206" i="13"/>
  <c r="F1206" i="13"/>
  <c r="E1206" i="13"/>
  <c r="I1205" i="13"/>
  <c r="H1205" i="13"/>
  <c r="G1205" i="13"/>
  <c r="F1205" i="13"/>
  <c r="E1205" i="13"/>
  <c r="I1203" i="13"/>
  <c r="H1203" i="13"/>
  <c r="G1203" i="13"/>
  <c r="F1203" i="13"/>
  <c r="E1203" i="13"/>
  <c r="I1202" i="13"/>
  <c r="H1202" i="13"/>
  <c r="G1202" i="13"/>
  <c r="F1202" i="13"/>
  <c r="E1202" i="13"/>
  <c r="R1207" i="13"/>
  <c r="P1207" i="13"/>
  <c r="N1207" i="13"/>
  <c r="U1207" i="13" s="1"/>
  <c r="R1206" i="13"/>
  <c r="P1206" i="13"/>
  <c r="N1206" i="13"/>
  <c r="U1206" i="13" s="1"/>
  <c r="R1205" i="13"/>
  <c r="P1205" i="13"/>
  <c r="N1205" i="13"/>
  <c r="U1205" i="13" s="1"/>
  <c r="R1204" i="13"/>
  <c r="P1204" i="13"/>
  <c r="N1204" i="13"/>
  <c r="U1204" i="13" s="1"/>
  <c r="D1204" i="13"/>
  <c r="R1203" i="13"/>
  <c r="P1203" i="13"/>
  <c r="N1203" i="13"/>
  <c r="U1203" i="13" s="1"/>
  <c r="R1202" i="13"/>
  <c r="P1202" i="13"/>
  <c r="N1202" i="13"/>
  <c r="U1202" i="13" s="1"/>
  <c r="U1245" i="13"/>
  <c r="U1243" i="13"/>
  <c r="U1242" i="13"/>
  <c r="U1241" i="13"/>
  <c r="U1240" i="13"/>
  <c r="U1239" i="13"/>
  <c r="U1238" i="13"/>
  <c r="U1237" i="13"/>
  <c r="U1236" i="13"/>
  <c r="U1235" i="13"/>
  <c r="U1234" i="13"/>
  <c r="U1233" i="13"/>
  <c r="U1232" i="13"/>
  <c r="U1230" i="13"/>
  <c r="U1228" i="13"/>
  <c r="U1227" i="13"/>
  <c r="U1225" i="13"/>
  <c r="U1224" i="13"/>
  <c r="U1222" i="13"/>
  <c r="U1221" i="13"/>
  <c r="U1219" i="13"/>
  <c r="U1214" i="13"/>
  <c r="I1196" i="13"/>
  <c r="H1196" i="13"/>
  <c r="G1196" i="13"/>
  <c r="F1196" i="13"/>
  <c r="E1196" i="13"/>
  <c r="I1195" i="13"/>
  <c r="H1195" i="13"/>
  <c r="G1195" i="13"/>
  <c r="F1195" i="13"/>
  <c r="E1195" i="13"/>
  <c r="I1194" i="13"/>
  <c r="H1194" i="13"/>
  <c r="G1194" i="13"/>
  <c r="F1194" i="13"/>
  <c r="E1194" i="13"/>
  <c r="I1193" i="13"/>
  <c r="H1193" i="13"/>
  <c r="G1193" i="13"/>
  <c r="F1193" i="13"/>
  <c r="E1193" i="13"/>
  <c r="I1192" i="13"/>
  <c r="H1192" i="13"/>
  <c r="G1192" i="13"/>
  <c r="F1192" i="13"/>
  <c r="E1192" i="13"/>
  <c r="T1191" i="13"/>
  <c r="S1191" i="13"/>
  <c r="Q1191" i="13"/>
  <c r="O1191" i="13"/>
  <c r="M1191" i="13"/>
  <c r="L1191" i="13"/>
  <c r="K1191" i="13"/>
  <c r="J1191" i="13"/>
  <c r="N1194" i="13"/>
  <c r="U1194" i="13" s="1"/>
  <c r="N1193" i="13"/>
  <c r="U1193" i="13" s="1"/>
  <c r="N1192" i="13"/>
  <c r="U1192" i="13" s="1"/>
  <c r="R1196" i="13"/>
  <c r="P1196" i="13"/>
  <c r="N1196" i="13"/>
  <c r="U1196" i="13" s="1"/>
  <c r="R1195" i="13"/>
  <c r="P1195" i="13"/>
  <c r="N1195" i="13"/>
  <c r="U1195" i="13" s="1"/>
  <c r="R1194" i="13"/>
  <c r="P1194" i="13"/>
  <c r="R1193" i="13"/>
  <c r="P1193" i="13"/>
  <c r="R1192" i="13"/>
  <c r="P1192" i="13"/>
  <c r="T1188" i="13"/>
  <c r="S1188" i="13"/>
  <c r="Q1188" i="13"/>
  <c r="O1188" i="13"/>
  <c r="M1188" i="13"/>
  <c r="L1188" i="13"/>
  <c r="K1188" i="13"/>
  <c r="J1188" i="13"/>
  <c r="I1188" i="13"/>
  <c r="H1188" i="13"/>
  <c r="G1188" i="13"/>
  <c r="F1188" i="13"/>
  <c r="E1188" i="13"/>
  <c r="N1190" i="13"/>
  <c r="D1190" i="13"/>
  <c r="R1190" i="13"/>
  <c r="P1190" i="13"/>
  <c r="R1189" i="13"/>
  <c r="P1189" i="13"/>
  <c r="N1189" i="13"/>
  <c r="D1189" i="13"/>
  <c r="T1185" i="13"/>
  <c r="S1185" i="13"/>
  <c r="Q1185" i="13"/>
  <c r="P1185" i="13"/>
  <c r="O1185" i="13"/>
  <c r="M1185" i="13"/>
  <c r="L1185" i="13"/>
  <c r="K1185" i="13"/>
  <c r="J1185" i="13"/>
  <c r="I1185" i="13"/>
  <c r="H1185" i="13"/>
  <c r="G1185" i="13"/>
  <c r="F1185" i="13"/>
  <c r="E1185" i="13"/>
  <c r="R1187" i="13"/>
  <c r="N1187" i="13"/>
  <c r="D1187" i="13"/>
  <c r="R1186" i="13"/>
  <c r="N1186" i="13"/>
  <c r="D1186" i="13"/>
  <c r="T1178" i="13"/>
  <c r="S1178" i="13"/>
  <c r="Q1178" i="13"/>
  <c r="O1178" i="13"/>
  <c r="M1178" i="13"/>
  <c r="L1178" i="13"/>
  <c r="K1178" i="13"/>
  <c r="J1178" i="13"/>
  <c r="R1184" i="13"/>
  <c r="P1184" i="13"/>
  <c r="N1184" i="13"/>
  <c r="I1184" i="13"/>
  <c r="H1184" i="13"/>
  <c r="G1184" i="13"/>
  <c r="F1184" i="13"/>
  <c r="E1184" i="13"/>
  <c r="R1183" i="13"/>
  <c r="P1183" i="13"/>
  <c r="N1183" i="13"/>
  <c r="I1183" i="13"/>
  <c r="H1183" i="13"/>
  <c r="G1183" i="13"/>
  <c r="F1183" i="13"/>
  <c r="E1183" i="13"/>
  <c r="I1182" i="13"/>
  <c r="H1182" i="13"/>
  <c r="G1182" i="13"/>
  <c r="F1182" i="13"/>
  <c r="E1182" i="13"/>
  <c r="I1181" i="13"/>
  <c r="H1181" i="13"/>
  <c r="G1181" i="13"/>
  <c r="F1181" i="13"/>
  <c r="E1181" i="13"/>
  <c r="R1182" i="13"/>
  <c r="P1182" i="13"/>
  <c r="N1182" i="13"/>
  <c r="R1181" i="13"/>
  <c r="P1181" i="13"/>
  <c r="N1181" i="13"/>
  <c r="I1180" i="13"/>
  <c r="H1180" i="13"/>
  <c r="G1180" i="13"/>
  <c r="F1180" i="13"/>
  <c r="E1180" i="13"/>
  <c r="R1180" i="13"/>
  <c r="P1180" i="13"/>
  <c r="N1180" i="13"/>
  <c r="D406" i="13" l="1"/>
  <c r="N1188" i="13"/>
  <c r="U815" i="13"/>
  <c r="C417" i="13"/>
  <c r="C416" i="13" s="1"/>
  <c r="D1188" i="13"/>
  <c r="G1201" i="13"/>
  <c r="F1201" i="13"/>
  <c r="H1201" i="13"/>
  <c r="D1207" i="13"/>
  <c r="U817" i="13"/>
  <c r="C411" i="13"/>
  <c r="E816" i="13"/>
  <c r="D1181" i="13"/>
  <c r="C1181" i="13" s="1"/>
  <c r="R1185" i="13"/>
  <c r="C1219" i="13"/>
  <c r="C1218" i="13" s="1"/>
  <c r="C1187" i="13"/>
  <c r="N1185" i="13"/>
  <c r="C405" i="13"/>
  <c r="C404" i="13" s="1"/>
  <c r="C1223" i="13"/>
  <c r="N804" i="13"/>
  <c r="D1185" i="13"/>
  <c r="E804" i="13"/>
  <c r="E1208" i="13"/>
  <c r="D1183" i="13"/>
  <c r="C1186" i="13"/>
  <c r="P1188" i="13"/>
  <c r="E1201" i="13"/>
  <c r="I1201" i="13"/>
  <c r="R804" i="13"/>
  <c r="P1208" i="13"/>
  <c r="C1216" i="13"/>
  <c r="C818" i="13"/>
  <c r="C1207" i="13"/>
  <c r="N1201" i="13"/>
  <c r="R1208" i="13"/>
  <c r="D1180" i="13"/>
  <c r="C1180" i="13" s="1"/>
  <c r="R1188" i="13"/>
  <c r="R1191" i="13"/>
  <c r="P1191" i="13"/>
  <c r="N1191" i="13"/>
  <c r="R1201" i="13"/>
  <c r="C1204" i="13"/>
  <c r="P1201" i="13"/>
  <c r="N1208" i="13"/>
  <c r="D1208" i="13"/>
  <c r="D1184" i="13"/>
  <c r="C1184" i="13" s="1"/>
  <c r="C1190" i="13"/>
  <c r="U809" i="13"/>
  <c r="C1213" i="13"/>
  <c r="D418" i="13"/>
  <c r="D1202" i="13"/>
  <c r="D805" i="13"/>
  <c r="D804" i="13" s="1"/>
  <c r="C1217" i="13"/>
  <c r="C1222" i="13"/>
  <c r="C1226" i="13"/>
  <c r="D1223" i="13"/>
  <c r="D394" i="13"/>
  <c r="C409" i="13"/>
  <c r="C408" i="13" s="1"/>
  <c r="D408" i="13"/>
  <c r="C822" i="13"/>
  <c r="C821" i="13" s="1"/>
  <c r="D821" i="13"/>
  <c r="C1220" i="13"/>
  <c r="C394" i="13"/>
  <c r="C1214" i="13"/>
  <c r="C825" i="13"/>
  <c r="C418" i="13"/>
  <c r="C1215" i="13"/>
  <c r="C1211" i="13"/>
  <c r="C1212" i="13"/>
  <c r="C1209" i="13"/>
  <c r="C1210" i="13"/>
  <c r="C817" i="13"/>
  <c r="C816" i="13" s="1"/>
  <c r="C815" i="13"/>
  <c r="C814" i="13" s="1"/>
  <c r="C813" i="13"/>
  <c r="C812" i="13"/>
  <c r="C811" i="13"/>
  <c r="C809" i="13"/>
  <c r="C810" i="13"/>
  <c r="C808" i="13"/>
  <c r="C807" i="13"/>
  <c r="C806" i="13"/>
  <c r="D1206" i="13"/>
  <c r="C1206" i="13" s="1"/>
  <c r="D1205" i="13"/>
  <c r="C1205" i="13" s="1"/>
  <c r="D1203" i="13"/>
  <c r="C1203" i="13" s="1"/>
  <c r="D1196" i="13"/>
  <c r="C1196" i="13" s="1"/>
  <c r="D1195" i="13"/>
  <c r="C1195" i="13" s="1"/>
  <c r="I1191" i="13"/>
  <c r="D1194" i="13"/>
  <c r="C1194" i="13" s="1"/>
  <c r="H1191" i="13"/>
  <c r="G1191" i="13"/>
  <c r="F1191" i="13"/>
  <c r="D1193" i="13"/>
  <c r="C1193" i="13" s="1"/>
  <c r="E1191" i="13"/>
  <c r="D1192" i="13"/>
  <c r="C1189" i="13"/>
  <c r="C1183" i="13"/>
  <c r="D1182" i="13"/>
  <c r="C1182" i="13" s="1"/>
  <c r="I1179" i="13"/>
  <c r="I1178" i="13" s="1"/>
  <c r="H1179" i="13"/>
  <c r="H1178" i="13" s="1"/>
  <c r="G1179" i="13"/>
  <c r="G1178" i="13" s="1"/>
  <c r="F1179" i="13"/>
  <c r="F1178" i="13" s="1"/>
  <c r="E1179" i="13"/>
  <c r="E1178" i="13" s="1"/>
  <c r="R1179" i="13"/>
  <c r="R1178" i="13" s="1"/>
  <c r="P1179" i="13"/>
  <c r="P1178" i="13" s="1"/>
  <c r="N1179" i="13"/>
  <c r="N1178" i="13" s="1"/>
  <c r="T1172" i="13"/>
  <c r="S1172" i="13"/>
  <c r="Q1172" i="13"/>
  <c r="P1172" i="13"/>
  <c r="O1172" i="13"/>
  <c r="N1172" i="13"/>
  <c r="M1172" i="13"/>
  <c r="L1172" i="13"/>
  <c r="K1172" i="13"/>
  <c r="J1172" i="13"/>
  <c r="I1177" i="13"/>
  <c r="H1177" i="13"/>
  <c r="G1177" i="13"/>
  <c r="F1177" i="13"/>
  <c r="E1177" i="13"/>
  <c r="I1176" i="13"/>
  <c r="H1176" i="13"/>
  <c r="G1176" i="13"/>
  <c r="F1176" i="13"/>
  <c r="E1176" i="13"/>
  <c r="I1175" i="13"/>
  <c r="H1175" i="13"/>
  <c r="G1175" i="13"/>
  <c r="F1175" i="13"/>
  <c r="E1175" i="13"/>
  <c r="I1174" i="13"/>
  <c r="H1174" i="13"/>
  <c r="G1174" i="13"/>
  <c r="F1174" i="13"/>
  <c r="E1174" i="13"/>
  <c r="I1173" i="13"/>
  <c r="H1173" i="13"/>
  <c r="G1173" i="13"/>
  <c r="F1173" i="13"/>
  <c r="E1173" i="13"/>
  <c r="R1177" i="13"/>
  <c r="R1176" i="13"/>
  <c r="R1175" i="13"/>
  <c r="R1174" i="13"/>
  <c r="R1173" i="13"/>
  <c r="C1185" i="13" l="1"/>
  <c r="R1172" i="13"/>
  <c r="H1172" i="13"/>
  <c r="C1188" i="13"/>
  <c r="F1172" i="13"/>
  <c r="E1172" i="13"/>
  <c r="I1172" i="13"/>
  <c r="D1175" i="13"/>
  <c r="C1175" i="13" s="1"/>
  <c r="D1176" i="13"/>
  <c r="C1176" i="13" s="1"/>
  <c r="D1177" i="13"/>
  <c r="C1177" i="13" s="1"/>
  <c r="C1202" i="13"/>
  <c r="C1201" i="13" s="1"/>
  <c r="D1201" i="13"/>
  <c r="C805" i="13"/>
  <c r="C1208" i="13"/>
  <c r="G1172" i="13"/>
  <c r="D1179" i="13"/>
  <c r="D1178" i="13" s="1"/>
  <c r="C804" i="13"/>
  <c r="D1191" i="13"/>
  <c r="C1192" i="13"/>
  <c r="C1191" i="13" s="1"/>
  <c r="C1179" i="13"/>
  <c r="C1178" i="13" s="1"/>
  <c r="D1174" i="13"/>
  <c r="C1174" i="13" s="1"/>
  <c r="D1173" i="13"/>
  <c r="C1173" i="13" s="1"/>
  <c r="T796" i="13"/>
  <c r="S796" i="13"/>
  <c r="Q796" i="13"/>
  <c r="P796" i="13"/>
  <c r="O796" i="13"/>
  <c r="M796" i="13"/>
  <c r="L796" i="13"/>
  <c r="K796" i="13"/>
  <c r="J796" i="13"/>
  <c r="I803" i="13"/>
  <c r="H803" i="13"/>
  <c r="G803" i="13"/>
  <c r="F803" i="13"/>
  <c r="E803" i="13"/>
  <c r="I802" i="13"/>
  <c r="H802" i="13"/>
  <c r="G802" i="13"/>
  <c r="F802" i="13"/>
  <c r="E802" i="13"/>
  <c r="I801" i="13"/>
  <c r="H801" i="13"/>
  <c r="G801" i="13"/>
  <c r="F801" i="13"/>
  <c r="E801" i="13"/>
  <c r="I800" i="13"/>
  <c r="H800" i="13"/>
  <c r="G800" i="13"/>
  <c r="F800" i="13"/>
  <c r="E800" i="13"/>
  <c r="I799" i="13"/>
  <c r="H799" i="13"/>
  <c r="G799" i="13"/>
  <c r="F799" i="13"/>
  <c r="E799" i="13"/>
  <c r="I798" i="13"/>
  <c r="H798" i="13"/>
  <c r="G798" i="13"/>
  <c r="F798" i="13"/>
  <c r="E798" i="13"/>
  <c r="I797" i="13"/>
  <c r="H797" i="13"/>
  <c r="G797" i="13"/>
  <c r="F797" i="13"/>
  <c r="E797" i="13"/>
  <c r="N798" i="13"/>
  <c r="R798" i="13"/>
  <c r="N799" i="13"/>
  <c r="R799" i="13"/>
  <c r="N800" i="13"/>
  <c r="R800" i="13"/>
  <c r="N801" i="13"/>
  <c r="R801" i="13"/>
  <c r="N802" i="13"/>
  <c r="R802" i="13"/>
  <c r="N803" i="13"/>
  <c r="R803" i="13"/>
  <c r="R797" i="13"/>
  <c r="N797" i="13"/>
  <c r="T791" i="13"/>
  <c r="S791" i="13"/>
  <c r="Q791" i="13"/>
  <c r="P791" i="13"/>
  <c r="O791" i="13"/>
  <c r="M791" i="13"/>
  <c r="L791" i="13"/>
  <c r="K791" i="13"/>
  <c r="J791" i="13"/>
  <c r="I791" i="13"/>
  <c r="H791" i="13"/>
  <c r="G791" i="13"/>
  <c r="F791" i="13"/>
  <c r="E791" i="13"/>
  <c r="R795" i="13"/>
  <c r="N795" i="13"/>
  <c r="D795" i="13"/>
  <c r="R794" i="13"/>
  <c r="N794" i="13"/>
  <c r="D794" i="13"/>
  <c r="R793" i="13"/>
  <c r="N793" i="13"/>
  <c r="D793" i="13"/>
  <c r="R792" i="13"/>
  <c r="N792" i="13"/>
  <c r="D792" i="13"/>
  <c r="T789" i="13"/>
  <c r="S789" i="13"/>
  <c r="Q789" i="13"/>
  <c r="P789" i="13"/>
  <c r="O789" i="13"/>
  <c r="M789" i="13"/>
  <c r="L789" i="13"/>
  <c r="K789" i="13"/>
  <c r="J789" i="13"/>
  <c r="I790" i="13"/>
  <c r="I789" i="13" s="1"/>
  <c r="H790" i="13"/>
  <c r="H789" i="13" s="1"/>
  <c r="G790" i="13"/>
  <c r="G789" i="13" s="1"/>
  <c r="F790" i="13"/>
  <c r="F789" i="13" s="1"/>
  <c r="E790" i="13"/>
  <c r="E789" i="13" s="1"/>
  <c r="R790" i="13"/>
  <c r="R789" i="13" s="1"/>
  <c r="N790" i="13"/>
  <c r="N789" i="13" s="1"/>
  <c r="T785" i="13"/>
  <c r="S785" i="13"/>
  <c r="Q785" i="13"/>
  <c r="P785" i="13"/>
  <c r="O785" i="13"/>
  <c r="M785" i="13"/>
  <c r="L785" i="13"/>
  <c r="K785" i="13"/>
  <c r="J785" i="13"/>
  <c r="I785" i="13"/>
  <c r="H785" i="13"/>
  <c r="G785" i="13"/>
  <c r="F785" i="13"/>
  <c r="E785" i="13"/>
  <c r="R788" i="13"/>
  <c r="N788" i="13"/>
  <c r="D788" i="13"/>
  <c r="R787" i="13"/>
  <c r="N787" i="13"/>
  <c r="D787" i="13"/>
  <c r="R786" i="13"/>
  <c r="N786" i="13"/>
  <c r="D786" i="13"/>
  <c r="T782" i="13"/>
  <c r="S782" i="13"/>
  <c r="Q782" i="13"/>
  <c r="P782" i="13"/>
  <c r="O782" i="13"/>
  <c r="M782" i="13"/>
  <c r="L782" i="13"/>
  <c r="K782" i="13"/>
  <c r="J782" i="13"/>
  <c r="I782" i="13"/>
  <c r="H782" i="13"/>
  <c r="G782" i="13"/>
  <c r="F782" i="13"/>
  <c r="E782" i="13"/>
  <c r="R784" i="13"/>
  <c r="N784" i="13"/>
  <c r="D784" i="13"/>
  <c r="R783" i="13"/>
  <c r="N783" i="13"/>
  <c r="D783" i="13"/>
  <c r="T777" i="13"/>
  <c r="S777" i="13"/>
  <c r="Q777" i="13"/>
  <c r="O777" i="13"/>
  <c r="M777" i="13"/>
  <c r="L777" i="13"/>
  <c r="K777" i="13"/>
  <c r="J777" i="13"/>
  <c r="R781" i="13"/>
  <c r="N781" i="13"/>
  <c r="I781" i="13"/>
  <c r="H781" i="13"/>
  <c r="G781" i="13"/>
  <c r="F781" i="13"/>
  <c r="E781" i="13"/>
  <c r="I780" i="13"/>
  <c r="H780" i="13"/>
  <c r="G780" i="13"/>
  <c r="F780" i="13"/>
  <c r="E780" i="13"/>
  <c r="R780" i="13"/>
  <c r="N780" i="13"/>
  <c r="I779" i="13"/>
  <c r="H779" i="13"/>
  <c r="G779" i="13"/>
  <c r="F779" i="13"/>
  <c r="E779" i="13"/>
  <c r="R779" i="13"/>
  <c r="P779" i="13"/>
  <c r="N779" i="13"/>
  <c r="P778" i="13"/>
  <c r="I778" i="13"/>
  <c r="H778" i="13"/>
  <c r="G778" i="13"/>
  <c r="F778" i="13"/>
  <c r="E778" i="13"/>
  <c r="R778" i="13"/>
  <c r="N778" i="13"/>
  <c r="N777" i="13" s="1"/>
  <c r="T775" i="13"/>
  <c r="S775" i="13"/>
  <c r="Q775" i="13"/>
  <c r="P775" i="13"/>
  <c r="O775" i="13"/>
  <c r="M775" i="13"/>
  <c r="L775" i="13"/>
  <c r="K775" i="13"/>
  <c r="J775" i="13"/>
  <c r="I775" i="13"/>
  <c r="H775" i="13"/>
  <c r="G775" i="13"/>
  <c r="F775" i="13"/>
  <c r="E775" i="13"/>
  <c r="R776" i="13"/>
  <c r="R775" i="13" s="1"/>
  <c r="N776" i="13"/>
  <c r="N775" i="13" s="1"/>
  <c r="D776" i="13"/>
  <c r="D775" i="13" s="1"/>
  <c r="R782" i="13" l="1"/>
  <c r="N796" i="13"/>
  <c r="D799" i="13"/>
  <c r="C799" i="13" s="1"/>
  <c r="P777" i="13"/>
  <c r="N782" i="13"/>
  <c r="N785" i="13"/>
  <c r="H777" i="13"/>
  <c r="D785" i="13"/>
  <c r="D779" i="13"/>
  <c r="C779" i="13" s="1"/>
  <c r="I777" i="13"/>
  <c r="R777" i="13"/>
  <c r="N791" i="13"/>
  <c r="R791" i="13"/>
  <c r="C795" i="13"/>
  <c r="E796" i="13"/>
  <c r="I796" i="13"/>
  <c r="H796" i="13"/>
  <c r="D800" i="13"/>
  <c r="C800" i="13" s="1"/>
  <c r="C783" i="13"/>
  <c r="G777" i="13"/>
  <c r="F777" i="13"/>
  <c r="D781" i="13"/>
  <c r="C781" i="13" s="1"/>
  <c r="C784" i="13"/>
  <c r="R785" i="13"/>
  <c r="R796" i="13"/>
  <c r="G796" i="13"/>
  <c r="D798" i="13"/>
  <c r="C798" i="13" s="1"/>
  <c r="C776" i="13"/>
  <c r="C775" i="13" s="1"/>
  <c r="D778" i="13"/>
  <c r="D782" i="13"/>
  <c r="E777" i="13"/>
  <c r="D791" i="13"/>
  <c r="F796" i="13"/>
  <c r="D780" i="13"/>
  <c r="C1172" i="13"/>
  <c r="D1172" i="13"/>
  <c r="D803" i="13"/>
  <c r="D802" i="13"/>
  <c r="C802" i="13" s="1"/>
  <c r="D801" i="13"/>
  <c r="C801" i="13" s="1"/>
  <c r="D797" i="13"/>
  <c r="C803" i="13"/>
  <c r="C793" i="13"/>
  <c r="C794" i="13"/>
  <c r="C792" i="13"/>
  <c r="D790" i="13"/>
  <c r="C786" i="13"/>
  <c r="C787" i="13"/>
  <c r="C788" i="13"/>
  <c r="C780" i="13"/>
  <c r="T769" i="13"/>
  <c r="S769" i="13"/>
  <c r="Q769" i="13"/>
  <c r="P769" i="13"/>
  <c r="O769" i="13"/>
  <c r="M769" i="13"/>
  <c r="L769" i="13"/>
  <c r="K769" i="13"/>
  <c r="J769" i="13"/>
  <c r="I769" i="13"/>
  <c r="H769" i="13"/>
  <c r="G769" i="13"/>
  <c r="F769" i="13"/>
  <c r="E769" i="13"/>
  <c r="R774" i="13"/>
  <c r="R773" i="13"/>
  <c r="R772" i="13"/>
  <c r="R771" i="13"/>
  <c r="N774" i="13"/>
  <c r="N773" i="13"/>
  <c r="N772" i="13"/>
  <c r="N771" i="13"/>
  <c r="D774" i="13"/>
  <c r="C774" i="13" s="1"/>
  <c r="D773" i="13"/>
  <c r="C773" i="13" s="1"/>
  <c r="D772" i="13"/>
  <c r="C772" i="13" s="1"/>
  <c r="D771" i="13"/>
  <c r="C771" i="13" s="1"/>
  <c r="R770" i="13"/>
  <c r="N770" i="13"/>
  <c r="D770" i="13"/>
  <c r="T667" i="13"/>
  <c r="S667" i="13"/>
  <c r="Q667" i="13"/>
  <c r="O667" i="13"/>
  <c r="M667" i="13"/>
  <c r="L667" i="13"/>
  <c r="K667" i="13"/>
  <c r="J667" i="13"/>
  <c r="T389" i="13"/>
  <c r="S389" i="13"/>
  <c r="Q389" i="13"/>
  <c r="O389" i="13"/>
  <c r="M389" i="13"/>
  <c r="L389" i="13"/>
  <c r="K389" i="13"/>
  <c r="J389" i="13"/>
  <c r="I389" i="13"/>
  <c r="H389" i="13"/>
  <c r="G389" i="13"/>
  <c r="F389" i="13"/>
  <c r="E389" i="13"/>
  <c r="R393" i="13"/>
  <c r="P393" i="13"/>
  <c r="N393" i="13"/>
  <c r="D393" i="13"/>
  <c r="R392" i="13"/>
  <c r="P392" i="13"/>
  <c r="N392" i="13"/>
  <c r="D392" i="13"/>
  <c r="R391" i="13"/>
  <c r="P391" i="13"/>
  <c r="N391" i="13"/>
  <c r="D391" i="13"/>
  <c r="R390" i="13"/>
  <c r="R389" i="13" s="1"/>
  <c r="P390" i="13"/>
  <c r="P389" i="13" s="1"/>
  <c r="N390" i="13"/>
  <c r="N389" i="13" s="1"/>
  <c r="D390" i="13"/>
  <c r="D389" i="13" s="1"/>
  <c r="T381" i="13"/>
  <c r="S381" i="13"/>
  <c r="Q381" i="13"/>
  <c r="O381" i="13"/>
  <c r="M381" i="13"/>
  <c r="L381" i="13"/>
  <c r="K381" i="13"/>
  <c r="J381" i="13"/>
  <c r="P388" i="13"/>
  <c r="N388" i="13"/>
  <c r="D388" i="13"/>
  <c r="I387" i="13"/>
  <c r="H387" i="13"/>
  <c r="G387" i="13"/>
  <c r="F387" i="13"/>
  <c r="E387" i="13"/>
  <c r="I386" i="13"/>
  <c r="H386" i="13"/>
  <c r="G386" i="13"/>
  <c r="F386" i="13"/>
  <c r="E386" i="13"/>
  <c r="I385" i="13"/>
  <c r="H385" i="13"/>
  <c r="G385" i="13"/>
  <c r="F385" i="13"/>
  <c r="E385" i="13"/>
  <c r="I384" i="13"/>
  <c r="H384" i="13"/>
  <c r="G384" i="13"/>
  <c r="F384" i="13"/>
  <c r="E384" i="13"/>
  <c r="I383" i="13"/>
  <c r="H383" i="13"/>
  <c r="G383" i="13"/>
  <c r="F383" i="13"/>
  <c r="E383" i="13"/>
  <c r="I382" i="13"/>
  <c r="H382" i="13"/>
  <c r="G382" i="13"/>
  <c r="F382" i="13"/>
  <c r="E382" i="13"/>
  <c r="R387" i="13"/>
  <c r="P387" i="13"/>
  <c r="N387" i="13"/>
  <c r="R386" i="13"/>
  <c r="P386" i="13"/>
  <c r="N386" i="13"/>
  <c r="R385" i="13"/>
  <c r="P385" i="13"/>
  <c r="N385" i="13"/>
  <c r="R384" i="13"/>
  <c r="P384" i="13"/>
  <c r="N384" i="13"/>
  <c r="R383" i="13"/>
  <c r="P383" i="13"/>
  <c r="N383" i="13"/>
  <c r="R382" i="13"/>
  <c r="P382" i="13"/>
  <c r="N382" i="13"/>
  <c r="T376" i="13"/>
  <c r="S376" i="13"/>
  <c r="Q376" i="13"/>
  <c r="O376" i="13"/>
  <c r="M376" i="13"/>
  <c r="L376" i="13"/>
  <c r="K376" i="13"/>
  <c r="J376" i="13"/>
  <c r="I380" i="13"/>
  <c r="H380" i="13"/>
  <c r="G380" i="13"/>
  <c r="F380" i="13"/>
  <c r="E380" i="13"/>
  <c r="I379" i="13"/>
  <c r="H379" i="13"/>
  <c r="G379" i="13"/>
  <c r="F379" i="13"/>
  <c r="E379" i="13"/>
  <c r="I378" i="13"/>
  <c r="H378" i="13"/>
  <c r="G378" i="13"/>
  <c r="F378" i="13"/>
  <c r="E378" i="13"/>
  <c r="I377" i="13"/>
  <c r="H377" i="13"/>
  <c r="G377" i="13"/>
  <c r="F377" i="13"/>
  <c r="E377" i="13"/>
  <c r="R380" i="13"/>
  <c r="P380" i="13"/>
  <c r="N380" i="13"/>
  <c r="R379" i="13"/>
  <c r="P379" i="13"/>
  <c r="N379" i="13"/>
  <c r="R378" i="13"/>
  <c r="P378" i="13"/>
  <c r="N378" i="13"/>
  <c r="R377" i="13"/>
  <c r="P377" i="13"/>
  <c r="N377" i="13"/>
  <c r="T373" i="13"/>
  <c r="S373" i="13"/>
  <c r="Q373" i="13"/>
  <c r="O373" i="13"/>
  <c r="M373" i="13"/>
  <c r="L373" i="13"/>
  <c r="K373" i="13"/>
  <c r="J373" i="13"/>
  <c r="I373" i="13"/>
  <c r="H373" i="13"/>
  <c r="G373" i="13"/>
  <c r="F373" i="13"/>
  <c r="E373" i="13"/>
  <c r="D377" i="13" l="1"/>
  <c r="C377" i="13" s="1"/>
  <c r="F376" i="13"/>
  <c r="D380" i="13"/>
  <c r="C380" i="13" s="1"/>
  <c r="F381" i="13"/>
  <c r="G381" i="13"/>
  <c r="R769" i="13"/>
  <c r="N769" i="13"/>
  <c r="G376" i="13"/>
  <c r="E376" i="13"/>
  <c r="I376" i="13"/>
  <c r="E381" i="13"/>
  <c r="I381" i="13"/>
  <c r="D384" i="13"/>
  <c r="C384" i="13" s="1"/>
  <c r="D385" i="13"/>
  <c r="C385" i="13" s="1"/>
  <c r="C785" i="13"/>
  <c r="C782" i="13"/>
  <c r="P376" i="13"/>
  <c r="P381" i="13"/>
  <c r="R381" i="13"/>
  <c r="H381" i="13"/>
  <c r="D769" i="13"/>
  <c r="D796" i="13"/>
  <c r="N376" i="13"/>
  <c r="R376" i="13"/>
  <c r="N381" i="13"/>
  <c r="D777" i="13"/>
  <c r="C391" i="13"/>
  <c r="H376" i="13"/>
  <c r="C791" i="13"/>
  <c r="C790" i="13"/>
  <c r="C789" i="13" s="1"/>
  <c r="D789" i="13"/>
  <c r="C778" i="13"/>
  <c r="C777" i="13" s="1"/>
  <c r="C388" i="13"/>
  <c r="C797" i="13"/>
  <c r="C796" i="13" s="1"/>
  <c r="C770" i="13"/>
  <c r="C769" i="13" s="1"/>
  <c r="C392" i="13"/>
  <c r="C393" i="13"/>
  <c r="C390" i="13"/>
  <c r="D387" i="13"/>
  <c r="C387" i="13" s="1"/>
  <c r="D386" i="13"/>
  <c r="C386" i="13" s="1"/>
  <c r="D383" i="13"/>
  <c r="C383" i="13" s="1"/>
  <c r="D382" i="13"/>
  <c r="D379" i="13"/>
  <c r="C379" i="13" s="1"/>
  <c r="D378" i="13"/>
  <c r="C378" i="13" s="1"/>
  <c r="C382" i="13" l="1"/>
  <c r="C381" i="13" s="1"/>
  <c r="D381" i="13"/>
  <c r="C376" i="13"/>
  <c r="C389" i="13"/>
  <c r="D376" i="13"/>
  <c r="R375" i="13"/>
  <c r="P375" i="13"/>
  <c r="N375" i="13"/>
  <c r="U375" i="13" s="1"/>
  <c r="D375" i="13"/>
  <c r="R374" i="13"/>
  <c r="P374" i="13"/>
  <c r="P373" i="13" s="1"/>
  <c r="N374" i="13"/>
  <c r="D374" i="13"/>
  <c r="D373" i="13" s="1"/>
  <c r="T370" i="13"/>
  <c r="S370" i="13"/>
  <c r="Q370" i="13"/>
  <c r="O370" i="13"/>
  <c r="M370" i="13"/>
  <c r="L370" i="13"/>
  <c r="K370" i="13"/>
  <c r="J370" i="13"/>
  <c r="I370" i="13"/>
  <c r="H370" i="13"/>
  <c r="G370" i="13"/>
  <c r="F370" i="13"/>
  <c r="E370" i="13"/>
  <c r="R372" i="13"/>
  <c r="P372" i="13"/>
  <c r="N372" i="13"/>
  <c r="U372" i="13" s="1"/>
  <c r="D372" i="13"/>
  <c r="R371" i="13"/>
  <c r="R370" i="13" s="1"/>
  <c r="P371" i="13"/>
  <c r="P370" i="13" s="1"/>
  <c r="U371" i="13"/>
  <c r="D371" i="13"/>
  <c r="D370" i="13" s="1"/>
  <c r="T367" i="13"/>
  <c r="S367" i="13"/>
  <c r="Q367" i="13"/>
  <c r="O367" i="13"/>
  <c r="M367" i="13"/>
  <c r="L367" i="13"/>
  <c r="K367" i="13"/>
  <c r="J367" i="13"/>
  <c r="I369" i="13"/>
  <c r="H369" i="13"/>
  <c r="G369" i="13"/>
  <c r="F369" i="13"/>
  <c r="E369" i="13"/>
  <c r="I368" i="13"/>
  <c r="H368" i="13"/>
  <c r="G368" i="13"/>
  <c r="F368" i="13"/>
  <c r="E368" i="13"/>
  <c r="R369" i="13"/>
  <c r="P369" i="13"/>
  <c r="N369" i="13"/>
  <c r="U369" i="13" s="1"/>
  <c r="R368" i="13"/>
  <c r="P368" i="13"/>
  <c r="P367" i="13" s="1"/>
  <c r="N368" i="13"/>
  <c r="U368" i="13" s="1"/>
  <c r="T363" i="13"/>
  <c r="S363" i="13"/>
  <c r="Q363" i="13"/>
  <c r="O363" i="13"/>
  <c r="M363" i="13"/>
  <c r="L363" i="13"/>
  <c r="K363" i="13"/>
  <c r="J363" i="13"/>
  <c r="R366" i="13"/>
  <c r="P366" i="13"/>
  <c r="N366" i="13"/>
  <c r="U366" i="13" s="1"/>
  <c r="I366" i="13"/>
  <c r="H366" i="13"/>
  <c r="G366" i="13"/>
  <c r="F366" i="13"/>
  <c r="E366" i="13"/>
  <c r="R365" i="13"/>
  <c r="P365" i="13"/>
  <c r="N365" i="13"/>
  <c r="U365" i="13" s="1"/>
  <c r="D365" i="13"/>
  <c r="I364" i="13"/>
  <c r="H364" i="13"/>
  <c r="G364" i="13"/>
  <c r="F364" i="13"/>
  <c r="E364" i="13"/>
  <c r="R364" i="13"/>
  <c r="P364" i="13"/>
  <c r="N364" i="13"/>
  <c r="U364" i="13" s="1"/>
  <c r="U410" i="13"/>
  <c r="U409" i="13"/>
  <c r="U407" i="13"/>
  <c r="U405" i="13"/>
  <c r="U403" i="13"/>
  <c r="U402" i="13"/>
  <c r="U401" i="13"/>
  <c r="U400" i="13"/>
  <c r="U399" i="13"/>
  <c r="U398" i="13"/>
  <c r="U397" i="13"/>
  <c r="U396" i="13"/>
  <c r="U395" i="13"/>
  <c r="U393" i="13"/>
  <c r="U392" i="13"/>
  <c r="U391" i="13"/>
  <c r="U390" i="13"/>
  <c r="U388" i="13"/>
  <c r="U387" i="13"/>
  <c r="U386" i="13"/>
  <c r="U385" i="13"/>
  <c r="U384" i="13"/>
  <c r="U383" i="13"/>
  <c r="U382" i="13"/>
  <c r="U380" i="13"/>
  <c r="U379" i="13"/>
  <c r="U378" i="13"/>
  <c r="U377" i="13"/>
  <c r="T1167" i="13"/>
  <c r="S1167" i="13"/>
  <c r="Q1167" i="13"/>
  <c r="O1167" i="13"/>
  <c r="M1167" i="13"/>
  <c r="L1167" i="13"/>
  <c r="K1167" i="13"/>
  <c r="J1167" i="13"/>
  <c r="H1167" i="13"/>
  <c r="F1167" i="13"/>
  <c r="I1171" i="13"/>
  <c r="G1171" i="13"/>
  <c r="E1171" i="13"/>
  <c r="I1170" i="13"/>
  <c r="G1170" i="13"/>
  <c r="E1170" i="13"/>
  <c r="I1169" i="13"/>
  <c r="G1169" i="13"/>
  <c r="E1169" i="13"/>
  <c r="R1171" i="13"/>
  <c r="P1171" i="13"/>
  <c r="N1171" i="13"/>
  <c r="U1171" i="13" s="1"/>
  <c r="R1170" i="13"/>
  <c r="P1170" i="13"/>
  <c r="N1170" i="13"/>
  <c r="U1170" i="13" s="1"/>
  <c r="R1169" i="13"/>
  <c r="P1169" i="13"/>
  <c r="N1169" i="13"/>
  <c r="U1169" i="13" s="1"/>
  <c r="I1168" i="13"/>
  <c r="G1168" i="13"/>
  <c r="E1168" i="13"/>
  <c r="R1168" i="13"/>
  <c r="P1168" i="13"/>
  <c r="N1168" i="13"/>
  <c r="H367" i="13" l="1"/>
  <c r="R373" i="13"/>
  <c r="E363" i="13"/>
  <c r="I363" i="13"/>
  <c r="R363" i="13"/>
  <c r="H363" i="13"/>
  <c r="I1167" i="13"/>
  <c r="N1167" i="13"/>
  <c r="G1167" i="13"/>
  <c r="F363" i="13"/>
  <c r="E367" i="13"/>
  <c r="I367" i="13"/>
  <c r="G367" i="13"/>
  <c r="R1167" i="13"/>
  <c r="E1167" i="13"/>
  <c r="P363" i="13"/>
  <c r="G363" i="13"/>
  <c r="N363" i="13"/>
  <c r="F367" i="13"/>
  <c r="P1167" i="13"/>
  <c r="R367" i="13"/>
  <c r="U1168" i="13"/>
  <c r="D368" i="13"/>
  <c r="D369" i="13"/>
  <c r="C369" i="13" s="1"/>
  <c r="N367" i="13"/>
  <c r="U374" i="13"/>
  <c r="N373" i="13"/>
  <c r="D366" i="13"/>
  <c r="C366" i="13" s="1"/>
  <c r="N370" i="13"/>
  <c r="C375" i="13"/>
  <c r="C374" i="13"/>
  <c r="C371" i="13"/>
  <c r="C372" i="13"/>
  <c r="C365" i="13"/>
  <c r="D364" i="13"/>
  <c r="D1171" i="13"/>
  <c r="C1171" i="13" s="1"/>
  <c r="D1170" i="13"/>
  <c r="C1170" i="13" s="1"/>
  <c r="D1169" i="13"/>
  <c r="C1169" i="13" s="1"/>
  <c r="D1168" i="13"/>
  <c r="C370" i="13" l="1"/>
  <c r="C368" i="13"/>
  <c r="C367" i="13" s="1"/>
  <c r="D367" i="13"/>
  <c r="C373" i="13"/>
  <c r="C1168" i="13"/>
  <c r="C1167" i="13" s="1"/>
  <c r="D1167" i="13"/>
  <c r="C364" i="13"/>
  <c r="C363" i="13" s="1"/>
  <c r="D363" i="13"/>
  <c r="T250" i="13"/>
  <c r="S250" i="13"/>
  <c r="Q250" i="13"/>
  <c r="O250" i="13"/>
  <c r="M250" i="13"/>
  <c r="L250" i="13"/>
  <c r="K250" i="13"/>
  <c r="J250" i="13"/>
  <c r="U1190" i="13"/>
  <c r="U1189" i="13"/>
  <c r="U1187" i="13"/>
  <c r="U1186" i="13"/>
  <c r="U1184" i="13"/>
  <c r="U1183" i="13"/>
  <c r="U1182" i="13"/>
  <c r="U1181" i="13"/>
  <c r="U1180" i="13"/>
  <c r="U1179" i="13"/>
  <c r="U1177" i="13"/>
  <c r="U1176" i="13"/>
  <c r="U1175" i="13"/>
  <c r="U1174" i="13"/>
  <c r="U1173" i="13"/>
  <c r="T1069" i="13"/>
  <c r="S1069" i="13"/>
  <c r="Q1069" i="13"/>
  <c r="O1069" i="13"/>
  <c r="M1069" i="13"/>
  <c r="K1069" i="13"/>
  <c r="J1069" i="13"/>
  <c r="N1166" i="13"/>
  <c r="R1166" i="13"/>
  <c r="D1166" i="13"/>
  <c r="R1165" i="13"/>
  <c r="N1165" i="13"/>
  <c r="D1165" i="13"/>
  <c r="R1164" i="13"/>
  <c r="N1164" i="13"/>
  <c r="D1164" i="13"/>
  <c r="I1162" i="13"/>
  <c r="H1162" i="13"/>
  <c r="G1162" i="13"/>
  <c r="F1162" i="13"/>
  <c r="E1162" i="13"/>
  <c r="N1163" i="13"/>
  <c r="N1161" i="13"/>
  <c r="N1160" i="13"/>
  <c r="R1162" i="13"/>
  <c r="R1163" i="13"/>
  <c r="R1161" i="13"/>
  <c r="R1160" i="13"/>
  <c r="D1163" i="13"/>
  <c r="D1161" i="13"/>
  <c r="D1160" i="13"/>
  <c r="N1159" i="13"/>
  <c r="R1159" i="13"/>
  <c r="D1159" i="13"/>
  <c r="N1158" i="13"/>
  <c r="R1158" i="13"/>
  <c r="D1158" i="13"/>
  <c r="C1164" i="13" l="1"/>
  <c r="C1159" i="13"/>
  <c r="C1163" i="13"/>
  <c r="D1162" i="13"/>
  <c r="C1162" i="13" s="1"/>
  <c r="C1166" i="13"/>
  <c r="C1165" i="13"/>
  <c r="C1161" i="13"/>
  <c r="C1160" i="13"/>
  <c r="C1158" i="13"/>
  <c r="R1157" i="13"/>
  <c r="N1157" i="13"/>
  <c r="D1157" i="13"/>
  <c r="R1156" i="13"/>
  <c r="N1156" i="13"/>
  <c r="R1155" i="13"/>
  <c r="N1155" i="13"/>
  <c r="D1156" i="13"/>
  <c r="D1155" i="13"/>
  <c r="N1154" i="13"/>
  <c r="R1154" i="13"/>
  <c r="D1154" i="13"/>
  <c r="N1153" i="13"/>
  <c r="R1153" i="13"/>
  <c r="D1153" i="13"/>
  <c r="R1152" i="13"/>
  <c r="N1152" i="13"/>
  <c r="D1152" i="13"/>
  <c r="R1151" i="13"/>
  <c r="N1151" i="13"/>
  <c r="R1150" i="13"/>
  <c r="N1150" i="13"/>
  <c r="D1151" i="13"/>
  <c r="D1150" i="13"/>
  <c r="R1149" i="13"/>
  <c r="N1149" i="13"/>
  <c r="D1149" i="13"/>
  <c r="I1148" i="13"/>
  <c r="H1148" i="13"/>
  <c r="G1148" i="13"/>
  <c r="F1148" i="13"/>
  <c r="E1148" i="13"/>
  <c r="R1148" i="13"/>
  <c r="P1148" i="13"/>
  <c r="N1148" i="13"/>
  <c r="P347" i="13"/>
  <c r="N347" i="13"/>
  <c r="I347" i="13"/>
  <c r="H347" i="13"/>
  <c r="G347" i="13"/>
  <c r="F347" i="13"/>
  <c r="E347" i="13"/>
  <c r="R347" i="13"/>
  <c r="R1147" i="13"/>
  <c r="N1147" i="13"/>
  <c r="D1147" i="13"/>
  <c r="N1146" i="13"/>
  <c r="R1146" i="13"/>
  <c r="D1146" i="13"/>
  <c r="N1145" i="13"/>
  <c r="R1145" i="13"/>
  <c r="D1145" i="13"/>
  <c r="R1144" i="13"/>
  <c r="N1144" i="13"/>
  <c r="D1144" i="13"/>
  <c r="R1143" i="13"/>
  <c r="N1143" i="13"/>
  <c r="D1143" i="13"/>
  <c r="R1142" i="13"/>
  <c r="N1142" i="13"/>
  <c r="D1142" i="13"/>
  <c r="N1141" i="13"/>
  <c r="I1141" i="13"/>
  <c r="H1141" i="13"/>
  <c r="G1141" i="13"/>
  <c r="F1141" i="13"/>
  <c r="E1141" i="13"/>
  <c r="R1141" i="13"/>
  <c r="N1140" i="13"/>
  <c r="I1140" i="13"/>
  <c r="H1140" i="13"/>
  <c r="G1140" i="13"/>
  <c r="C1144" i="13" l="1"/>
  <c r="P1069" i="13"/>
  <c r="C1147" i="13"/>
  <c r="C1145" i="13"/>
  <c r="C1143" i="13"/>
  <c r="C1151" i="13"/>
  <c r="C1156" i="13"/>
  <c r="C1150" i="13"/>
  <c r="C1152" i="13"/>
  <c r="C1157" i="13"/>
  <c r="C1155" i="13"/>
  <c r="C1154" i="13"/>
  <c r="C1153" i="13"/>
  <c r="C1149" i="13"/>
  <c r="D1148" i="13"/>
  <c r="C1148" i="13" s="1"/>
  <c r="D347" i="13"/>
  <c r="C347" i="13" s="1"/>
  <c r="C1146" i="13"/>
  <c r="C1142" i="13"/>
  <c r="D1141" i="13"/>
  <c r="C1141" i="13" s="1"/>
  <c r="F1140" i="13" l="1"/>
  <c r="E1140" i="13"/>
  <c r="R1140" i="13"/>
  <c r="I1139" i="13"/>
  <c r="H1139" i="13"/>
  <c r="G1139" i="13"/>
  <c r="F1139" i="13"/>
  <c r="E1139" i="13"/>
  <c r="I1138" i="13"/>
  <c r="H1138" i="13"/>
  <c r="G1138" i="13"/>
  <c r="F1138" i="13"/>
  <c r="E1138" i="13"/>
  <c r="R1139" i="13"/>
  <c r="R1138" i="13"/>
  <c r="N1138" i="13"/>
  <c r="N1137" i="13"/>
  <c r="N1136" i="13"/>
  <c r="R1137" i="13"/>
  <c r="D1137" i="13"/>
  <c r="R1136" i="13"/>
  <c r="D1136" i="13"/>
  <c r="R1135" i="13"/>
  <c r="N1135" i="13"/>
  <c r="D1135" i="13"/>
  <c r="R1134" i="13"/>
  <c r="N1134" i="13"/>
  <c r="D1134" i="13"/>
  <c r="R1133" i="13"/>
  <c r="N1133" i="13"/>
  <c r="D1133" i="13"/>
  <c r="R1132" i="13"/>
  <c r="N1132" i="13"/>
  <c r="D1132" i="13"/>
  <c r="R1131" i="13"/>
  <c r="N1131" i="13"/>
  <c r="D1131" i="13"/>
  <c r="N1130" i="13"/>
  <c r="R1130" i="13"/>
  <c r="D1130" i="13"/>
  <c r="N1129" i="13"/>
  <c r="R1129" i="13"/>
  <c r="D1129" i="13"/>
  <c r="I1128" i="13"/>
  <c r="H1128" i="13"/>
  <c r="G1128" i="13"/>
  <c r="F1128" i="13"/>
  <c r="E1128" i="13"/>
  <c r="R1128" i="13"/>
  <c r="N1128" i="13"/>
  <c r="I1127" i="13"/>
  <c r="H1127" i="13"/>
  <c r="G1127" i="13"/>
  <c r="F1127" i="13"/>
  <c r="E1127" i="13"/>
  <c r="R1127" i="13"/>
  <c r="N1127" i="13"/>
  <c r="N1126" i="13"/>
  <c r="R1126" i="13"/>
  <c r="D1126" i="13"/>
  <c r="R1120" i="13"/>
  <c r="N1120" i="13"/>
  <c r="D1120" i="13"/>
  <c r="R1119" i="13"/>
  <c r="N1119" i="13"/>
  <c r="D1119" i="13"/>
  <c r="R1118" i="13"/>
  <c r="N1118" i="13"/>
  <c r="D1118" i="13"/>
  <c r="R1125" i="13"/>
  <c r="N1125" i="13"/>
  <c r="D1125" i="13"/>
  <c r="R1124" i="13"/>
  <c r="N1124" i="13"/>
  <c r="D1124" i="13"/>
  <c r="R1123" i="13"/>
  <c r="N1123" i="13"/>
  <c r="D1123" i="13"/>
  <c r="R1122" i="13"/>
  <c r="N1122" i="13"/>
  <c r="D1122" i="13"/>
  <c r="N1121" i="13"/>
  <c r="R1121" i="13"/>
  <c r="D1121" i="13"/>
  <c r="R1117" i="13"/>
  <c r="N1117" i="13"/>
  <c r="D1117" i="13"/>
  <c r="R1116" i="13"/>
  <c r="N1116" i="13"/>
  <c r="D1116" i="13"/>
  <c r="R1115" i="13"/>
  <c r="N1115" i="13"/>
  <c r="D1115" i="13"/>
  <c r="R1114" i="13"/>
  <c r="N1114" i="13"/>
  <c r="D1114" i="13"/>
  <c r="R1113" i="13"/>
  <c r="N1113" i="13"/>
  <c r="D1113" i="13"/>
  <c r="R1112" i="13"/>
  <c r="N1112" i="13"/>
  <c r="D1112" i="13"/>
  <c r="R1111" i="13"/>
  <c r="N1111" i="13"/>
  <c r="D1111" i="13"/>
  <c r="R1110" i="13"/>
  <c r="N1110" i="13"/>
  <c r="D1110" i="13"/>
  <c r="R1109" i="13"/>
  <c r="N1109" i="13"/>
  <c r="D1109" i="13"/>
  <c r="R1108" i="13"/>
  <c r="N1108" i="13"/>
  <c r="D1108" i="13"/>
  <c r="N1107" i="13"/>
  <c r="R1107" i="13"/>
  <c r="D1107" i="13"/>
  <c r="R1106" i="13"/>
  <c r="N1106" i="13"/>
  <c r="D1106" i="13"/>
  <c r="R1105" i="13"/>
  <c r="N1105" i="13"/>
  <c r="D1105" i="13"/>
  <c r="N1104" i="13"/>
  <c r="R1104" i="13"/>
  <c r="D1104" i="13"/>
  <c r="R1103" i="13"/>
  <c r="N1103" i="13"/>
  <c r="D1103" i="13"/>
  <c r="N1102" i="13"/>
  <c r="R1102" i="13"/>
  <c r="D1102" i="13"/>
  <c r="R1101" i="13"/>
  <c r="N1101" i="13"/>
  <c r="D1101" i="13"/>
  <c r="R1100" i="13"/>
  <c r="N1100" i="13"/>
  <c r="D1100" i="13"/>
  <c r="R1099" i="13"/>
  <c r="N1099" i="13"/>
  <c r="D1099" i="13"/>
  <c r="N1098" i="13"/>
  <c r="R1098" i="13"/>
  <c r="D1098" i="13"/>
  <c r="R1097" i="13"/>
  <c r="N1097" i="13"/>
  <c r="D1097" i="13"/>
  <c r="N1096" i="13"/>
  <c r="R1096" i="13"/>
  <c r="D1096" i="13"/>
  <c r="N1095" i="13"/>
  <c r="R1095" i="13"/>
  <c r="D1095" i="13"/>
  <c r="R1094" i="13"/>
  <c r="N1094" i="13"/>
  <c r="D1094" i="13"/>
  <c r="L1093" i="13"/>
  <c r="L1069" i="13" s="1"/>
  <c r="I1093" i="13"/>
  <c r="H1093" i="13"/>
  <c r="G1093" i="13"/>
  <c r="F1093" i="13"/>
  <c r="E1093" i="13"/>
  <c r="R1093" i="13"/>
  <c r="N1093" i="13"/>
  <c r="N1092" i="13"/>
  <c r="R1092" i="13"/>
  <c r="D1092" i="13"/>
  <c r="R1091" i="13"/>
  <c r="N1091" i="13"/>
  <c r="D1091" i="13"/>
  <c r="R1090" i="13"/>
  <c r="N1090" i="13"/>
  <c r="D1090" i="13"/>
  <c r="R1089" i="13"/>
  <c r="N1089" i="13"/>
  <c r="D1089" i="13"/>
  <c r="R1088" i="13"/>
  <c r="N1088" i="13"/>
  <c r="D1088" i="13"/>
  <c r="N1087" i="13"/>
  <c r="R1087" i="13"/>
  <c r="D1087" i="13"/>
  <c r="R1086" i="13"/>
  <c r="N1086" i="13"/>
  <c r="D1086" i="13"/>
  <c r="R1085" i="13"/>
  <c r="N1085" i="13"/>
  <c r="D1085" i="13"/>
  <c r="R1084" i="13"/>
  <c r="N1084" i="13"/>
  <c r="D1084" i="13"/>
  <c r="R1083" i="13"/>
  <c r="N1083" i="13"/>
  <c r="D1083" i="13"/>
  <c r="I1082" i="13"/>
  <c r="H1082" i="13"/>
  <c r="G1082" i="13"/>
  <c r="F1082" i="13"/>
  <c r="E1082" i="13"/>
  <c r="C1116" i="13" l="1"/>
  <c r="D1140" i="13"/>
  <c r="C1115" i="13"/>
  <c r="C1106" i="13"/>
  <c r="F1069" i="13"/>
  <c r="C1117" i="13"/>
  <c r="C1123" i="13"/>
  <c r="C1126" i="13"/>
  <c r="C1089" i="13"/>
  <c r="D1127" i="13"/>
  <c r="C1127" i="13" s="1"/>
  <c r="H1069" i="13"/>
  <c r="C1090" i="13"/>
  <c r="C1087" i="13"/>
  <c r="C1091" i="13"/>
  <c r="C1098" i="13"/>
  <c r="C1112" i="13"/>
  <c r="G1069" i="13"/>
  <c r="C1109" i="13"/>
  <c r="C1118" i="13"/>
  <c r="E1069" i="13"/>
  <c r="I1069" i="13"/>
  <c r="C1088" i="13"/>
  <c r="C1135" i="13"/>
  <c r="D1139" i="13"/>
  <c r="C1139" i="13" s="1"/>
  <c r="C1140" i="13"/>
  <c r="D1138" i="13"/>
  <c r="C1138" i="13" s="1"/>
  <c r="C1136" i="13"/>
  <c r="C1137" i="13"/>
  <c r="C1133" i="13"/>
  <c r="C1134" i="13"/>
  <c r="C1132" i="13"/>
  <c r="C1131" i="13"/>
  <c r="C1130" i="13"/>
  <c r="C1129" i="13"/>
  <c r="D1128" i="13"/>
  <c r="C1128" i="13" s="1"/>
  <c r="C1119" i="13"/>
  <c r="C1120" i="13"/>
  <c r="C1125" i="13"/>
  <c r="C1124" i="13"/>
  <c r="C1122" i="13"/>
  <c r="C1121" i="13"/>
  <c r="C1114" i="13"/>
  <c r="C1113" i="13"/>
  <c r="C1111" i="13"/>
  <c r="C1110" i="13"/>
  <c r="C1108" i="13"/>
  <c r="C1107" i="13"/>
  <c r="C1105" i="13"/>
  <c r="C1104" i="13"/>
  <c r="C1103" i="13"/>
  <c r="C1102" i="13"/>
  <c r="C1101" i="13"/>
  <c r="C1100" i="13"/>
  <c r="C1099" i="13"/>
  <c r="C1097" i="13"/>
  <c r="C1096" i="13"/>
  <c r="C1095" i="13"/>
  <c r="C1094" i="13"/>
  <c r="D1093" i="13"/>
  <c r="C1093" i="13" s="1"/>
  <c r="C1092" i="13"/>
  <c r="C1086" i="13"/>
  <c r="C1085" i="13"/>
  <c r="C1084" i="13"/>
  <c r="C1083" i="13"/>
  <c r="R1082" i="13"/>
  <c r="N1082" i="13"/>
  <c r="U1082" i="13" s="1"/>
  <c r="D1082" i="13"/>
  <c r="R1081" i="13"/>
  <c r="N1081" i="13"/>
  <c r="U1081" i="13" s="1"/>
  <c r="D1081" i="13"/>
  <c r="N1080" i="13"/>
  <c r="R1080" i="13"/>
  <c r="D1080" i="13"/>
  <c r="N1079" i="13"/>
  <c r="U1079" i="13" s="1"/>
  <c r="R1079" i="13"/>
  <c r="D1079" i="13"/>
  <c r="R1078" i="13"/>
  <c r="N1078" i="13"/>
  <c r="D1078" i="13"/>
  <c r="R1077" i="13"/>
  <c r="N1077" i="13"/>
  <c r="U1077" i="13" s="1"/>
  <c r="D1077" i="13"/>
  <c r="R1076" i="13"/>
  <c r="N1076" i="13"/>
  <c r="U1076" i="13" s="1"/>
  <c r="D1076" i="13"/>
  <c r="R1075" i="13"/>
  <c r="N1075" i="13"/>
  <c r="D1075" i="13"/>
  <c r="R1074" i="13"/>
  <c r="N1074" i="13"/>
  <c r="D1074" i="13"/>
  <c r="R1073" i="13"/>
  <c r="N1073" i="13"/>
  <c r="U1073" i="13" s="1"/>
  <c r="D1073" i="13"/>
  <c r="R1072" i="13"/>
  <c r="N1072" i="13"/>
  <c r="U1072" i="13" s="1"/>
  <c r="D1072" i="13"/>
  <c r="R1071" i="13"/>
  <c r="N1071" i="13"/>
  <c r="U1071" i="13" s="1"/>
  <c r="D1071" i="13"/>
  <c r="R1070" i="13"/>
  <c r="N1070" i="13"/>
  <c r="D1070" i="13"/>
  <c r="U1166" i="13"/>
  <c r="U1165" i="13"/>
  <c r="U1164" i="13"/>
  <c r="U1163" i="13"/>
  <c r="U1162" i="13"/>
  <c r="U1161" i="13"/>
  <c r="U1160" i="13"/>
  <c r="U1159" i="13"/>
  <c r="U1158" i="13"/>
  <c r="U1157" i="13"/>
  <c r="U1156" i="13"/>
  <c r="U1155" i="13"/>
  <c r="U1154" i="13"/>
  <c r="U1153" i="13"/>
  <c r="U1152" i="13"/>
  <c r="U1151" i="13"/>
  <c r="U1150" i="13"/>
  <c r="U1149" i="13"/>
  <c r="U1148" i="13"/>
  <c r="U347" i="13"/>
  <c r="U1147" i="13"/>
  <c r="U1146" i="13"/>
  <c r="U1145" i="13"/>
  <c r="U1144" i="13"/>
  <c r="U1143" i="13"/>
  <c r="U1142" i="13"/>
  <c r="U1141" i="13"/>
  <c r="U1140" i="13"/>
  <c r="U1139" i="13"/>
  <c r="U1138" i="13"/>
  <c r="U1137" i="13"/>
  <c r="U1136" i="13"/>
  <c r="U1135" i="13"/>
  <c r="U1134" i="13"/>
  <c r="U1133" i="13"/>
  <c r="U1132" i="13"/>
  <c r="U1131" i="13"/>
  <c r="U1130" i="13"/>
  <c r="U1129" i="13"/>
  <c r="U1128" i="13"/>
  <c r="U1127" i="13"/>
  <c r="U1126" i="13"/>
  <c r="U1125" i="13"/>
  <c r="U1124" i="13"/>
  <c r="U1123" i="13"/>
  <c r="U1122" i="13"/>
  <c r="U1121" i="13"/>
  <c r="U1120" i="13"/>
  <c r="U1119" i="13"/>
  <c r="U1118" i="13"/>
  <c r="U1117" i="13"/>
  <c r="U1116" i="13"/>
  <c r="U1115" i="13"/>
  <c r="U1114" i="13"/>
  <c r="U1113" i="13"/>
  <c r="U1112" i="13"/>
  <c r="U1111" i="13"/>
  <c r="U1110" i="13"/>
  <c r="U1109" i="13"/>
  <c r="U1108" i="13"/>
  <c r="U1107" i="13"/>
  <c r="U1106" i="13"/>
  <c r="U1105" i="13"/>
  <c r="U1104" i="13"/>
  <c r="U1103" i="13"/>
  <c r="U1102" i="13"/>
  <c r="U1101" i="13"/>
  <c r="U1100" i="13"/>
  <c r="U1099" i="13"/>
  <c r="U1098" i="13"/>
  <c r="U1097" i="13"/>
  <c r="U1096" i="13"/>
  <c r="U1095" i="13"/>
  <c r="U1094" i="13"/>
  <c r="U1093" i="13"/>
  <c r="U1092" i="13"/>
  <c r="U1091" i="13"/>
  <c r="U1090" i="13"/>
  <c r="U1089" i="13"/>
  <c r="U1088" i="13"/>
  <c r="U1087" i="13"/>
  <c r="U1086" i="13"/>
  <c r="U1085" i="13"/>
  <c r="U1084" i="13"/>
  <c r="U1083" i="13"/>
  <c r="U1078" i="13"/>
  <c r="U1074" i="13"/>
  <c r="U1053" i="13"/>
  <c r="U1052" i="13"/>
  <c r="N768" i="13"/>
  <c r="D768" i="13"/>
  <c r="N767" i="13"/>
  <c r="D767" i="13"/>
  <c r="N766" i="13"/>
  <c r="D766" i="13"/>
  <c r="N765" i="13"/>
  <c r="D765" i="13"/>
  <c r="N764" i="13"/>
  <c r="D764" i="13"/>
  <c r="N763" i="13"/>
  <c r="D763" i="13"/>
  <c r="N762" i="13"/>
  <c r="D762" i="13"/>
  <c r="N761" i="13"/>
  <c r="D761" i="13"/>
  <c r="N760" i="13"/>
  <c r="D760" i="13"/>
  <c r="N759" i="13"/>
  <c r="D759" i="13"/>
  <c r="N758" i="13"/>
  <c r="D758" i="13"/>
  <c r="N757" i="13"/>
  <c r="D757" i="13"/>
  <c r="N756" i="13"/>
  <c r="D756" i="13"/>
  <c r="N755" i="13"/>
  <c r="D755" i="13"/>
  <c r="N754" i="13"/>
  <c r="D754" i="13"/>
  <c r="U351" i="13"/>
  <c r="U350" i="13"/>
  <c r="U348" i="13"/>
  <c r="U346" i="13"/>
  <c r="U343" i="13"/>
  <c r="U330" i="13"/>
  <c r="U323" i="13"/>
  <c r="U308" i="13"/>
  <c r="U305" i="13"/>
  <c r="U303" i="13"/>
  <c r="U302" i="13"/>
  <c r="U300" i="13"/>
  <c r="U294" i="13"/>
  <c r="U293" i="13"/>
  <c r="U287" i="13"/>
  <c r="U285" i="13"/>
  <c r="U281" i="13"/>
  <c r="U280" i="13"/>
  <c r="U275" i="13"/>
  <c r="U274" i="13"/>
  <c r="U273" i="13"/>
  <c r="C760" i="13" l="1"/>
  <c r="C1075" i="13"/>
  <c r="C761" i="13"/>
  <c r="C754" i="13"/>
  <c r="C1080" i="13"/>
  <c r="C765" i="13"/>
  <c r="D1069" i="13"/>
  <c r="C762" i="13"/>
  <c r="C764" i="13"/>
  <c r="C755" i="13"/>
  <c r="C757" i="13"/>
  <c r="C759" i="13"/>
  <c r="U1070" i="13"/>
  <c r="N1069" i="13"/>
  <c r="R1069" i="13"/>
  <c r="C756" i="13"/>
  <c r="C1082" i="13"/>
  <c r="C1081" i="13"/>
  <c r="U1080" i="13"/>
  <c r="C1079" i="13"/>
  <c r="C1078" i="13"/>
  <c r="C1077" i="13"/>
  <c r="C1076" i="13"/>
  <c r="U1075" i="13"/>
  <c r="C1074" i="13"/>
  <c r="C1073" i="13"/>
  <c r="C1072" i="13"/>
  <c r="C1071" i="13"/>
  <c r="C1070" i="13"/>
  <c r="C768" i="13"/>
  <c r="C767" i="13"/>
  <c r="C766" i="13"/>
  <c r="C763" i="13"/>
  <c r="C758" i="13"/>
  <c r="U803" i="13"/>
  <c r="U802" i="13"/>
  <c r="U801" i="13"/>
  <c r="U800" i="13"/>
  <c r="U799" i="13"/>
  <c r="U798" i="13"/>
  <c r="U797" i="13"/>
  <c r="U795" i="13"/>
  <c r="U794" i="13"/>
  <c r="U793" i="13"/>
  <c r="U792" i="13"/>
  <c r="U790" i="13"/>
  <c r="U788" i="13"/>
  <c r="U787" i="13"/>
  <c r="U786" i="13"/>
  <c r="U784" i="13"/>
  <c r="U783" i="13"/>
  <c r="U781" i="13"/>
  <c r="U780" i="13"/>
  <c r="U779" i="13"/>
  <c r="U778" i="13"/>
  <c r="U776" i="13"/>
  <c r="U774" i="13"/>
  <c r="U773" i="13"/>
  <c r="U772" i="13"/>
  <c r="U771" i="13"/>
  <c r="U770" i="13"/>
  <c r="U768" i="13"/>
  <c r="U767" i="13"/>
  <c r="U766" i="13"/>
  <c r="U765" i="13"/>
  <c r="U764" i="13"/>
  <c r="U763" i="13"/>
  <c r="U762" i="13"/>
  <c r="U761" i="13"/>
  <c r="U760" i="13"/>
  <c r="U759" i="13"/>
  <c r="U758" i="13"/>
  <c r="U757" i="13"/>
  <c r="U756" i="13"/>
  <c r="U755" i="13"/>
  <c r="U754" i="13"/>
  <c r="N753" i="13"/>
  <c r="U753" i="13" s="1"/>
  <c r="D753" i="13"/>
  <c r="C753" i="13" l="1"/>
  <c r="C1069" i="13"/>
  <c r="N752" i="13"/>
  <c r="U752" i="13" s="1"/>
  <c r="D752" i="13"/>
  <c r="N751" i="13"/>
  <c r="U751" i="13" s="1"/>
  <c r="D751" i="13"/>
  <c r="N750" i="13"/>
  <c r="U750" i="13" s="1"/>
  <c r="D750" i="13"/>
  <c r="N749" i="13"/>
  <c r="U749" i="13" s="1"/>
  <c r="D749" i="13"/>
  <c r="N748" i="13"/>
  <c r="U748" i="13" s="1"/>
  <c r="D748" i="13"/>
  <c r="N747" i="13"/>
  <c r="U747" i="13" s="1"/>
  <c r="D747" i="13"/>
  <c r="N746" i="13"/>
  <c r="U746" i="13" s="1"/>
  <c r="D746" i="13"/>
  <c r="N745" i="13"/>
  <c r="U745" i="13" s="1"/>
  <c r="D745" i="13"/>
  <c r="I744" i="13"/>
  <c r="H744" i="13"/>
  <c r="G744" i="13"/>
  <c r="F744" i="13"/>
  <c r="E744" i="13"/>
  <c r="R744" i="13"/>
  <c r="N744" i="13"/>
  <c r="U744" i="13" s="1"/>
  <c r="N743" i="13"/>
  <c r="D743" i="13"/>
  <c r="N742" i="13"/>
  <c r="U742" i="13" s="1"/>
  <c r="D742" i="13"/>
  <c r="N741" i="13"/>
  <c r="U741" i="13" s="1"/>
  <c r="D741" i="13"/>
  <c r="N740" i="13"/>
  <c r="U740" i="13" s="1"/>
  <c r="D740" i="13"/>
  <c r="N739" i="13"/>
  <c r="U739" i="13" s="1"/>
  <c r="D739" i="13"/>
  <c r="N738" i="13"/>
  <c r="U738" i="13" s="1"/>
  <c r="D738" i="13"/>
  <c r="N737" i="13"/>
  <c r="D737" i="13"/>
  <c r="N736" i="13"/>
  <c r="U736" i="13" s="1"/>
  <c r="D736" i="13"/>
  <c r="N735" i="13"/>
  <c r="D735" i="13"/>
  <c r="N734" i="13"/>
  <c r="U734" i="13" s="1"/>
  <c r="D734" i="13"/>
  <c r="N733" i="13"/>
  <c r="U733" i="13" s="1"/>
  <c r="D733" i="13"/>
  <c r="N732" i="13"/>
  <c r="U732" i="13" s="1"/>
  <c r="D732" i="13"/>
  <c r="N731" i="13"/>
  <c r="U731" i="13" s="1"/>
  <c r="D731" i="13"/>
  <c r="N730" i="13"/>
  <c r="U730" i="13" s="1"/>
  <c r="D730" i="13"/>
  <c r="N729" i="13"/>
  <c r="U729" i="13" s="1"/>
  <c r="D729" i="13"/>
  <c r="N728" i="13"/>
  <c r="U728" i="13" s="1"/>
  <c r="D728" i="13"/>
  <c r="N727" i="13"/>
  <c r="U727" i="13" s="1"/>
  <c r="D727" i="13"/>
  <c r="N726" i="13"/>
  <c r="U726" i="13" s="1"/>
  <c r="D726" i="13"/>
  <c r="N725" i="13"/>
  <c r="D725" i="13"/>
  <c r="N724" i="13"/>
  <c r="U724" i="13" s="1"/>
  <c r="D724" i="13"/>
  <c r="N723" i="13"/>
  <c r="U723" i="13" s="1"/>
  <c r="D723" i="13"/>
  <c r="N722" i="13"/>
  <c r="U722" i="13" s="1"/>
  <c r="D722" i="13"/>
  <c r="N721" i="13"/>
  <c r="D721" i="13"/>
  <c r="N720" i="13"/>
  <c r="D720" i="13"/>
  <c r="N719" i="13"/>
  <c r="U719" i="13" s="1"/>
  <c r="D719" i="13"/>
  <c r="U720" i="13"/>
  <c r="N718" i="13"/>
  <c r="D718" i="13"/>
  <c r="N717" i="13"/>
  <c r="U717" i="13" s="1"/>
  <c r="N716" i="13"/>
  <c r="U716" i="13" s="1"/>
  <c r="N715" i="13"/>
  <c r="C738" i="13" l="1"/>
  <c r="C741" i="13"/>
  <c r="C750" i="13"/>
  <c r="C728" i="13"/>
  <c r="C731" i="13"/>
  <c r="C719" i="13"/>
  <c r="C727" i="13"/>
  <c r="C729" i="13"/>
  <c r="C735" i="13"/>
  <c r="C737" i="13"/>
  <c r="C742" i="13"/>
  <c r="C718" i="13"/>
  <c r="C720" i="13"/>
  <c r="C740" i="13"/>
  <c r="C743" i="13"/>
  <c r="C749" i="13"/>
  <c r="U718" i="13"/>
  <c r="C721" i="13"/>
  <c r="C725" i="13"/>
  <c r="C736" i="13"/>
  <c r="U737" i="13"/>
  <c r="U743" i="13"/>
  <c r="C746" i="13"/>
  <c r="C748" i="13"/>
  <c r="U735" i="13"/>
  <c r="C747" i="13"/>
  <c r="C752" i="13"/>
  <c r="C751" i="13"/>
  <c r="C745" i="13"/>
  <c r="D744" i="13"/>
  <c r="C744" i="13" s="1"/>
  <c r="C739" i="13"/>
  <c r="C734" i="13"/>
  <c r="C733" i="13"/>
  <c r="C732" i="13"/>
  <c r="C730" i="13"/>
  <c r="C726" i="13"/>
  <c r="U725" i="13"/>
  <c r="C724" i="13"/>
  <c r="C723" i="13"/>
  <c r="C722" i="13"/>
  <c r="U721" i="13"/>
  <c r="D717" i="13" l="1"/>
  <c r="D716" i="13"/>
  <c r="C716" i="13" s="1"/>
  <c r="D715" i="13"/>
  <c r="C715" i="13" s="1"/>
  <c r="C717" i="13" l="1"/>
  <c r="N714" i="13" l="1"/>
  <c r="D714" i="13"/>
  <c r="N713" i="13"/>
  <c r="D713" i="13"/>
  <c r="N306" i="13"/>
  <c r="D306" i="13"/>
  <c r="N712" i="13"/>
  <c r="D712" i="13"/>
  <c r="N711" i="13"/>
  <c r="D711" i="13"/>
  <c r="N710" i="13"/>
  <c r="D710" i="13"/>
  <c r="N709" i="13"/>
  <c r="D709" i="13"/>
  <c r="N708" i="13"/>
  <c r="D708" i="13"/>
  <c r="N707" i="13"/>
  <c r="D707" i="13"/>
  <c r="N706" i="13"/>
  <c r="D706" i="13"/>
  <c r="N705" i="13"/>
  <c r="D705" i="13"/>
  <c r="P704" i="13"/>
  <c r="P667" i="13" s="1"/>
  <c r="I704" i="13"/>
  <c r="H704" i="13"/>
  <c r="G704" i="13"/>
  <c r="F704" i="13"/>
  <c r="E704" i="13"/>
  <c r="N704" i="13"/>
  <c r="C707" i="13" l="1"/>
  <c r="D704" i="13"/>
  <c r="C704" i="13" s="1"/>
  <c r="C706" i="13"/>
  <c r="C306" i="13"/>
  <c r="C714" i="13"/>
  <c r="C705" i="13"/>
  <c r="C713" i="13"/>
  <c r="C712" i="13"/>
  <c r="C711" i="13"/>
  <c r="C710" i="13"/>
  <c r="C709" i="13"/>
  <c r="C708" i="13"/>
  <c r="N703" i="13"/>
  <c r="D703" i="13"/>
  <c r="N702" i="13"/>
  <c r="D702" i="13"/>
  <c r="N701" i="13"/>
  <c r="D701" i="13"/>
  <c r="C703" i="13" l="1"/>
  <c r="C701" i="13"/>
  <c r="C702" i="13"/>
  <c r="I700" i="13"/>
  <c r="H700" i="13"/>
  <c r="G700" i="13"/>
  <c r="F700" i="13"/>
  <c r="E700" i="13"/>
  <c r="R700" i="13"/>
  <c r="N700" i="13"/>
  <c r="N699" i="13"/>
  <c r="D699" i="13"/>
  <c r="N698" i="13"/>
  <c r="D698" i="13"/>
  <c r="R697" i="13"/>
  <c r="N697" i="13"/>
  <c r="I697" i="13"/>
  <c r="F697" i="13"/>
  <c r="E697" i="13"/>
  <c r="H697" i="13"/>
  <c r="G697" i="13"/>
  <c r="C698" i="13" l="1"/>
  <c r="D700" i="13"/>
  <c r="C700" i="13" s="1"/>
  <c r="C699" i="13"/>
  <c r="D697" i="13"/>
  <c r="C697" i="13" s="1"/>
  <c r="N696" i="13" l="1"/>
  <c r="U696" i="13" s="1"/>
  <c r="D696" i="13"/>
  <c r="N695" i="13"/>
  <c r="U695" i="13" s="1"/>
  <c r="D695" i="13"/>
  <c r="N694" i="13"/>
  <c r="U694" i="13" s="1"/>
  <c r="D694" i="13"/>
  <c r="U715" i="13"/>
  <c r="U714" i="13"/>
  <c r="U713" i="13"/>
  <c r="U306" i="13"/>
  <c r="U712" i="13"/>
  <c r="U711" i="13"/>
  <c r="U710" i="13"/>
  <c r="U709" i="13"/>
  <c r="U708" i="13"/>
  <c r="U707" i="13"/>
  <c r="U706" i="13"/>
  <c r="U705" i="13"/>
  <c r="U704" i="13"/>
  <c r="U703" i="13"/>
  <c r="U702" i="13"/>
  <c r="U701" i="13"/>
  <c r="U700" i="13"/>
  <c r="U699" i="13"/>
  <c r="U698" i="13"/>
  <c r="U697" i="13"/>
  <c r="I693" i="13"/>
  <c r="H693" i="13"/>
  <c r="G693" i="13"/>
  <c r="F693" i="13"/>
  <c r="E693" i="13"/>
  <c r="E689" i="13"/>
  <c r="R693" i="13"/>
  <c r="N693" i="13"/>
  <c r="U693" i="13" s="1"/>
  <c r="N692" i="13"/>
  <c r="U692" i="13" s="1"/>
  <c r="D692" i="13"/>
  <c r="N691" i="13"/>
  <c r="U691" i="13" s="1"/>
  <c r="D691" i="13"/>
  <c r="N690" i="13"/>
  <c r="U690" i="13" s="1"/>
  <c r="D690" i="13"/>
  <c r="I689" i="13"/>
  <c r="H689" i="13"/>
  <c r="G689" i="13"/>
  <c r="F689" i="13"/>
  <c r="R689" i="13"/>
  <c r="R667" i="13" s="1"/>
  <c r="N689" i="13"/>
  <c r="U689" i="13" s="1"/>
  <c r="N688" i="13"/>
  <c r="U688" i="13" s="1"/>
  <c r="D688" i="13"/>
  <c r="N687" i="13"/>
  <c r="U687" i="13" s="1"/>
  <c r="D687" i="13"/>
  <c r="N686" i="13"/>
  <c r="U686" i="13" s="1"/>
  <c r="D686" i="13"/>
  <c r="N685" i="13"/>
  <c r="D685" i="13"/>
  <c r="N684" i="13"/>
  <c r="D684" i="13"/>
  <c r="N683" i="13"/>
  <c r="D683" i="13"/>
  <c r="N682" i="13"/>
  <c r="D682" i="13"/>
  <c r="N681" i="13"/>
  <c r="D681" i="13"/>
  <c r="N680" i="13"/>
  <c r="D680" i="13"/>
  <c r="C680" i="13" l="1"/>
  <c r="C685" i="13"/>
  <c r="C687" i="13"/>
  <c r="D693" i="13"/>
  <c r="C693" i="13" s="1"/>
  <c r="C682" i="13"/>
  <c r="C684" i="13"/>
  <c r="C686" i="13"/>
  <c r="F667" i="13"/>
  <c r="C690" i="13"/>
  <c r="C692" i="13"/>
  <c r="E667" i="13"/>
  <c r="I667" i="13"/>
  <c r="H667" i="13"/>
  <c r="G667" i="13"/>
  <c r="C691" i="13"/>
  <c r="C696" i="13"/>
  <c r="C695" i="13"/>
  <c r="C694" i="13"/>
  <c r="D689" i="13"/>
  <c r="C689" i="13" s="1"/>
  <c r="C688" i="13"/>
  <c r="C683" i="13"/>
  <c r="C681" i="13"/>
  <c r="N679" i="13"/>
  <c r="D679" i="13"/>
  <c r="C679" i="13" s="1"/>
  <c r="N678" i="13"/>
  <c r="D678" i="13"/>
  <c r="N677" i="13"/>
  <c r="D677" i="13"/>
  <c r="N676" i="13"/>
  <c r="D676" i="13"/>
  <c r="N675" i="13"/>
  <c r="D675" i="13"/>
  <c r="N674" i="13"/>
  <c r="D674" i="13"/>
  <c r="N673" i="13"/>
  <c r="D673" i="13"/>
  <c r="N672" i="13"/>
  <c r="D672" i="13"/>
  <c r="N671" i="13"/>
  <c r="D671" i="13"/>
  <c r="N670" i="13"/>
  <c r="D670" i="13"/>
  <c r="N669" i="13"/>
  <c r="D669" i="13"/>
  <c r="N668" i="13"/>
  <c r="D668" i="13"/>
  <c r="C677" i="13" l="1"/>
  <c r="C676" i="13"/>
  <c r="C670" i="13"/>
  <c r="C672" i="13"/>
  <c r="N667" i="13"/>
  <c r="C668" i="13"/>
  <c r="D667" i="13"/>
  <c r="C671" i="13"/>
  <c r="C678" i="13"/>
  <c r="C675" i="13"/>
  <c r="C674" i="13"/>
  <c r="C673" i="13"/>
  <c r="C669" i="13"/>
  <c r="R362" i="13"/>
  <c r="P362" i="13"/>
  <c r="N362" i="13"/>
  <c r="U362" i="13" s="1"/>
  <c r="D362" i="13"/>
  <c r="R361" i="13"/>
  <c r="P361" i="13"/>
  <c r="N361" i="13"/>
  <c r="U361" i="13" s="1"/>
  <c r="D361" i="13"/>
  <c r="I360" i="13"/>
  <c r="H360" i="13"/>
  <c r="G360" i="13"/>
  <c r="F360" i="13"/>
  <c r="E360" i="13"/>
  <c r="R360" i="13"/>
  <c r="P360" i="13"/>
  <c r="N360" i="13"/>
  <c r="U360" i="13" s="1"/>
  <c r="I359" i="13"/>
  <c r="H359" i="13"/>
  <c r="G359" i="13"/>
  <c r="F359" i="13"/>
  <c r="E359" i="13"/>
  <c r="R359" i="13"/>
  <c r="P359" i="13"/>
  <c r="N359" i="13"/>
  <c r="U359" i="13" s="1"/>
  <c r="R358" i="13"/>
  <c r="P358" i="13"/>
  <c r="N358" i="13"/>
  <c r="U358" i="13" s="1"/>
  <c r="D358" i="13"/>
  <c r="R357" i="13"/>
  <c r="P357" i="13"/>
  <c r="N357" i="13"/>
  <c r="U357" i="13" s="1"/>
  <c r="D357" i="13"/>
  <c r="N356" i="13"/>
  <c r="U356" i="13" s="1"/>
  <c r="R356" i="13"/>
  <c r="P356" i="13"/>
  <c r="D356" i="13"/>
  <c r="R355" i="13"/>
  <c r="P355" i="13"/>
  <c r="N355" i="13"/>
  <c r="U355" i="13" s="1"/>
  <c r="I355" i="13"/>
  <c r="H355" i="13"/>
  <c r="G355" i="13"/>
  <c r="F355" i="13"/>
  <c r="E355" i="13"/>
  <c r="R354" i="13"/>
  <c r="P354" i="13"/>
  <c r="N354" i="13"/>
  <c r="U354" i="13" s="1"/>
  <c r="I354" i="13"/>
  <c r="H354" i="13"/>
  <c r="G354" i="13"/>
  <c r="F354" i="13"/>
  <c r="E354" i="13"/>
  <c r="R353" i="13"/>
  <c r="P353" i="13"/>
  <c r="N353" i="13"/>
  <c r="U353" i="13" s="1"/>
  <c r="I353" i="13"/>
  <c r="H353" i="13"/>
  <c r="G353" i="13"/>
  <c r="F353" i="13"/>
  <c r="E353" i="13"/>
  <c r="P352" i="13"/>
  <c r="R352" i="13"/>
  <c r="N352" i="13"/>
  <c r="U352" i="13" s="1"/>
  <c r="I352" i="13"/>
  <c r="H352" i="13"/>
  <c r="G352" i="13"/>
  <c r="F352" i="13"/>
  <c r="E352" i="13"/>
  <c r="R351" i="13"/>
  <c r="P351" i="13"/>
  <c r="D351" i="13"/>
  <c r="R350" i="13"/>
  <c r="P350" i="13"/>
  <c r="D350" i="13"/>
  <c r="I349" i="13"/>
  <c r="H349" i="13"/>
  <c r="G349" i="13"/>
  <c r="F349" i="13"/>
  <c r="E349" i="13"/>
  <c r="N349" i="13"/>
  <c r="U349" i="13" s="1"/>
  <c r="R349" i="13"/>
  <c r="P349" i="13"/>
  <c r="I348" i="13"/>
  <c r="H348" i="13"/>
  <c r="G348" i="13"/>
  <c r="F348" i="13"/>
  <c r="E348" i="13"/>
  <c r="R348" i="13"/>
  <c r="P348" i="13"/>
  <c r="R346" i="13"/>
  <c r="P346" i="13"/>
  <c r="D346" i="13"/>
  <c r="N345" i="13"/>
  <c r="U345" i="13" s="1"/>
  <c r="D345" i="13"/>
  <c r="N344" i="13"/>
  <c r="U344" i="13" s="1"/>
  <c r="D354" i="13" l="1"/>
  <c r="C354" i="13" s="1"/>
  <c r="D349" i="13"/>
  <c r="C349" i="13" s="1"/>
  <c r="D355" i="13"/>
  <c r="C355" i="13" s="1"/>
  <c r="D359" i="13"/>
  <c r="C359" i="13" s="1"/>
  <c r="D360" i="13"/>
  <c r="C360" i="13" s="1"/>
  <c r="D352" i="13"/>
  <c r="C352" i="13" s="1"/>
  <c r="D353" i="13"/>
  <c r="C353" i="13" s="1"/>
  <c r="C356" i="13"/>
  <c r="C357" i="13"/>
  <c r="C667" i="13"/>
  <c r="C362" i="13"/>
  <c r="C361" i="13"/>
  <c r="C358" i="13"/>
  <c r="C351" i="13"/>
  <c r="C350" i="13"/>
  <c r="D348" i="13"/>
  <c r="C348" i="13" s="1"/>
  <c r="C346" i="13"/>
  <c r="C345" i="13"/>
  <c r="D344" i="13" l="1"/>
  <c r="C344" i="13" s="1"/>
  <c r="F343" i="13"/>
  <c r="D343" i="13" s="1"/>
  <c r="N342" i="13"/>
  <c r="U342" i="13" s="1"/>
  <c r="D342" i="13"/>
  <c r="N341" i="13"/>
  <c r="U341" i="13" s="1"/>
  <c r="D341" i="13"/>
  <c r="N340" i="13"/>
  <c r="U340" i="13" s="1"/>
  <c r="D340" i="13"/>
  <c r="I339" i="13"/>
  <c r="H339" i="13"/>
  <c r="G339" i="13"/>
  <c r="F339" i="13"/>
  <c r="E339" i="13"/>
  <c r="R339" i="13"/>
  <c r="P339" i="13"/>
  <c r="N339" i="13"/>
  <c r="U339" i="13" s="1"/>
  <c r="N338" i="13"/>
  <c r="D338" i="13"/>
  <c r="N337" i="13"/>
  <c r="U337" i="13" s="1"/>
  <c r="D337" i="13"/>
  <c r="P336" i="13"/>
  <c r="R336" i="13"/>
  <c r="N336" i="13"/>
  <c r="U336" i="13" s="1"/>
  <c r="I336" i="13"/>
  <c r="H336" i="13"/>
  <c r="G336" i="13"/>
  <c r="F336" i="13"/>
  <c r="E336" i="13"/>
  <c r="R335" i="13"/>
  <c r="D335" i="13"/>
  <c r="N335" i="13"/>
  <c r="U335" i="13" s="1"/>
  <c r="D336" i="13" l="1"/>
  <c r="C336" i="13" s="1"/>
  <c r="C341" i="13"/>
  <c r="C338" i="13"/>
  <c r="U338" i="13"/>
  <c r="C343" i="13"/>
  <c r="C342" i="13"/>
  <c r="C340" i="13"/>
  <c r="D339" i="13"/>
  <c r="C339" i="13" s="1"/>
  <c r="C337" i="13"/>
  <c r="C335" i="13"/>
  <c r="R334" i="13" l="1"/>
  <c r="N334" i="13"/>
  <c r="U334" i="13" s="1"/>
  <c r="D334" i="13"/>
  <c r="R333" i="13"/>
  <c r="N333" i="13"/>
  <c r="U333" i="13" s="1"/>
  <c r="D333" i="13"/>
  <c r="R332" i="13"/>
  <c r="N332" i="13"/>
  <c r="U332" i="13" s="1"/>
  <c r="D332" i="13"/>
  <c r="R329" i="13"/>
  <c r="N329" i="13"/>
  <c r="U329" i="13" s="1"/>
  <c r="I329" i="13"/>
  <c r="H329" i="13"/>
  <c r="G329" i="13"/>
  <c r="F329" i="13"/>
  <c r="E329" i="13"/>
  <c r="C332" i="13" l="1"/>
  <c r="C334" i="13"/>
  <c r="C333" i="13"/>
  <c r="D329" i="13"/>
  <c r="C329" i="13" s="1"/>
  <c r="R331" i="13"/>
  <c r="N331" i="13"/>
  <c r="U331" i="13" s="1"/>
  <c r="D331" i="13"/>
  <c r="P330" i="13"/>
  <c r="R330" i="13"/>
  <c r="D330" i="13"/>
  <c r="R328" i="13"/>
  <c r="N328" i="13"/>
  <c r="U328" i="13" s="1"/>
  <c r="D328" i="13"/>
  <c r="R327" i="13"/>
  <c r="N327" i="13"/>
  <c r="U327" i="13" s="1"/>
  <c r="D327" i="13"/>
  <c r="R326" i="13"/>
  <c r="N326" i="13"/>
  <c r="U326" i="13" s="1"/>
  <c r="D326" i="13"/>
  <c r="R325" i="13"/>
  <c r="N325" i="13"/>
  <c r="U325" i="13" s="1"/>
  <c r="D325" i="13"/>
  <c r="R324" i="13"/>
  <c r="N324" i="13"/>
  <c r="U324" i="13" s="1"/>
  <c r="D324" i="13"/>
  <c r="I323" i="13"/>
  <c r="H323" i="13"/>
  <c r="G323" i="13"/>
  <c r="F323" i="13"/>
  <c r="E323" i="13"/>
  <c r="R323" i="13"/>
  <c r="R322" i="13"/>
  <c r="N322" i="13"/>
  <c r="U322" i="13" s="1"/>
  <c r="D322" i="13"/>
  <c r="R321" i="13"/>
  <c r="N321" i="13"/>
  <c r="U321" i="13" s="1"/>
  <c r="D321" i="13"/>
  <c r="R320" i="13"/>
  <c r="N320" i="13"/>
  <c r="U320" i="13" s="1"/>
  <c r="D320" i="13"/>
  <c r="R319" i="13"/>
  <c r="N319" i="13"/>
  <c r="U319" i="13" s="1"/>
  <c r="D319" i="13"/>
  <c r="R318" i="13"/>
  <c r="N318" i="13"/>
  <c r="U318" i="13" s="1"/>
  <c r="D318" i="13"/>
  <c r="R317" i="13"/>
  <c r="N317" i="13"/>
  <c r="U317" i="13" s="1"/>
  <c r="D317" i="13"/>
  <c r="R316" i="13"/>
  <c r="N316" i="13"/>
  <c r="U316" i="13" s="1"/>
  <c r="D316" i="13"/>
  <c r="R315" i="13"/>
  <c r="N315" i="13"/>
  <c r="U315" i="13" s="1"/>
  <c r="D315" i="13"/>
  <c r="R314" i="13"/>
  <c r="N314" i="13"/>
  <c r="U314" i="13" s="1"/>
  <c r="D314" i="13"/>
  <c r="R313" i="13"/>
  <c r="N313" i="13"/>
  <c r="U313" i="13" s="1"/>
  <c r="D313" i="13"/>
  <c r="R312" i="13"/>
  <c r="N312" i="13"/>
  <c r="U312" i="13" s="1"/>
  <c r="D312" i="13"/>
  <c r="R311" i="13"/>
  <c r="N311" i="13"/>
  <c r="U311" i="13" s="1"/>
  <c r="D311" i="13"/>
  <c r="R310" i="13"/>
  <c r="N310" i="13"/>
  <c r="U310" i="13" s="1"/>
  <c r="D310" i="13"/>
  <c r="R309" i="13"/>
  <c r="N309" i="13"/>
  <c r="D309" i="13"/>
  <c r="I308" i="13"/>
  <c r="H308" i="13"/>
  <c r="G308" i="13"/>
  <c r="F308" i="13"/>
  <c r="E308" i="13"/>
  <c r="R308" i="13"/>
  <c r="I307" i="13"/>
  <c r="H307" i="13"/>
  <c r="G307" i="13"/>
  <c r="F307" i="13"/>
  <c r="E307" i="13"/>
  <c r="R307" i="13"/>
  <c r="N307" i="13"/>
  <c r="U307" i="13" s="1"/>
  <c r="R305" i="13"/>
  <c r="D305" i="13"/>
  <c r="R304" i="13"/>
  <c r="N304" i="13"/>
  <c r="U304" i="13" s="1"/>
  <c r="D304" i="13"/>
  <c r="I303" i="13"/>
  <c r="H303" i="13"/>
  <c r="G303" i="13"/>
  <c r="F303" i="13"/>
  <c r="E303" i="13"/>
  <c r="R303" i="13"/>
  <c r="I302" i="13"/>
  <c r="H302" i="13"/>
  <c r="G302" i="13"/>
  <c r="F302" i="13"/>
  <c r="E302" i="13"/>
  <c r="R302" i="13"/>
  <c r="I301" i="13"/>
  <c r="H301" i="13"/>
  <c r="G301" i="13"/>
  <c r="F301" i="13"/>
  <c r="E301" i="13"/>
  <c r="R301" i="13"/>
  <c r="N301" i="13"/>
  <c r="U301" i="13" s="1"/>
  <c r="I300" i="13"/>
  <c r="H300" i="13"/>
  <c r="G300" i="13"/>
  <c r="F300" i="13"/>
  <c r="E300" i="13"/>
  <c r="R300" i="13"/>
  <c r="I299" i="13"/>
  <c r="H299" i="13"/>
  <c r="G299" i="13"/>
  <c r="F299" i="13"/>
  <c r="E299" i="13"/>
  <c r="R299" i="13"/>
  <c r="N299" i="13"/>
  <c r="U299" i="13" s="1"/>
  <c r="I298" i="13"/>
  <c r="H298" i="13"/>
  <c r="G298" i="13"/>
  <c r="F298" i="13"/>
  <c r="E298" i="13"/>
  <c r="R298" i="13"/>
  <c r="N298" i="13"/>
  <c r="U298" i="13" s="1"/>
  <c r="R297" i="13"/>
  <c r="N297" i="13"/>
  <c r="U297" i="13" s="1"/>
  <c r="D297" i="13"/>
  <c r="R296" i="13"/>
  <c r="N296" i="13"/>
  <c r="U296" i="13" s="1"/>
  <c r="D296" i="13"/>
  <c r="I295" i="13"/>
  <c r="H295" i="13"/>
  <c r="G295" i="13"/>
  <c r="F295" i="13"/>
  <c r="E295" i="13"/>
  <c r="R295" i="13"/>
  <c r="N295" i="13"/>
  <c r="U295" i="13" s="1"/>
  <c r="I294" i="13"/>
  <c r="H294" i="13"/>
  <c r="G294" i="13"/>
  <c r="F294" i="13"/>
  <c r="E294" i="13"/>
  <c r="I293" i="13"/>
  <c r="H293" i="13"/>
  <c r="G293" i="13"/>
  <c r="F293" i="13"/>
  <c r="E293" i="13"/>
  <c r="R292" i="13"/>
  <c r="N292" i="13"/>
  <c r="U292" i="13" s="1"/>
  <c r="D292" i="13"/>
  <c r="R291" i="13"/>
  <c r="N291" i="13"/>
  <c r="D291" i="13"/>
  <c r="R290" i="13"/>
  <c r="N290" i="13"/>
  <c r="U290" i="13" s="1"/>
  <c r="D290" i="13"/>
  <c r="R289" i="13"/>
  <c r="N289" i="13"/>
  <c r="U289" i="13" s="1"/>
  <c r="D289" i="13"/>
  <c r="R288" i="13"/>
  <c r="N288" i="13"/>
  <c r="U288" i="13" s="1"/>
  <c r="D288" i="13"/>
  <c r="I287" i="13"/>
  <c r="H287" i="13"/>
  <c r="G287" i="13"/>
  <c r="F287" i="13"/>
  <c r="E287" i="13"/>
  <c r="R287" i="13"/>
  <c r="P287" i="13"/>
  <c r="N286" i="13"/>
  <c r="U286" i="13" s="1"/>
  <c r="D286" i="13"/>
  <c r="R285" i="13"/>
  <c r="P285" i="13"/>
  <c r="I285" i="13"/>
  <c r="H285" i="13"/>
  <c r="G285" i="13"/>
  <c r="F285" i="13"/>
  <c r="E285" i="13"/>
  <c r="R284" i="13"/>
  <c r="N284" i="13"/>
  <c r="U284" i="13" s="1"/>
  <c r="D284" i="13"/>
  <c r="N283" i="13"/>
  <c r="U283" i="13" s="1"/>
  <c r="D283" i="13"/>
  <c r="N282" i="13"/>
  <c r="U282" i="13" s="1"/>
  <c r="V282" i="13" s="1"/>
  <c r="D282" i="13"/>
  <c r="I281" i="13"/>
  <c r="H281" i="13"/>
  <c r="G281" i="13"/>
  <c r="F281" i="13"/>
  <c r="E281" i="13"/>
  <c r="R281" i="13"/>
  <c r="R280" i="13"/>
  <c r="I280" i="13"/>
  <c r="H280" i="13"/>
  <c r="G280" i="13"/>
  <c r="F280" i="13"/>
  <c r="E280" i="13"/>
  <c r="N279" i="13"/>
  <c r="U279" i="13" s="1"/>
  <c r="V279" i="13" s="1"/>
  <c r="D279" i="13"/>
  <c r="R278" i="13"/>
  <c r="N278" i="13"/>
  <c r="U278" i="13" s="1"/>
  <c r="D278" i="13"/>
  <c r="N277" i="13"/>
  <c r="U277" i="13" s="1"/>
  <c r="V277" i="13" s="1"/>
  <c r="D277" i="13"/>
  <c r="N276" i="13"/>
  <c r="U276" i="13" s="1"/>
  <c r="D276" i="13"/>
  <c r="I275" i="13"/>
  <c r="H275" i="13"/>
  <c r="G275" i="13"/>
  <c r="F275" i="13"/>
  <c r="E275" i="13"/>
  <c r="I274" i="13"/>
  <c r="H274" i="13"/>
  <c r="G274" i="13"/>
  <c r="F274" i="13"/>
  <c r="E274" i="13"/>
  <c r="I273" i="13"/>
  <c r="H273" i="13"/>
  <c r="G273" i="13"/>
  <c r="F273" i="13"/>
  <c r="E273" i="13"/>
  <c r="N272" i="13"/>
  <c r="U272" i="13" s="1"/>
  <c r="P271" i="13"/>
  <c r="I271" i="13"/>
  <c r="H271" i="13"/>
  <c r="G271" i="13"/>
  <c r="F271" i="13"/>
  <c r="E271" i="13"/>
  <c r="D270" i="13"/>
  <c r="N271" i="13"/>
  <c r="N270" i="13"/>
  <c r="N269" i="13"/>
  <c r="D269" i="13"/>
  <c r="R268" i="13"/>
  <c r="D268" i="13"/>
  <c r="R267" i="13"/>
  <c r="N267" i="13"/>
  <c r="U267" i="13" s="1"/>
  <c r="D267" i="13"/>
  <c r="R266" i="13"/>
  <c r="I266" i="13"/>
  <c r="H266" i="13"/>
  <c r="G266" i="13"/>
  <c r="F266" i="13"/>
  <c r="E266" i="13"/>
  <c r="N265" i="13"/>
  <c r="U265" i="13" s="1"/>
  <c r="D265" i="13"/>
  <c r="R264" i="13"/>
  <c r="I264" i="13"/>
  <c r="H264" i="13"/>
  <c r="G264" i="13"/>
  <c r="F264" i="13"/>
  <c r="E264" i="13"/>
  <c r="R263" i="13"/>
  <c r="I263" i="13"/>
  <c r="H263" i="13"/>
  <c r="G263" i="13"/>
  <c r="F263" i="13"/>
  <c r="E263" i="13"/>
  <c r="R262" i="13"/>
  <c r="I262" i="13"/>
  <c r="H262" i="13"/>
  <c r="G262" i="13"/>
  <c r="F262" i="13"/>
  <c r="E262" i="13"/>
  <c r="N261" i="13"/>
  <c r="D261" i="13"/>
  <c r="I260" i="13"/>
  <c r="H260" i="13"/>
  <c r="G260" i="13"/>
  <c r="F260" i="13"/>
  <c r="E260" i="13"/>
  <c r="I259" i="13"/>
  <c r="H259" i="13"/>
  <c r="G259" i="13"/>
  <c r="F259" i="13"/>
  <c r="E259" i="13"/>
  <c r="R258" i="13"/>
  <c r="I258" i="13"/>
  <c r="H258" i="13"/>
  <c r="G258" i="13"/>
  <c r="F258" i="13"/>
  <c r="E258" i="13"/>
  <c r="R257" i="13"/>
  <c r="I257" i="13"/>
  <c r="H257" i="13"/>
  <c r="G257" i="13"/>
  <c r="F257" i="13"/>
  <c r="E257" i="13"/>
  <c r="U271" i="13"/>
  <c r="U270" i="13"/>
  <c r="U269" i="13"/>
  <c r="U268" i="13"/>
  <c r="V268" i="13" s="1"/>
  <c r="U266" i="13"/>
  <c r="V266" i="13" s="1"/>
  <c r="U264" i="13"/>
  <c r="V264" i="13" s="1"/>
  <c r="U263" i="13"/>
  <c r="V263" i="13" s="1"/>
  <c r="U262" i="13"/>
  <c r="V262" i="13" s="1"/>
  <c r="U261" i="13"/>
  <c r="U260" i="13"/>
  <c r="U259" i="13"/>
  <c r="U258" i="13"/>
  <c r="V258" i="13" s="1"/>
  <c r="U257" i="13"/>
  <c r="V257" i="13" s="1"/>
  <c r="U256" i="13"/>
  <c r="U255" i="13"/>
  <c r="V255" i="13" s="1"/>
  <c r="U254" i="13"/>
  <c r="V254" i="13" s="1"/>
  <c r="I256" i="13"/>
  <c r="H256" i="13"/>
  <c r="G256" i="13"/>
  <c r="F256" i="13"/>
  <c r="E256" i="13"/>
  <c r="I255" i="13"/>
  <c r="H255" i="13"/>
  <c r="G255" i="13"/>
  <c r="F255" i="13"/>
  <c r="E255" i="13"/>
  <c r="I254" i="13"/>
  <c r="H254" i="13"/>
  <c r="G254" i="13"/>
  <c r="F254" i="13"/>
  <c r="E254" i="13"/>
  <c r="D253" i="13"/>
  <c r="R255" i="13"/>
  <c r="R254" i="13"/>
  <c r="R253" i="13"/>
  <c r="D272" i="13"/>
  <c r="D252" i="13"/>
  <c r="D251" i="13"/>
  <c r="N253" i="13"/>
  <c r="U253" i="13" s="1"/>
  <c r="V253" i="13" s="1"/>
  <c r="N252" i="13"/>
  <c r="N251" i="13"/>
  <c r="V283" i="13"/>
  <c r="V280" i="13"/>
  <c r="T1066" i="13"/>
  <c r="S1066" i="13"/>
  <c r="Q1066" i="13"/>
  <c r="P1066" i="13"/>
  <c r="O1066" i="13"/>
  <c r="M1066" i="13"/>
  <c r="L1066" i="13"/>
  <c r="K1066" i="13"/>
  <c r="J1066" i="13"/>
  <c r="I1066" i="13"/>
  <c r="H1066" i="13"/>
  <c r="G1066" i="13"/>
  <c r="F1066" i="13"/>
  <c r="R1068" i="13"/>
  <c r="R1067" i="13"/>
  <c r="N1068" i="13"/>
  <c r="U1068" i="13" s="1"/>
  <c r="N1067" i="13"/>
  <c r="U1067" i="13" s="1"/>
  <c r="E1068" i="13"/>
  <c r="D1068" i="13" s="1"/>
  <c r="E1067" i="13"/>
  <c r="D1067" i="13" s="1"/>
  <c r="T1062" i="13"/>
  <c r="S1062" i="13"/>
  <c r="Q1062" i="13"/>
  <c r="P1062" i="13"/>
  <c r="O1062" i="13"/>
  <c r="M1062" i="13"/>
  <c r="L1062" i="13"/>
  <c r="K1062" i="13"/>
  <c r="J1062" i="13"/>
  <c r="I1062" i="13"/>
  <c r="H1062" i="13"/>
  <c r="G1062" i="13"/>
  <c r="F1062" i="13"/>
  <c r="E1065" i="13"/>
  <c r="D1065" i="13" s="1"/>
  <c r="E1064" i="13"/>
  <c r="D1064" i="13" s="1"/>
  <c r="E1063" i="13"/>
  <c r="D1063" i="13" s="1"/>
  <c r="R1065" i="13"/>
  <c r="R1064" i="13"/>
  <c r="R1063" i="13"/>
  <c r="N1065" i="13"/>
  <c r="U1065" i="13" s="1"/>
  <c r="N1064" i="13"/>
  <c r="U1064" i="13" s="1"/>
  <c r="N1063" i="13"/>
  <c r="T1059" i="13"/>
  <c r="S1059" i="13"/>
  <c r="Q1059" i="13"/>
  <c r="O1059" i="13"/>
  <c r="M1059" i="13"/>
  <c r="L1059" i="13"/>
  <c r="K1059" i="13"/>
  <c r="J1059" i="13"/>
  <c r="I1059" i="13"/>
  <c r="H1059" i="13"/>
  <c r="P1061" i="13"/>
  <c r="P1059" i="13" s="1"/>
  <c r="G1061" i="13"/>
  <c r="F1061" i="13"/>
  <c r="E1061" i="13"/>
  <c r="G1060" i="13"/>
  <c r="F1060" i="13"/>
  <c r="E1060" i="13"/>
  <c r="R1061" i="13"/>
  <c r="R1060" i="13"/>
  <c r="N1061" i="13"/>
  <c r="U1061" i="13" s="1"/>
  <c r="N1060" i="13"/>
  <c r="T1057" i="13"/>
  <c r="S1057" i="13"/>
  <c r="Q1057" i="13"/>
  <c r="P1057" i="13"/>
  <c r="O1057" i="13"/>
  <c r="M1057" i="13"/>
  <c r="L1057" i="13"/>
  <c r="K1057" i="13"/>
  <c r="J1057" i="13"/>
  <c r="H1057" i="13"/>
  <c r="F1057" i="13"/>
  <c r="E1058" i="13"/>
  <c r="R1058" i="13"/>
  <c r="R1057" i="13" s="1"/>
  <c r="N1058" i="13"/>
  <c r="U1058" i="13" s="1"/>
  <c r="I1058" i="13"/>
  <c r="I1057" i="13" s="1"/>
  <c r="G1058" i="13"/>
  <c r="G1057" i="13" s="1"/>
  <c r="T1054" i="13"/>
  <c r="S1054" i="13"/>
  <c r="Q1054" i="13"/>
  <c r="P1054" i="13"/>
  <c r="O1054" i="13"/>
  <c r="M1054" i="13"/>
  <c r="L1054" i="13"/>
  <c r="K1054" i="13"/>
  <c r="J1054" i="13"/>
  <c r="I1054" i="13"/>
  <c r="H1054" i="13"/>
  <c r="G1054" i="13"/>
  <c r="F1054" i="13"/>
  <c r="E1056" i="13"/>
  <c r="D1056" i="13" s="1"/>
  <c r="R1056" i="13"/>
  <c r="R1055" i="13"/>
  <c r="N1056" i="13"/>
  <c r="U1056" i="13" s="1"/>
  <c r="N1055" i="13"/>
  <c r="U1055" i="13" s="1"/>
  <c r="E1055" i="13"/>
  <c r="C279" i="13" l="1"/>
  <c r="F1059" i="13"/>
  <c r="C1067" i="13"/>
  <c r="C252" i="13"/>
  <c r="H250" i="13"/>
  <c r="E1054" i="13"/>
  <c r="N1057" i="13"/>
  <c r="P250" i="13"/>
  <c r="C291" i="13"/>
  <c r="U291" i="13"/>
  <c r="U251" i="13"/>
  <c r="N250" i="13"/>
  <c r="C309" i="13"/>
  <c r="U309" i="13"/>
  <c r="G1059" i="13"/>
  <c r="F250" i="13"/>
  <c r="C270" i="13"/>
  <c r="U252" i="13"/>
  <c r="G250" i="13"/>
  <c r="D257" i="13"/>
  <c r="C257" i="13" s="1"/>
  <c r="C311" i="13"/>
  <c r="R250" i="13"/>
  <c r="E250" i="13"/>
  <c r="I250" i="13"/>
  <c r="C283" i="13"/>
  <c r="C292" i="13"/>
  <c r="C296" i="13"/>
  <c r="C315" i="13"/>
  <c r="C321" i="13"/>
  <c r="C251" i="13"/>
  <c r="C322" i="13"/>
  <c r="C325" i="13"/>
  <c r="C331" i="13"/>
  <c r="D1062" i="13"/>
  <c r="C253" i="13"/>
  <c r="C312" i="13"/>
  <c r="C320" i="13"/>
  <c r="C330" i="13"/>
  <c r="C328" i="13"/>
  <c r="C327" i="13"/>
  <c r="C326" i="13"/>
  <c r="C324" i="13"/>
  <c r="D323" i="13"/>
  <c r="C323" i="13" s="1"/>
  <c r="C319" i="13"/>
  <c r="C318" i="13"/>
  <c r="C317" i="13"/>
  <c r="C316" i="13"/>
  <c r="C314" i="13"/>
  <c r="C313" i="13"/>
  <c r="C310" i="13"/>
  <c r="D308" i="13"/>
  <c r="C308" i="13" s="1"/>
  <c r="D307" i="13"/>
  <c r="C307" i="13" s="1"/>
  <c r="C305" i="13"/>
  <c r="C304" i="13"/>
  <c r="D303" i="13"/>
  <c r="C303" i="13" s="1"/>
  <c r="D302" i="13"/>
  <c r="C302" i="13" s="1"/>
  <c r="D301" i="13"/>
  <c r="C301" i="13" s="1"/>
  <c r="D300" i="13"/>
  <c r="C300" i="13" s="1"/>
  <c r="D299" i="13"/>
  <c r="C299" i="13" s="1"/>
  <c r="D298" i="13"/>
  <c r="C298" i="13" s="1"/>
  <c r="C297" i="13"/>
  <c r="D295" i="13"/>
  <c r="C295" i="13" s="1"/>
  <c r="D294" i="13"/>
  <c r="C294" i="13" s="1"/>
  <c r="D293" i="13"/>
  <c r="C293" i="13" s="1"/>
  <c r="C290" i="13"/>
  <c r="C289" i="13"/>
  <c r="C288" i="13"/>
  <c r="D287" i="13"/>
  <c r="C287" i="13" s="1"/>
  <c r="C286" i="13"/>
  <c r="D285" i="13"/>
  <c r="C285" i="13" s="1"/>
  <c r="C284" i="13"/>
  <c r="C282" i="13"/>
  <c r="D281" i="13"/>
  <c r="C281" i="13" s="1"/>
  <c r="D280" i="13"/>
  <c r="C280" i="13" s="1"/>
  <c r="C278" i="13"/>
  <c r="C277" i="13"/>
  <c r="C276" i="13"/>
  <c r="D275" i="13"/>
  <c r="C275" i="13" s="1"/>
  <c r="D274" i="13"/>
  <c r="C274" i="13" s="1"/>
  <c r="D273" i="13"/>
  <c r="C273" i="13" s="1"/>
  <c r="C272" i="13"/>
  <c r="D271" i="13"/>
  <c r="C271" i="13" s="1"/>
  <c r="C269" i="13"/>
  <c r="C268" i="13"/>
  <c r="C267" i="13"/>
  <c r="D266" i="13"/>
  <c r="C266" i="13" s="1"/>
  <c r="C265" i="13"/>
  <c r="D264" i="13"/>
  <c r="C264" i="13" s="1"/>
  <c r="D263" i="13"/>
  <c r="C263" i="13" s="1"/>
  <c r="D262" i="13"/>
  <c r="C262" i="13" s="1"/>
  <c r="C261" i="13"/>
  <c r="D260" i="13"/>
  <c r="C260" i="13" s="1"/>
  <c r="D259" i="13"/>
  <c r="C259" i="13" s="1"/>
  <c r="D258" i="13"/>
  <c r="C258" i="13" s="1"/>
  <c r="D256" i="13"/>
  <c r="C256" i="13" s="1"/>
  <c r="D255" i="13"/>
  <c r="C255" i="13" s="1"/>
  <c r="D254" i="13"/>
  <c r="C254" i="13" s="1"/>
  <c r="R1054" i="13"/>
  <c r="N1059" i="13"/>
  <c r="E1059" i="13"/>
  <c r="D1061" i="13"/>
  <c r="C1061" i="13" s="1"/>
  <c r="E1062" i="13"/>
  <c r="N1066" i="13"/>
  <c r="D1055" i="13"/>
  <c r="C1055" i="13" s="1"/>
  <c r="N1062" i="13"/>
  <c r="U1063" i="13"/>
  <c r="N1054" i="13"/>
  <c r="R1059" i="13"/>
  <c r="R1062" i="13"/>
  <c r="C1064" i="13"/>
  <c r="R1066" i="13"/>
  <c r="U1060" i="13"/>
  <c r="D1058" i="13"/>
  <c r="E1066" i="13"/>
  <c r="E1057" i="13"/>
  <c r="D1066" i="13"/>
  <c r="C1065" i="13"/>
  <c r="C1068" i="13"/>
  <c r="C1063" i="13"/>
  <c r="D1060" i="13"/>
  <c r="C1056" i="13"/>
  <c r="T1051" i="13"/>
  <c r="S1051" i="13"/>
  <c r="Q1051" i="13"/>
  <c r="P1051" i="13"/>
  <c r="O1051" i="13"/>
  <c r="N1051" i="13"/>
  <c r="M1051" i="13"/>
  <c r="L1051" i="13"/>
  <c r="K1051" i="13"/>
  <c r="J1051" i="13"/>
  <c r="H1051" i="13"/>
  <c r="F1051" i="13"/>
  <c r="I1053" i="13"/>
  <c r="G1053" i="13"/>
  <c r="E1053" i="13"/>
  <c r="I1052" i="13"/>
  <c r="G1052" i="13"/>
  <c r="E1052" i="13"/>
  <c r="R1053" i="13"/>
  <c r="R1052" i="13"/>
  <c r="T1031" i="13"/>
  <c r="S1031" i="13"/>
  <c r="Q1031" i="13"/>
  <c r="O1031" i="13"/>
  <c r="M1031" i="13"/>
  <c r="K1031" i="13"/>
  <c r="J1031" i="13"/>
  <c r="N1050" i="13"/>
  <c r="I1049" i="13"/>
  <c r="H1049" i="13"/>
  <c r="G1049" i="13"/>
  <c r="D1050" i="13" s="1"/>
  <c r="F1049" i="13"/>
  <c r="E1049" i="13"/>
  <c r="N1049" i="13"/>
  <c r="N1048" i="13"/>
  <c r="I1048" i="13"/>
  <c r="H1048" i="13"/>
  <c r="G1048" i="13"/>
  <c r="F1048" i="13"/>
  <c r="E1048" i="13"/>
  <c r="I1047" i="13"/>
  <c r="H1047" i="13"/>
  <c r="G1047" i="13"/>
  <c r="F1047" i="13"/>
  <c r="E1047" i="13"/>
  <c r="N1045" i="13"/>
  <c r="D1045" i="13"/>
  <c r="I1044" i="13"/>
  <c r="H1044" i="13"/>
  <c r="G1044" i="13"/>
  <c r="F1044" i="13"/>
  <c r="E1044" i="13"/>
  <c r="R1044" i="13"/>
  <c r="I1043" i="13"/>
  <c r="H1043" i="13"/>
  <c r="G1043" i="13"/>
  <c r="F1043" i="13"/>
  <c r="E1043" i="13"/>
  <c r="I1042" i="13"/>
  <c r="H1042" i="13"/>
  <c r="G1042" i="13"/>
  <c r="F1042" i="13"/>
  <c r="E1042" i="13"/>
  <c r="N1041" i="13"/>
  <c r="D1041" i="13"/>
  <c r="P1040" i="13"/>
  <c r="N1040" i="13"/>
  <c r="I1040" i="13"/>
  <c r="H1040" i="13"/>
  <c r="G1040" i="13"/>
  <c r="F1040" i="13"/>
  <c r="E1040" i="13"/>
  <c r="I1039" i="13"/>
  <c r="H1039" i="13"/>
  <c r="G1039" i="13"/>
  <c r="F1039" i="13"/>
  <c r="E1039" i="13"/>
  <c r="N1039" i="13"/>
  <c r="N1038" i="13"/>
  <c r="I1038" i="13"/>
  <c r="H1038" i="13"/>
  <c r="G1038" i="13"/>
  <c r="F1038" i="13"/>
  <c r="E1038" i="13"/>
  <c r="I1037" i="13"/>
  <c r="H1037" i="13"/>
  <c r="G1037" i="13"/>
  <c r="F1037" i="13"/>
  <c r="E1037" i="13"/>
  <c r="N1037" i="13"/>
  <c r="N1036" i="13"/>
  <c r="I1036" i="13"/>
  <c r="H1036" i="13"/>
  <c r="G1036" i="13"/>
  <c r="F1036" i="13"/>
  <c r="E1036" i="13"/>
  <c r="R1050" i="13"/>
  <c r="R1049" i="13"/>
  <c r="R1048" i="13"/>
  <c r="R1047" i="13"/>
  <c r="R1046" i="13"/>
  <c r="R1043" i="13"/>
  <c r="R1040" i="13"/>
  <c r="R1039" i="13"/>
  <c r="R1038" i="13"/>
  <c r="R1037" i="13"/>
  <c r="R1036" i="13"/>
  <c r="N1046" i="13"/>
  <c r="I1046" i="13"/>
  <c r="H1046" i="13"/>
  <c r="G1046" i="13"/>
  <c r="F1046" i="13"/>
  <c r="E1046" i="13"/>
  <c r="L1035" i="13"/>
  <c r="L1034" i="13"/>
  <c r="L1033" i="13"/>
  <c r="L1032" i="13"/>
  <c r="D1035" i="13"/>
  <c r="C1035" i="13" s="1"/>
  <c r="D1034" i="13"/>
  <c r="C1034" i="13" s="1"/>
  <c r="D1033" i="13"/>
  <c r="C1033" i="13" s="1"/>
  <c r="E666" i="13"/>
  <c r="D666" i="13" s="1"/>
  <c r="E665" i="13"/>
  <c r="R666" i="13"/>
  <c r="R665" i="13"/>
  <c r="N666" i="13"/>
  <c r="U666" i="13" s="1"/>
  <c r="N665" i="13"/>
  <c r="T661" i="13"/>
  <c r="S661" i="13"/>
  <c r="Q661" i="13"/>
  <c r="P661" i="13"/>
  <c r="O661" i="13"/>
  <c r="M661" i="13"/>
  <c r="L661" i="13"/>
  <c r="K661" i="13"/>
  <c r="J661" i="13"/>
  <c r="I661" i="13"/>
  <c r="H661" i="13"/>
  <c r="G661" i="13"/>
  <c r="F661" i="13"/>
  <c r="E663" i="13"/>
  <c r="D663" i="13" s="1"/>
  <c r="R663" i="13"/>
  <c r="R662" i="13"/>
  <c r="N663" i="13"/>
  <c r="U663" i="13" s="1"/>
  <c r="N662" i="13"/>
  <c r="U685" i="13"/>
  <c r="U684" i="13"/>
  <c r="U683" i="13"/>
  <c r="U682" i="13"/>
  <c r="U681" i="13"/>
  <c r="U680" i="13"/>
  <c r="U679" i="13"/>
  <c r="U678" i="13"/>
  <c r="U677" i="13"/>
  <c r="U676" i="13"/>
  <c r="U675" i="13"/>
  <c r="U674" i="13"/>
  <c r="U673" i="13"/>
  <c r="U672" i="13"/>
  <c r="U671" i="13"/>
  <c r="U670" i="13"/>
  <c r="U669" i="13"/>
  <c r="U668" i="13"/>
  <c r="E662" i="13"/>
  <c r="D662" i="13" s="1"/>
  <c r="T659" i="13"/>
  <c r="S659" i="13"/>
  <c r="Q659" i="13"/>
  <c r="P659" i="13"/>
  <c r="O659" i="13"/>
  <c r="N659" i="13"/>
  <c r="M659" i="13"/>
  <c r="L659" i="13"/>
  <c r="K659" i="13"/>
  <c r="J659" i="13"/>
  <c r="I659" i="13"/>
  <c r="H659" i="13"/>
  <c r="F659" i="13"/>
  <c r="R660" i="13"/>
  <c r="R659" i="13" s="1"/>
  <c r="G660" i="13"/>
  <c r="G659" i="13" s="1"/>
  <c r="E660" i="13"/>
  <c r="E659" i="13" s="1"/>
  <c r="T657" i="13"/>
  <c r="S657" i="13"/>
  <c r="Q657" i="13"/>
  <c r="P657" i="13"/>
  <c r="O657" i="13"/>
  <c r="M657" i="13"/>
  <c r="L657" i="13"/>
  <c r="K657" i="13"/>
  <c r="J657" i="13"/>
  <c r="I657" i="13"/>
  <c r="H657" i="13"/>
  <c r="F657" i="13"/>
  <c r="R658" i="13"/>
  <c r="R657" i="13" s="1"/>
  <c r="N658" i="13"/>
  <c r="U658" i="13" s="1"/>
  <c r="G658" i="13"/>
  <c r="G657" i="13" s="1"/>
  <c r="E658" i="13"/>
  <c r="E657" i="13" s="1"/>
  <c r="T654" i="13"/>
  <c r="S654" i="13"/>
  <c r="Q654" i="13"/>
  <c r="P654" i="13"/>
  <c r="O654" i="13"/>
  <c r="M654" i="13"/>
  <c r="L654" i="13"/>
  <c r="K654" i="13"/>
  <c r="J654" i="13"/>
  <c r="H654" i="13"/>
  <c r="F654" i="13"/>
  <c r="I656" i="13"/>
  <c r="G656" i="13"/>
  <c r="E656" i="13"/>
  <c r="R656" i="13"/>
  <c r="R655" i="13"/>
  <c r="N656" i="13"/>
  <c r="U656" i="13" s="1"/>
  <c r="N655" i="13"/>
  <c r="U655" i="13" s="1"/>
  <c r="I655" i="13"/>
  <c r="G655" i="13"/>
  <c r="E655" i="13"/>
  <c r="T652" i="13"/>
  <c r="S652" i="13"/>
  <c r="Q652" i="13"/>
  <c r="O652" i="13"/>
  <c r="N652" i="13"/>
  <c r="M652" i="13"/>
  <c r="L652" i="13"/>
  <c r="K652" i="13"/>
  <c r="J652" i="13"/>
  <c r="R653" i="13"/>
  <c r="R652" i="13" s="1"/>
  <c r="P653" i="13"/>
  <c r="P652" i="13" s="1"/>
  <c r="I653" i="13"/>
  <c r="I652" i="13" s="1"/>
  <c r="H653" i="13"/>
  <c r="H652" i="13" s="1"/>
  <c r="G653" i="13"/>
  <c r="G652" i="13" s="1"/>
  <c r="F653" i="13"/>
  <c r="F652" i="13" s="1"/>
  <c r="E653" i="13"/>
  <c r="E652" i="13" s="1"/>
  <c r="T649" i="13"/>
  <c r="S649" i="13"/>
  <c r="Q649" i="13"/>
  <c r="P649" i="13"/>
  <c r="O649" i="13"/>
  <c r="M649" i="13"/>
  <c r="L649" i="13"/>
  <c r="K649" i="13"/>
  <c r="J649" i="13"/>
  <c r="H649" i="13"/>
  <c r="F649" i="13"/>
  <c r="I651" i="13"/>
  <c r="G651" i="13"/>
  <c r="E651" i="13"/>
  <c r="R651" i="13"/>
  <c r="R650" i="13"/>
  <c r="N651" i="13"/>
  <c r="U651" i="13" s="1"/>
  <c r="N650" i="13"/>
  <c r="I650" i="13"/>
  <c r="G650" i="13"/>
  <c r="E650" i="13"/>
  <c r="U660" i="13"/>
  <c r="U653" i="13"/>
  <c r="U639" i="13"/>
  <c r="U634" i="13"/>
  <c r="T630" i="13"/>
  <c r="S630" i="13"/>
  <c r="Q630" i="13"/>
  <c r="O630" i="13"/>
  <c r="M630" i="13"/>
  <c r="L630" i="13"/>
  <c r="K630" i="13"/>
  <c r="J630" i="13"/>
  <c r="I648" i="13"/>
  <c r="H648" i="13"/>
  <c r="G648" i="13"/>
  <c r="F648" i="13"/>
  <c r="E648" i="13"/>
  <c r="I647" i="13"/>
  <c r="H647" i="13"/>
  <c r="G647" i="13"/>
  <c r="F647" i="13"/>
  <c r="E647" i="13"/>
  <c r="I646" i="13"/>
  <c r="H646" i="13"/>
  <c r="G646" i="13"/>
  <c r="F646" i="13"/>
  <c r="E646" i="13"/>
  <c r="R645" i="13"/>
  <c r="P645" i="13"/>
  <c r="N645" i="13"/>
  <c r="U645" i="13" s="1"/>
  <c r="E664" i="13" l="1"/>
  <c r="C1066" i="13"/>
  <c r="D1053" i="13"/>
  <c r="C1053" i="13" s="1"/>
  <c r="N649" i="13"/>
  <c r="N661" i="13"/>
  <c r="R664" i="13"/>
  <c r="C250" i="13"/>
  <c r="U665" i="13"/>
  <c r="N664" i="13"/>
  <c r="I649" i="13"/>
  <c r="N657" i="13"/>
  <c r="D250" i="13"/>
  <c r="R661" i="13"/>
  <c r="R1051" i="13"/>
  <c r="C1054" i="13"/>
  <c r="G649" i="13"/>
  <c r="I654" i="13"/>
  <c r="G1051" i="13"/>
  <c r="D1052" i="13" s="1"/>
  <c r="D1051" i="13" s="1"/>
  <c r="I1051" i="13"/>
  <c r="U650" i="13"/>
  <c r="E649" i="13"/>
  <c r="U662" i="13"/>
  <c r="G654" i="13"/>
  <c r="R654" i="13"/>
  <c r="C662" i="13"/>
  <c r="L1031" i="13"/>
  <c r="H1031" i="13"/>
  <c r="E1051" i="13"/>
  <c r="R649" i="13"/>
  <c r="N654" i="13"/>
  <c r="D1054" i="13"/>
  <c r="D655" i="13"/>
  <c r="D660" i="13"/>
  <c r="C1060" i="13"/>
  <c r="C1059" i="13" s="1"/>
  <c r="D1059" i="13"/>
  <c r="E654" i="13"/>
  <c r="E661" i="13"/>
  <c r="C1062" i="13"/>
  <c r="C1058" i="13"/>
  <c r="C1057" i="13" s="1"/>
  <c r="D1057" i="13"/>
  <c r="D651" i="13"/>
  <c r="C651" i="13" s="1"/>
  <c r="D658" i="13"/>
  <c r="D657" i="13" s="1"/>
  <c r="D661" i="13"/>
  <c r="C1050" i="13"/>
  <c r="D1049" i="13"/>
  <c r="C1049" i="13" s="1"/>
  <c r="D1048" i="13"/>
  <c r="C1048" i="13" s="1"/>
  <c r="D1047" i="13"/>
  <c r="C1047" i="13" s="1"/>
  <c r="C1045" i="13"/>
  <c r="D1044" i="13"/>
  <c r="C1044" i="13" s="1"/>
  <c r="D1043" i="13"/>
  <c r="C1043" i="13" s="1"/>
  <c r="D1042" i="13"/>
  <c r="C1042" i="13" s="1"/>
  <c r="C1041" i="13"/>
  <c r="D1040" i="13"/>
  <c r="C1040" i="13" s="1"/>
  <c r="D1039" i="13"/>
  <c r="C1039" i="13" s="1"/>
  <c r="D1038" i="13"/>
  <c r="C1038" i="13" s="1"/>
  <c r="D1037" i="13"/>
  <c r="C1037" i="13" s="1"/>
  <c r="D1036" i="13"/>
  <c r="C1036" i="13" s="1"/>
  <c r="D1046" i="13"/>
  <c r="C1046" i="13" s="1"/>
  <c r="C666" i="13"/>
  <c r="C663" i="13"/>
  <c r="D656" i="13"/>
  <c r="C656" i="13" s="1"/>
  <c r="D653" i="13"/>
  <c r="D650" i="13"/>
  <c r="D648" i="13"/>
  <c r="D647" i="13"/>
  <c r="I645" i="13"/>
  <c r="H645" i="13"/>
  <c r="G645" i="13"/>
  <c r="D646" i="13" s="1"/>
  <c r="F645" i="13"/>
  <c r="E645" i="13"/>
  <c r="I644" i="13"/>
  <c r="H644" i="13"/>
  <c r="G644" i="13"/>
  <c r="F644" i="13"/>
  <c r="E644" i="13"/>
  <c r="I643" i="13"/>
  <c r="H643" i="13"/>
  <c r="G643" i="13"/>
  <c r="F643" i="13"/>
  <c r="E643" i="13"/>
  <c r="P642" i="13"/>
  <c r="I642" i="13"/>
  <c r="G642" i="13"/>
  <c r="F642" i="13"/>
  <c r="E642" i="13"/>
  <c r="C661" i="13" l="1"/>
  <c r="C1052" i="13"/>
  <c r="C1051" i="13" s="1"/>
  <c r="C658" i="13"/>
  <c r="C657" i="13" s="1"/>
  <c r="D645" i="13"/>
  <c r="C645" i="13" s="1"/>
  <c r="C650" i="13"/>
  <c r="C649" i="13" s="1"/>
  <c r="D649" i="13"/>
  <c r="C660" i="13"/>
  <c r="C659" i="13" s="1"/>
  <c r="D659" i="13"/>
  <c r="C653" i="13"/>
  <c r="C652" i="13" s="1"/>
  <c r="D652" i="13"/>
  <c r="C655" i="13"/>
  <c r="C654" i="13" s="1"/>
  <c r="D654" i="13"/>
  <c r="D644" i="13"/>
  <c r="D643" i="13"/>
  <c r="I641" i="13"/>
  <c r="H641" i="13"/>
  <c r="G641" i="13"/>
  <c r="D642" i="13" s="1"/>
  <c r="F641" i="13"/>
  <c r="E641" i="13"/>
  <c r="I640" i="13"/>
  <c r="H640" i="13"/>
  <c r="G640" i="13"/>
  <c r="F640" i="13"/>
  <c r="E640" i="13"/>
  <c r="P641" i="13"/>
  <c r="P639" i="13"/>
  <c r="I639" i="13"/>
  <c r="H639" i="13"/>
  <c r="G639" i="13"/>
  <c r="F639" i="13"/>
  <c r="E639" i="13"/>
  <c r="P638" i="13"/>
  <c r="I638" i="13"/>
  <c r="H638" i="13"/>
  <c r="G638" i="13"/>
  <c r="F638" i="13"/>
  <c r="E638" i="13"/>
  <c r="I637" i="13"/>
  <c r="H637" i="13"/>
  <c r="G637" i="13"/>
  <c r="F637" i="13"/>
  <c r="E637" i="13"/>
  <c r="N648" i="13"/>
  <c r="U648" i="13" s="1"/>
  <c r="N647" i="13"/>
  <c r="U647" i="13" s="1"/>
  <c r="N646" i="13"/>
  <c r="U646" i="13" s="1"/>
  <c r="N644" i="13"/>
  <c r="U644" i="13" s="1"/>
  <c r="N643" i="13"/>
  <c r="U643" i="13" s="1"/>
  <c r="N642" i="13"/>
  <c r="U642" i="13" s="1"/>
  <c r="N641" i="13"/>
  <c r="U641" i="13" s="1"/>
  <c r="N640" i="13"/>
  <c r="U640" i="13" s="1"/>
  <c r="N638" i="13"/>
  <c r="U638" i="13" s="1"/>
  <c r="N637" i="13"/>
  <c r="U637" i="13" s="1"/>
  <c r="N636" i="13"/>
  <c r="U636" i="13" s="1"/>
  <c r="I636" i="13"/>
  <c r="H636" i="13"/>
  <c r="G636" i="13"/>
  <c r="F636" i="13"/>
  <c r="E636" i="13"/>
  <c r="I635" i="13"/>
  <c r="H635" i="13"/>
  <c r="G635" i="13"/>
  <c r="F635" i="13"/>
  <c r="E635" i="13"/>
  <c r="P634" i="13"/>
  <c r="I634" i="13"/>
  <c r="H634" i="13"/>
  <c r="G634" i="13"/>
  <c r="F634" i="13"/>
  <c r="E634" i="13"/>
  <c r="D633" i="13"/>
  <c r="I632" i="13"/>
  <c r="G632" i="13"/>
  <c r="F632" i="13"/>
  <c r="E632" i="13"/>
  <c r="P631" i="13"/>
  <c r="R648" i="13"/>
  <c r="R647" i="13"/>
  <c r="R646" i="13"/>
  <c r="R644" i="13"/>
  <c r="R643" i="13"/>
  <c r="R642" i="13"/>
  <c r="R641" i="13"/>
  <c r="R640" i="13"/>
  <c r="R639" i="13"/>
  <c r="R638" i="13"/>
  <c r="R637" i="13"/>
  <c r="R636" i="13"/>
  <c r="R635" i="13"/>
  <c r="R634" i="13"/>
  <c r="R632" i="13"/>
  <c r="R631" i="13"/>
  <c r="N635" i="13"/>
  <c r="U635" i="13" s="1"/>
  <c r="N633" i="13"/>
  <c r="U633" i="13" s="1"/>
  <c r="N632" i="13"/>
  <c r="U632" i="13" s="1"/>
  <c r="N631" i="13"/>
  <c r="I631" i="13"/>
  <c r="H631" i="13"/>
  <c r="G631" i="13"/>
  <c r="F631" i="13"/>
  <c r="E631" i="13"/>
  <c r="T247" i="13"/>
  <c r="S247" i="13"/>
  <c r="Q247" i="13"/>
  <c r="P247" i="13"/>
  <c r="O247" i="13"/>
  <c r="M247" i="13"/>
  <c r="L247" i="13"/>
  <c r="K247" i="13"/>
  <c r="J247" i="13"/>
  <c r="I247" i="13"/>
  <c r="H247" i="13"/>
  <c r="G247" i="13"/>
  <c r="F247" i="13"/>
  <c r="E249" i="13"/>
  <c r="D249" i="13" s="1"/>
  <c r="R249" i="13"/>
  <c r="R248" i="13"/>
  <c r="N249" i="13"/>
  <c r="U249" i="13" s="1"/>
  <c r="N248" i="13"/>
  <c r="E248" i="13"/>
  <c r="D248" i="13" s="1"/>
  <c r="T244" i="13"/>
  <c r="S244" i="13"/>
  <c r="Q244" i="13"/>
  <c r="P244" i="13"/>
  <c r="O244" i="13"/>
  <c r="M244" i="13"/>
  <c r="L244" i="13"/>
  <c r="K244" i="13"/>
  <c r="J244" i="13"/>
  <c r="I244" i="13"/>
  <c r="H244" i="13"/>
  <c r="G244" i="13"/>
  <c r="F244" i="13"/>
  <c r="E246" i="13"/>
  <c r="D246" i="13" s="1"/>
  <c r="R246" i="13"/>
  <c r="R245" i="13"/>
  <c r="N246" i="13"/>
  <c r="U246" i="13" s="1"/>
  <c r="N245" i="13"/>
  <c r="U245" i="13" s="1"/>
  <c r="U248" i="13"/>
  <c r="E245" i="13"/>
  <c r="T241" i="13"/>
  <c r="S241" i="13"/>
  <c r="Q241" i="13"/>
  <c r="P241" i="13"/>
  <c r="O241" i="13"/>
  <c r="M241" i="13"/>
  <c r="L241" i="13"/>
  <c r="K241" i="13"/>
  <c r="J241" i="13"/>
  <c r="I241" i="13"/>
  <c r="H241" i="13"/>
  <c r="G243" i="13"/>
  <c r="F243" i="13"/>
  <c r="F241" i="13" s="1"/>
  <c r="E243" i="13"/>
  <c r="R243" i="13"/>
  <c r="R242" i="13"/>
  <c r="N242" i="13"/>
  <c r="N241" i="13" s="1"/>
  <c r="G242" i="13"/>
  <c r="E242" i="13"/>
  <c r="T239" i="13"/>
  <c r="S239" i="13"/>
  <c r="Q239" i="13"/>
  <c r="O239" i="13"/>
  <c r="M239" i="13"/>
  <c r="L239" i="13"/>
  <c r="K239" i="13"/>
  <c r="J239" i="13"/>
  <c r="H239" i="13"/>
  <c r="F239" i="13"/>
  <c r="R240" i="13"/>
  <c r="R239" i="13" s="1"/>
  <c r="P240" i="13"/>
  <c r="P239" i="13" s="1"/>
  <c r="N240" i="13"/>
  <c r="N239" i="13" s="1"/>
  <c r="I240" i="13"/>
  <c r="I239" i="13" s="1"/>
  <c r="G240" i="13"/>
  <c r="G239" i="13" s="1"/>
  <c r="E240" i="13"/>
  <c r="E239" i="13" s="1"/>
  <c r="T236" i="13"/>
  <c r="S236" i="13"/>
  <c r="Q236" i="13"/>
  <c r="P236" i="13"/>
  <c r="O236" i="13"/>
  <c r="M236" i="13"/>
  <c r="L236" i="13"/>
  <c r="K236" i="13"/>
  <c r="J236" i="13"/>
  <c r="H236" i="13"/>
  <c r="F236" i="13"/>
  <c r="R238" i="13"/>
  <c r="R236" i="13" s="1"/>
  <c r="N238" i="13"/>
  <c r="N236" i="13" s="1"/>
  <c r="I238" i="13"/>
  <c r="G238" i="13"/>
  <c r="E238" i="13"/>
  <c r="I237" i="13"/>
  <c r="G237" i="13"/>
  <c r="E237" i="13"/>
  <c r="T234" i="13"/>
  <c r="S234" i="13"/>
  <c r="Q234" i="13"/>
  <c r="O234" i="13"/>
  <c r="M234" i="13"/>
  <c r="L234" i="13"/>
  <c r="K234" i="13"/>
  <c r="J234" i="13"/>
  <c r="R235" i="13"/>
  <c r="R234" i="13" s="1"/>
  <c r="P235" i="13"/>
  <c r="P234" i="13" s="1"/>
  <c r="N235" i="13"/>
  <c r="N234" i="13" s="1"/>
  <c r="I235" i="13"/>
  <c r="I234" i="13" s="1"/>
  <c r="H235" i="13"/>
  <c r="H234" i="13" s="1"/>
  <c r="G235" i="13"/>
  <c r="G234" i="13" s="1"/>
  <c r="F235" i="13"/>
  <c r="F234" i="13" s="1"/>
  <c r="E235" i="13"/>
  <c r="E234" i="13" s="1"/>
  <c r="U243" i="13"/>
  <c r="U240" i="13"/>
  <c r="U237" i="13"/>
  <c r="T231" i="13"/>
  <c r="S231" i="13"/>
  <c r="Q231" i="13"/>
  <c r="P231" i="13"/>
  <c r="O231" i="13"/>
  <c r="M231" i="13"/>
  <c r="L231" i="13"/>
  <c r="K231" i="13"/>
  <c r="J231" i="13"/>
  <c r="H231" i="13"/>
  <c r="F231" i="13"/>
  <c r="R233" i="13"/>
  <c r="N233" i="13"/>
  <c r="U233" i="13" s="1"/>
  <c r="I233" i="13"/>
  <c r="I231" i="13" s="1"/>
  <c r="G233" i="13"/>
  <c r="G231" i="13" s="1"/>
  <c r="E233" i="13"/>
  <c r="E231" i="13" s="1"/>
  <c r="R232" i="13"/>
  <c r="N232" i="13"/>
  <c r="U232" i="13" s="1"/>
  <c r="D232" i="13"/>
  <c r="P230" i="13"/>
  <c r="P1031" i="13" s="1"/>
  <c r="I230" i="13"/>
  <c r="G230" i="13"/>
  <c r="F230" i="13"/>
  <c r="E230" i="13"/>
  <c r="E229" i="13"/>
  <c r="F229" i="13"/>
  <c r="G229" i="13"/>
  <c r="G1031" i="13" s="1"/>
  <c r="D1032" i="13" s="1"/>
  <c r="C1032" i="13" s="1"/>
  <c r="I229" i="13"/>
  <c r="N229" i="13"/>
  <c r="N1031" i="13" s="1"/>
  <c r="I228" i="13"/>
  <c r="H228" i="13"/>
  <c r="G228" i="13"/>
  <c r="F228" i="13"/>
  <c r="E228" i="13"/>
  <c r="N228" i="13"/>
  <c r="N227" i="13"/>
  <c r="I227" i="13"/>
  <c r="H227" i="13"/>
  <c r="G227" i="13"/>
  <c r="F227" i="13"/>
  <c r="E227" i="13"/>
  <c r="P226" i="13"/>
  <c r="I226" i="13"/>
  <c r="G226" i="13"/>
  <c r="F226" i="13"/>
  <c r="E226" i="13"/>
  <c r="E225" i="13"/>
  <c r="F225" i="13"/>
  <c r="G225" i="13"/>
  <c r="H225" i="13"/>
  <c r="I225" i="13"/>
  <c r="P225" i="13"/>
  <c r="P224" i="13"/>
  <c r="I224" i="13"/>
  <c r="H224" i="13"/>
  <c r="G224" i="13"/>
  <c r="F224" i="13"/>
  <c r="E224" i="13"/>
  <c r="P223" i="13"/>
  <c r="I223" i="13"/>
  <c r="G223" i="13"/>
  <c r="F223" i="13"/>
  <c r="E223" i="13"/>
  <c r="P221" i="13"/>
  <c r="I221" i="13"/>
  <c r="G221" i="13"/>
  <c r="F221" i="13"/>
  <c r="E221" i="13"/>
  <c r="P220" i="13"/>
  <c r="I220" i="13"/>
  <c r="G220" i="13"/>
  <c r="F220" i="13"/>
  <c r="E220" i="13"/>
  <c r="I219" i="13"/>
  <c r="G219" i="13"/>
  <c r="F219" i="13"/>
  <c r="E219" i="13"/>
  <c r="N218" i="13"/>
  <c r="I218" i="13"/>
  <c r="H218" i="13"/>
  <c r="G218" i="13"/>
  <c r="F218" i="13"/>
  <c r="E218" i="13"/>
  <c r="E217" i="13"/>
  <c r="F217" i="13"/>
  <c r="G217" i="13"/>
  <c r="H217" i="13"/>
  <c r="I217" i="13"/>
  <c r="P216" i="13"/>
  <c r="I216" i="13"/>
  <c r="E236" i="13" l="1"/>
  <c r="G241" i="13"/>
  <c r="E1031" i="13"/>
  <c r="U242" i="13"/>
  <c r="E244" i="13"/>
  <c r="F1031" i="13"/>
  <c r="I1031" i="13"/>
  <c r="G236" i="13"/>
  <c r="E241" i="13"/>
  <c r="R241" i="13"/>
  <c r="D245" i="13"/>
  <c r="C245" i="13" s="1"/>
  <c r="R231" i="13"/>
  <c r="I236" i="13"/>
  <c r="N247" i="13"/>
  <c r="G630" i="13"/>
  <c r="C646" i="13"/>
  <c r="U235" i="13"/>
  <c r="N244" i="13"/>
  <c r="C246" i="13"/>
  <c r="C643" i="13"/>
  <c r="U238" i="13"/>
  <c r="R244" i="13"/>
  <c r="C248" i="13"/>
  <c r="R247" i="13"/>
  <c r="C648" i="13"/>
  <c r="E247" i="13"/>
  <c r="E630" i="13"/>
  <c r="I630" i="13"/>
  <c r="N231" i="13"/>
  <c r="D238" i="13"/>
  <c r="C238" i="13" s="1"/>
  <c r="D247" i="13"/>
  <c r="H630" i="13"/>
  <c r="C642" i="13"/>
  <c r="U631" i="13"/>
  <c r="N630" i="13"/>
  <c r="F630" i="13"/>
  <c r="R630" i="13"/>
  <c r="P630" i="13"/>
  <c r="C647" i="13"/>
  <c r="C644" i="13"/>
  <c r="D641" i="13"/>
  <c r="C641" i="13" s="1"/>
  <c r="D640" i="13"/>
  <c r="C640" i="13" s="1"/>
  <c r="D639" i="13"/>
  <c r="C639" i="13" s="1"/>
  <c r="D638" i="13"/>
  <c r="C638" i="13" s="1"/>
  <c r="D637" i="13"/>
  <c r="C637" i="13" s="1"/>
  <c r="D636" i="13"/>
  <c r="C636" i="13" s="1"/>
  <c r="D635" i="13"/>
  <c r="C635" i="13" s="1"/>
  <c r="D634" i="13"/>
  <c r="C634" i="13" s="1"/>
  <c r="C633" i="13"/>
  <c r="D632" i="13"/>
  <c r="C632" i="13" s="1"/>
  <c r="D631" i="13"/>
  <c r="C249" i="13"/>
  <c r="D243" i="13"/>
  <c r="C243" i="13" s="1"/>
  <c r="D242" i="13"/>
  <c r="D240" i="13"/>
  <c r="D237" i="13"/>
  <c r="D235" i="13"/>
  <c r="D233" i="13"/>
  <c r="C232" i="13"/>
  <c r="G216" i="13"/>
  <c r="F216" i="13"/>
  <c r="E216" i="13"/>
  <c r="I215" i="13"/>
  <c r="G215" i="13"/>
  <c r="F215" i="13"/>
  <c r="E215" i="13"/>
  <c r="P214" i="13"/>
  <c r="I214" i="13"/>
  <c r="G214" i="13"/>
  <c r="F214" i="13"/>
  <c r="E214" i="13"/>
  <c r="R230" i="13"/>
  <c r="R229" i="13"/>
  <c r="R228" i="13"/>
  <c r="R227" i="13"/>
  <c r="R226" i="13"/>
  <c r="R225" i="13"/>
  <c r="R224" i="13"/>
  <c r="R223" i="13"/>
  <c r="R221" i="13"/>
  <c r="R220" i="13"/>
  <c r="R219" i="13"/>
  <c r="R218" i="13"/>
  <c r="R217" i="13"/>
  <c r="R216" i="13"/>
  <c r="R214" i="13"/>
  <c r="R213" i="13"/>
  <c r="P213" i="13"/>
  <c r="N222" i="13"/>
  <c r="U222" i="13" s="1"/>
  <c r="U229" i="13"/>
  <c r="N223" i="13"/>
  <c r="N221" i="13"/>
  <c r="N220" i="13"/>
  <c r="N219" i="13"/>
  <c r="N216" i="13"/>
  <c r="U216" i="13" s="1"/>
  <c r="N214" i="13"/>
  <c r="U214" i="13" s="1"/>
  <c r="N213" i="13"/>
  <c r="U213" i="13" s="1"/>
  <c r="I213" i="13"/>
  <c r="G213" i="13"/>
  <c r="F213" i="13"/>
  <c r="E213" i="13"/>
  <c r="D223" i="13"/>
  <c r="R212" i="13"/>
  <c r="N212" i="13"/>
  <c r="U212" i="13" s="1"/>
  <c r="U230" i="13"/>
  <c r="U228" i="13"/>
  <c r="U227" i="13"/>
  <c r="U226" i="13"/>
  <c r="U225" i="13"/>
  <c r="U224" i="13"/>
  <c r="U223" i="13"/>
  <c r="U221" i="13"/>
  <c r="U220" i="13"/>
  <c r="U219" i="13"/>
  <c r="U218" i="13"/>
  <c r="U217" i="13"/>
  <c r="U215" i="13"/>
  <c r="I212" i="13"/>
  <c r="G212" i="13"/>
  <c r="E212" i="13"/>
  <c r="D225" i="13"/>
  <c r="D221" i="13"/>
  <c r="R1031" i="13" l="1"/>
  <c r="C244" i="13"/>
  <c r="C223" i="13"/>
  <c r="D244" i="13"/>
  <c r="D215" i="13"/>
  <c r="C215" i="13" s="1"/>
  <c r="C247" i="13"/>
  <c r="C233" i="13"/>
  <c r="D231" i="13"/>
  <c r="C240" i="13"/>
  <c r="C239" i="13" s="1"/>
  <c r="D239" i="13"/>
  <c r="C631" i="13"/>
  <c r="C630" i="13" s="1"/>
  <c r="D630" i="13"/>
  <c r="C237" i="13"/>
  <c r="C236" i="13" s="1"/>
  <c r="D236" i="13"/>
  <c r="C235" i="13"/>
  <c r="C234" i="13" s="1"/>
  <c r="D234" i="13"/>
  <c r="C242" i="13"/>
  <c r="C241" i="13" s="1"/>
  <c r="D241" i="13"/>
  <c r="C231" i="13"/>
  <c r="C225" i="13"/>
  <c r="C221" i="13"/>
  <c r="D213" i="13"/>
  <c r="C213" i="13" s="1"/>
  <c r="D216" i="13"/>
  <c r="C216" i="13" s="1"/>
  <c r="D220" i="13"/>
  <c r="C220" i="13" s="1"/>
  <c r="D224" i="13"/>
  <c r="C224" i="13" s="1"/>
  <c r="D228" i="13"/>
  <c r="C228" i="13" s="1"/>
  <c r="D226" i="13"/>
  <c r="C226" i="13" s="1"/>
  <c r="D219" i="13"/>
  <c r="C219" i="13" s="1"/>
  <c r="D227" i="13"/>
  <c r="C227" i="13" s="1"/>
  <c r="D218" i="13"/>
  <c r="C218" i="13" s="1"/>
  <c r="D222" i="13"/>
  <c r="C222" i="13" s="1"/>
  <c r="D230" i="13"/>
  <c r="C230" i="13" s="1"/>
  <c r="D217" i="13"/>
  <c r="C217" i="13" s="1"/>
  <c r="D229" i="13"/>
  <c r="D214" i="13"/>
  <c r="C214" i="13" s="1"/>
  <c r="D212" i="13"/>
  <c r="C229" i="13" l="1"/>
  <c r="C1031" i="13" s="1"/>
  <c r="D1031" i="13"/>
  <c r="C212" i="13"/>
  <c r="T1026" i="13"/>
  <c r="S1026" i="13"/>
  <c r="Q1026" i="13"/>
  <c r="P1026" i="13"/>
  <c r="O1026" i="13"/>
  <c r="M1026" i="13"/>
  <c r="L1026" i="13"/>
  <c r="K1026" i="13"/>
  <c r="J1026" i="13"/>
  <c r="H1026" i="13"/>
  <c r="I1030" i="13"/>
  <c r="G1030" i="13"/>
  <c r="F1030" i="13"/>
  <c r="E1030" i="13"/>
  <c r="I1029" i="13"/>
  <c r="G1029" i="13"/>
  <c r="F1029" i="13"/>
  <c r="E1029" i="13"/>
  <c r="I1028" i="13"/>
  <c r="G1028" i="13"/>
  <c r="F1028" i="13"/>
  <c r="E1028" i="13"/>
  <c r="G1027" i="13"/>
  <c r="F1027" i="13"/>
  <c r="E1027" i="13"/>
  <c r="I1027" i="13"/>
  <c r="R1030" i="13"/>
  <c r="R1029" i="13"/>
  <c r="R1028" i="13"/>
  <c r="R1027" i="13"/>
  <c r="N1030" i="13"/>
  <c r="U1030" i="13" s="1"/>
  <c r="N1029" i="13"/>
  <c r="N1028" i="13"/>
  <c r="N1027" i="13"/>
  <c r="U1027" i="13" s="1"/>
  <c r="T1021" i="13"/>
  <c r="S1021" i="13"/>
  <c r="Q1021" i="13"/>
  <c r="P1021" i="13"/>
  <c r="O1021" i="13"/>
  <c r="M1021" i="13"/>
  <c r="L1021" i="13"/>
  <c r="K1021" i="13"/>
  <c r="J1021" i="13"/>
  <c r="I1025" i="13"/>
  <c r="H1025" i="13"/>
  <c r="G1025" i="13"/>
  <c r="E1025" i="13"/>
  <c r="I1023" i="13"/>
  <c r="H1023" i="13"/>
  <c r="G1023" i="13"/>
  <c r="F1023" i="13"/>
  <c r="E1023" i="13"/>
  <c r="I1022" i="13"/>
  <c r="H1022" i="13"/>
  <c r="G1022" i="13"/>
  <c r="F1022" i="13"/>
  <c r="E1022" i="13"/>
  <c r="N1024" i="13"/>
  <c r="N1023" i="13"/>
  <c r="U1023" i="13" s="1"/>
  <c r="N1022" i="13"/>
  <c r="U1022" i="13" s="1"/>
  <c r="U1050" i="13"/>
  <c r="U1049" i="13"/>
  <c r="U1048" i="13"/>
  <c r="U1047" i="13"/>
  <c r="U1046" i="13"/>
  <c r="U1045" i="13"/>
  <c r="U1044" i="13"/>
  <c r="U1043" i="13"/>
  <c r="U1042" i="13"/>
  <c r="U1041" i="13"/>
  <c r="U1040" i="13"/>
  <c r="U1039" i="13"/>
  <c r="U1038" i="13"/>
  <c r="U1037" i="13"/>
  <c r="U1036" i="13"/>
  <c r="U1035" i="13"/>
  <c r="U1034" i="13"/>
  <c r="U1033" i="13"/>
  <c r="U1032" i="13"/>
  <c r="U1029" i="13"/>
  <c r="U1025" i="13"/>
  <c r="U1024" i="13"/>
  <c r="R1023" i="13"/>
  <c r="R1022" i="13"/>
  <c r="D1024" i="13"/>
  <c r="T627" i="13"/>
  <c r="S627" i="13"/>
  <c r="Q627" i="13"/>
  <c r="P627" i="13"/>
  <c r="O627" i="13"/>
  <c r="M627" i="13"/>
  <c r="L627" i="13"/>
  <c r="K627" i="13"/>
  <c r="J627" i="13"/>
  <c r="H627" i="13"/>
  <c r="I629" i="13"/>
  <c r="G629" i="13"/>
  <c r="F629" i="13"/>
  <c r="E629" i="13"/>
  <c r="R629" i="13"/>
  <c r="R628" i="13"/>
  <c r="N629" i="13"/>
  <c r="U629" i="13" s="1"/>
  <c r="N628" i="13"/>
  <c r="U628" i="13" s="1"/>
  <c r="I628" i="13"/>
  <c r="I627" i="13" s="1"/>
  <c r="G628" i="13"/>
  <c r="F628" i="13"/>
  <c r="E628" i="13"/>
  <c r="T622" i="13"/>
  <c r="S622" i="13"/>
  <c r="Q622" i="13"/>
  <c r="O622" i="13"/>
  <c r="M622" i="13"/>
  <c r="L622" i="13"/>
  <c r="K622" i="13"/>
  <c r="J622" i="13"/>
  <c r="H622" i="13"/>
  <c r="F622" i="13"/>
  <c r="P626" i="13"/>
  <c r="N626" i="13"/>
  <c r="I626" i="13"/>
  <c r="G626" i="13"/>
  <c r="E626" i="13"/>
  <c r="P624" i="13"/>
  <c r="P625" i="13"/>
  <c r="P623" i="13"/>
  <c r="N625" i="13"/>
  <c r="I625" i="13"/>
  <c r="G625" i="13"/>
  <c r="E625" i="13"/>
  <c r="I624" i="13"/>
  <c r="G624" i="13"/>
  <c r="E624" i="13"/>
  <c r="R626" i="13"/>
  <c r="R625" i="13"/>
  <c r="R623" i="13"/>
  <c r="N623" i="13"/>
  <c r="I623" i="13"/>
  <c r="G623" i="13"/>
  <c r="E623" i="13"/>
  <c r="N624" i="13"/>
  <c r="T616" i="13"/>
  <c r="S616" i="13"/>
  <c r="Q616" i="13"/>
  <c r="P616" i="13"/>
  <c r="O616" i="13"/>
  <c r="M616" i="13"/>
  <c r="L616" i="13"/>
  <c r="K616" i="13"/>
  <c r="J616" i="13"/>
  <c r="I621" i="13"/>
  <c r="H621" i="13"/>
  <c r="G621" i="13"/>
  <c r="E621" i="13"/>
  <c r="I620" i="13"/>
  <c r="H620" i="13"/>
  <c r="G620" i="13"/>
  <c r="E620" i="13"/>
  <c r="I619" i="13"/>
  <c r="H619" i="13"/>
  <c r="G619" i="13"/>
  <c r="E619" i="13"/>
  <c r="I618" i="13"/>
  <c r="H618" i="13"/>
  <c r="G618" i="13"/>
  <c r="F618" i="13"/>
  <c r="E618" i="13"/>
  <c r="I617" i="13"/>
  <c r="H617" i="13"/>
  <c r="G617" i="13"/>
  <c r="F617" i="13"/>
  <c r="E617" i="13"/>
  <c r="R621" i="13"/>
  <c r="R620" i="13"/>
  <c r="R619" i="13"/>
  <c r="R618" i="13"/>
  <c r="R617" i="13"/>
  <c r="N621" i="13"/>
  <c r="N620" i="13"/>
  <c r="N619" i="13"/>
  <c r="N618" i="13"/>
  <c r="N617" i="13"/>
  <c r="F627" i="13" l="1"/>
  <c r="G1021" i="13"/>
  <c r="G1026" i="13"/>
  <c r="D626" i="13"/>
  <c r="C626" i="13" s="1"/>
  <c r="C1024" i="13"/>
  <c r="I1021" i="13"/>
  <c r="E1026" i="13"/>
  <c r="F1026" i="13"/>
  <c r="G627" i="13"/>
  <c r="E1021" i="13"/>
  <c r="N1026" i="13"/>
  <c r="R1026" i="13"/>
  <c r="R622" i="13"/>
  <c r="I616" i="13"/>
  <c r="N622" i="13"/>
  <c r="E622" i="13"/>
  <c r="N616" i="13"/>
  <c r="D618" i="13"/>
  <c r="C618" i="13" s="1"/>
  <c r="E616" i="13"/>
  <c r="G622" i="13"/>
  <c r="R616" i="13"/>
  <c r="H616" i="13"/>
  <c r="G616" i="13"/>
  <c r="E627" i="13"/>
  <c r="R1021" i="13"/>
  <c r="F1021" i="13"/>
  <c r="I622" i="13"/>
  <c r="D1030" i="13"/>
  <c r="C1030" i="13" s="1"/>
  <c r="F616" i="13"/>
  <c r="P622" i="13"/>
  <c r="H1021" i="13"/>
  <c r="I1026" i="13"/>
  <c r="U1028" i="13"/>
  <c r="R627" i="13"/>
  <c r="N1021" i="13"/>
  <c r="N627" i="13"/>
  <c r="D1029" i="13"/>
  <c r="C1029" i="13" s="1"/>
  <c r="D1028" i="13"/>
  <c r="C1028" i="13" s="1"/>
  <c r="D1027" i="13"/>
  <c r="D1025" i="13"/>
  <c r="C1025" i="13" s="1"/>
  <c r="D1023" i="13"/>
  <c r="C1023" i="13" s="1"/>
  <c r="D1022" i="13"/>
  <c r="D629" i="13"/>
  <c r="C629" i="13" s="1"/>
  <c r="D628" i="13"/>
  <c r="D625" i="13"/>
  <c r="C625" i="13" s="1"/>
  <c r="D624" i="13"/>
  <c r="C624" i="13" s="1"/>
  <c r="D623" i="13"/>
  <c r="D621" i="13"/>
  <c r="C621" i="13" s="1"/>
  <c r="D620" i="13"/>
  <c r="C620" i="13" s="1"/>
  <c r="D619" i="13"/>
  <c r="C619" i="13" s="1"/>
  <c r="D617" i="13"/>
  <c r="T208" i="13"/>
  <c r="S208" i="13"/>
  <c r="Q208" i="13"/>
  <c r="O208" i="13"/>
  <c r="M208" i="13"/>
  <c r="L208" i="13"/>
  <c r="K208" i="13"/>
  <c r="J208" i="13"/>
  <c r="I208" i="13"/>
  <c r="H208" i="13"/>
  <c r="F208" i="13"/>
  <c r="P210" i="13"/>
  <c r="G210" i="13"/>
  <c r="E210" i="13"/>
  <c r="R210" i="13"/>
  <c r="R209" i="13"/>
  <c r="P209" i="13"/>
  <c r="G209" i="13"/>
  <c r="E209" i="13"/>
  <c r="N210" i="13"/>
  <c r="U210" i="13" s="1"/>
  <c r="N209" i="13"/>
  <c r="U209" i="13" s="1"/>
  <c r="T205" i="13"/>
  <c r="S205" i="13"/>
  <c r="Q205" i="13"/>
  <c r="P205" i="13"/>
  <c r="O205" i="13"/>
  <c r="M205" i="13"/>
  <c r="L205" i="13"/>
  <c r="K205" i="13"/>
  <c r="J205" i="13"/>
  <c r="H205" i="13"/>
  <c r="I207" i="13"/>
  <c r="G207" i="13"/>
  <c r="F207" i="13"/>
  <c r="E207" i="13"/>
  <c r="I206" i="13"/>
  <c r="I205" i="13" s="1"/>
  <c r="G206" i="13"/>
  <c r="G205" i="13" s="1"/>
  <c r="F206" i="13"/>
  <c r="E206" i="13"/>
  <c r="R207" i="13"/>
  <c r="R206" i="13"/>
  <c r="N207" i="13"/>
  <c r="U207" i="13" s="1"/>
  <c r="N206" i="13"/>
  <c r="T200" i="13"/>
  <c r="S200" i="13"/>
  <c r="Q200" i="13"/>
  <c r="P200" i="13"/>
  <c r="O200" i="13"/>
  <c r="M200" i="13"/>
  <c r="L200" i="13"/>
  <c r="K200" i="13"/>
  <c r="J200" i="13"/>
  <c r="I204" i="13"/>
  <c r="H204" i="13"/>
  <c r="G204" i="13"/>
  <c r="E204" i="13"/>
  <c r="E203" i="13"/>
  <c r="N204" i="13"/>
  <c r="U204" i="13" s="1"/>
  <c r="I203" i="13"/>
  <c r="H203" i="13"/>
  <c r="G203" i="13"/>
  <c r="R204" i="13"/>
  <c r="R202" i="13"/>
  <c r="N202" i="13"/>
  <c r="U202" i="13" s="1"/>
  <c r="I202" i="13"/>
  <c r="H202" i="13"/>
  <c r="G202" i="13"/>
  <c r="F202" i="13"/>
  <c r="F200" i="13" s="1"/>
  <c r="E202" i="13"/>
  <c r="R201" i="13"/>
  <c r="D201" i="13"/>
  <c r="T198" i="13"/>
  <c r="S198" i="13"/>
  <c r="Q198" i="13"/>
  <c r="P198" i="13"/>
  <c r="O198" i="13"/>
  <c r="M198" i="13"/>
  <c r="L198" i="13"/>
  <c r="K198" i="13"/>
  <c r="J198" i="13"/>
  <c r="H198" i="13"/>
  <c r="F198" i="13"/>
  <c r="R199" i="13"/>
  <c r="R198" i="13" s="1"/>
  <c r="U203" i="13"/>
  <c r="U201" i="13"/>
  <c r="N199" i="13"/>
  <c r="N198" i="13" s="1"/>
  <c r="I199" i="13"/>
  <c r="I198" i="13" s="1"/>
  <c r="G199" i="13"/>
  <c r="G198" i="13" s="1"/>
  <c r="E199" i="13"/>
  <c r="E198" i="13" s="1"/>
  <c r="T1018" i="13"/>
  <c r="S1018" i="13"/>
  <c r="Q1018" i="13"/>
  <c r="O1018" i="13"/>
  <c r="M1018" i="13"/>
  <c r="K1018" i="13"/>
  <c r="J1018" i="13"/>
  <c r="I1018" i="13"/>
  <c r="H1018" i="13"/>
  <c r="G1018" i="13"/>
  <c r="F1018" i="13"/>
  <c r="E1020" i="13"/>
  <c r="D1020" i="13" s="1"/>
  <c r="R1020" i="13"/>
  <c r="R1019" i="13"/>
  <c r="N1020" i="13"/>
  <c r="U1020" i="13" s="1"/>
  <c r="N1019" i="13"/>
  <c r="U1019" i="13" s="1"/>
  <c r="N1014" i="13"/>
  <c r="U1014" i="13" s="1"/>
  <c r="N1016" i="13"/>
  <c r="N1015" i="13" s="1"/>
  <c r="E1019" i="13"/>
  <c r="P1020" i="13"/>
  <c r="P1018" i="13" s="1"/>
  <c r="L1019" i="13"/>
  <c r="L1018" i="13" s="1"/>
  <c r="T1015" i="13"/>
  <c r="S1015" i="13"/>
  <c r="Q1015" i="13"/>
  <c r="P1015" i="13"/>
  <c r="O1015" i="13"/>
  <c r="M1015" i="13"/>
  <c r="L1015" i="13"/>
  <c r="K1015" i="13"/>
  <c r="J1015" i="13"/>
  <c r="I1015" i="13"/>
  <c r="H1015" i="13"/>
  <c r="G1015" i="13"/>
  <c r="F1017" i="13"/>
  <c r="E1017" i="13"/>
  <c r="R1017" i="13"/>
  <c r="R1016" i="13"/>
  <c r="F1016" i="13"/>
  <c r="F1015" i="13" s="1"/>
  <c r="E1016" i="13"/>
  <c r="E1015" i="13" s="1"/>
  <c r="F205" i="13" l="1"/>
  <c r="H200" i="13"/>
  <c r="D209" i="13"/>
  <c r="C209" i="13" s="1"/>
  <c r="G200" i="13"/>
  <c r="E1018" i="13"/>
  <c r="R1018" i="13"/>
  <c r="R208" i="13"/>
  <c r="D1016" i="13"/>
  <c r="C1016" i="13" s="1"/>
  <c r="E200" i="13"/>
  <c r="R205" i="13"/>
  <c r="N205" i="13"/>
  <c r="D206" i="13"/>
  <c r="C206" i="13" s="1"/>
  <c r="D207" i="13"/>
  <c r="C207" i="13" s="1"/>
  <c r="P208" i="13"/>
  <c r="U199" i="13"/>
  <c r="G208" i="13"/>
  <c r="R1015" i="13"/>
  <c r="I200" i="13"/>
  <c r="E205" i="13"/>
  <c r="E208" i="13"/>
  <c r="U206" i="13"/>
  <c r="C201" i="13"/>
  <c r="C617" i="13"/>
  <c r="C616" i="13" s="1"/>
  <c r="D616" i="13"/>
  <c r="C623" i="13"/>
  <c r="C622" i="13" s="1"/>
  <c r="D622" i="13"/>
  <c r="C628" i="13"/>
  <c r="C627" i="13" s="1"/>
  <c r="D627" i="13"/>
  <c r="C1022" i="13"/>
  <c r="C1021" i="13" s="1"/>
  <c r="D1021" i="13"/>
  <c r="C1020" i="13"/>
  <c r="N1018" i="13"/>
  <c r="N208" i="13"/>
  <c r="D1019" i="13"/>
  <c r="D203" i="13"/>
  <c r="C203" i="13" s="1"/>
  <c r="N200" i="13"/>
  <c r="R200" i="13"/>
  <c r="C1027" i="13"/>
  <c r="C1026" i="13" s="1"/>
  <c r="D1026" i="13"/>
  <c r="D199" i="13"/>
  <c r="D198" i="13" s="1"/>
  <c r="D210" i="13"/>
  <c r="C210" i="13" s="1"/>
  <c r="D204" i="13"/>
  <c r="C204" i="13" s="1"/>
  <c r="D202" i="13"/>
  <c r="C202" i="13" s="1"/>
  <c r="D1017" i="13"/>
  <c r="C1017" i="13" s="1"/>
  <c r="D1015" i="13" l="1"/>
  <c r="D205" i="13"/>
  <c r="C200" i="13"/>
  <c r="C205" i="13"/>
  <c r="C1019" i="13"/>
  <c r="C1018" i="13" s="1"/>
  <c r="D1018" i="13"/>
  <c r="D200" i="13"/>
  <c r="C199" i="13"/>
  <c r="C198" i="13" s="1"/>
  <c r="C208" i="13"/>
  <c r="D208" i="13"/>
  <c r="C1015" i="13"/>
  <c r="T1010" i="13"/>
  <c r="S1010" i="13"/>
  <c r="Q1010" i="13"/>
  <c r="P1010" i="13"/>
  <c r="O1010" i="13"/>
  <c r="M1010" i="13"/>
  <c r="L1010" i="13"/>
  <c r="K1010" i="13"/>
  <c r="J1010" i="13"/>
  <c r="I1010" i="13"/>
  <c r="H1010" i="13"/>
  <c r="G1014" i="13"/>
  <c r="F1014" i="13"/>
  <c r="E1014" i="13"/>
  <c r="G1012" i="13"/>
  <c r="D1013" i="13" s="1"/>
  <c r="F1012" i="13"/>
  <c r="E1012" i="13"/>
  <c r="G1011" i="13"/>
  <c r="F1011" i="13"/>
  <c r="E1011" i="13"/>
  <c r="R1014" i="13"/>
  <c r="R1012" i="13"/>
  <c r="R1011" i="13"/>
  <c r="N1013" i="13"/>
  <c r="N1012" i="13"/>
  <c r="N1011" i="13"/>
  <c r="N1010" i="13" l="1"/>
  <c r="R1010" i="13"/>
  <c r="F1010" i="13"/>
  <c r="C1013" i="13"/>
  <c r="E1010" i="13"/>
  <c r="D1014" i="13"/>
  <c r="C1014" i="13" s="1"/>
  <c r="G1010" i="13"/>
  <c r="D1011" i="13" s="1"/>
  <c r="D1012" i="13"/>
  <c r="C1012" i="13" s="1"/>
  <c r="C1011" i="13" l="1"/>
  <c r="C1010" i="13" s="1"/>
  <c r="D1010" i="13"/>
  <c r="T613" i="13" l="1"/>
  <c r="S613" i="13"/>
  <c r="Q613" i="13"/>
  <c r="P613" i="13"/>
  <c r="O613" i="13"/>
  <c r="M613" i="13"/>
  <c r="L613" i="13"/>
  <c r="K613" i="13"/>
  <c r="J613" i="13"/>
  <c r="I613" i="13"/>
  <c r="H613" i="13"/>
  <c r="G613" i="13"/>
  <c r="F613" i="13"/>
  <c r="E615" i="13"/>
  <c r="D615" i="13" s="1"/>
  <c r="R615" i="13"/>
  <c r="R614" i="13"/>
  <c r="N615" i="13"/>
  <c r="N614" i="13"/>
  <c r="E614" i="13"/>
  <c r="N613" i="13" l="1"/>
  <c r="D614" i="13"/>
  <c r="D613" i="13" s="1"/>
  <c r="C615" i="13"/>
  <c r="E613" i="13"/>
  <c r="R613" i="13"/>
  <c r="T611" i="13"/>
  <c r="S611" i="13"/>
  <c r="Q611" i="13"/>
  <c r="O611" i="13"/>
  <c r="M611" i="13"/>
  <c r="L611" i="13"/>
  <c r="K611" i="13"/>
  <c r="J611" i="13"/>
  <c r="H611" i="13"/>
  <c r="F611" i="13"/>
  <c r="P612" i="13"/>
  <c r="P611" i="13" s="1"/>
  <c r="R612" i="13"/>
  <c r="R611" i="13" s="1"/>
  <c r="N612" i="13"/>
  <c r="N611" i="13" s="1"/>
  <c r="I612" i="13"/>
  <c r="I611" i="13" s="1"/>
  <c r="G612" i="13"/>
  <c r="G611" i="13" s="1"/>
  <c r="E612" i="13"/>
  <c r="E611" i="13" s="1"/>
  <c r="D612" i="13" l="1"/>
  <c r="D611" i="13" s="1"/>
  <c r="C614" i="13"/>
  <c r="C613" i="13" s="1"/>
  <c r="C612" i="13" l="1"/>
  <c r="C611" i="13" s="1"/>
  <c r="T606" i="13"/>
  <c r="S606" i="13"/>
  <c r="Q606" i="13"/>
  <c r="P606" i="13"/>
  <c r="O606" i="13"/>
  <c r="M606" i="13"/>
  <c r="L606" i="13"/>
  <c r="K606" i="13"/>
  <c r="J606" i="13"/>
  <c r="H606" i="13"/>
  <c r="I610" i="13"/>
  <c r="G610" i="13"/>
  <c r="F610" i="13"/>
  <c r="E610" i="13"/>
  <c r="I608" i="13"/>
  <c r="G608" i="13"/>
  <c r="F608" i="13"/>
  <c r="E608" i="13"/>
  <c r="R610" i="13"/>
  <c r="R608" i="13"/>
  <c r="R607" i="13"/>
  <c r="N610" i="13"/>
  <c r="N609" i="13"/>
  <c r="N608" i="13"/>
  <c r="N607" i="13"/>
  <c r="U626" i="13"/>
  <c r="U625" i="13"/>
  <c r="U624" i="13"/>
  <c r="U623" i="13"/>
  <c r="U621" i="13"/>
  <c r="U620" i="13"/>
  <c r="U619" i="13"/>
  <c r="U618" i="13"/>
  <c r="U617" i="13"/>
  <c r="U615" i="13"/>
  <c r="U614" i="13"/>
  <c r="U612" i="13"/>
  <c r="U610" i="13"/>
  <c r="U609" i="13"/>
  <c r="U608" i="13"/>
  <c r="U607" i="13"/>
  <c r="I607" i="13"/>
  <c r="G607" i="13"/>
  <c r="F607" i="13"/>
  <c r="E607" i="13"/>
  <c r="D609" i="13"/>
  <c r="G606" i="13" l="1"/>
  <c r="D607" i="13"/>
  <c r="I606" i="13"/>
  <c r="F606" i="13"/>
  <c r="N606" i="13"/>
  <c r="R606" i="13"/>
  <c r="E606" i="13"/>
  <c r="C609" i="13"/>
  <c r="D610" i="13"/>
  <c r="C610" i="13" s="1"/>
  <c r="C607" i="13"/>
  <c r="D608" i="13"/>
  <c r="C608" i="13" s="1"/>
  <c r="T194" i="13"/>
  <c r="S194" i="13"/>
  <c r="Q194" i="13"/>
  <c r="P194" i="13"/>
  <c r="O194" i="13"/>
  <c r="M194" i="13"/>
  <c r="L194" i="13"/>
  <c r="K194" i="13"/>
  <c r="I197" i="13"/>
  <c r="G197" i="13"/>
  <c r="F197" i="13"/>
  <c r="E197" i="13"/>
  <c r="N196" i="13"/>
  <c r="G196" i="13"/>
  <c r="F196" i="13"/>
  <c r="E196" i="13"/>
  <c r="D187" i="13"/>
  <c r="D186" i="13"/>
  <c r="R196" i="13"/>
  <c r="R195" i="13"/>
  <c r="N195" i="13"/>
  <c r="N194" i="13" s="1"/>
  <c r="G195" i="13"/>
  <c r="F195" i="13"/>
  <c r="F194" i="13" s="1"/>
  <c r="E195" i="13"/>
  <c r="J195" i="13"/>
  <c r="J194" i="13" s="1"/>
  <c r="I195" i="13"/>
  <c r="H195" i="13"/>
  <c r="H194" i="13" s="1"/>
  <c r="I194" i="13" l="1"/>
  <c r="D195" i="13"/>
  <c r="C195" i="13" s="1"/>
  <c r="R194" i="13"/>
  <c r="E194" i="13"/>
  <c r="G194" i="13"/>
  <c r="D196" i="13"/>
  <c r="C196" i="13" s="1"/>
  <c r="D606" i="13"/>
  <c r="D197" i="13"/>
  <c r="C197" i="13" s="1"/>
  <c r="C606" i="13"/>
  <c r="C194" i="13" l="1"/>
  <c r="D194" i="13"/>
  <c r="T188" i="13"/>
  <c r="S188" i="13"/>
  <c r="Q188" i="13"/>
  <c r="P188" i="13"/>
  <c r="O188" i="13"/>
  <c r="M188" i="13"/>
  <c r="L188" i="13"/>
  <c r="K188" i="13"/>
  <c r="J188" i="13"/>
  <c r="I188" i="13"/>
  <c r="H188" i="13"/>
  <c r="F188" i="13"/>
  <c r="G193" i="13"/>
  <c r="E193" i="13"/>
  <c r="G192" i="13"/>
  <c r="G188" i="13" s="1"/>
  <c r="E192" i="13"/>
  <c r="N193" i="13"/>
  <c r="N192" i="13"/>
  <c r="N191" i="13"/>
  <c r="E191" i="13"/>
  <c r="D191" i="13" s="1"/>
  <c r="E190" i="13"/>
  <c r="D190" i="13" s="1"/>
  <c r="R193" i="13"/>
  <c r="R192" i="13"/>
  <c r="R191" i="13"/>
  <c r="R190" i="13"/>
  <c r="R189" i="13"/>
  <c r="N189" i="13"/>
  <c r="E189" i="13"/>
  <c r="D189" i="13" s="1"/>
  <c r="E1009" i="13"/>
  <c r="D1009" i="13" s="1"/>
  <c r="T1006" i="13"/>
  <c r="S1006" i="13"/>
  <c r="Q1006" i="13"/>
  <c r="P1006" i="13"/>
  <c r="O1006" i="13"/>
  <c r="M1006" i="13"/>
  <c r="L1006" i="13"/>
  <c r="K1006" i="13"/>
  <c r="J1006" i="13"/>
  <c r="I1006" i="13"/>
  <c r="H1006" i="13"/>
  <c r="G1006" i="13"/>
  <c r="F1006" i="13"/>
  <c r="E1008" i="13"/>
  <c r="D1008" i="13" s="1"/>
  <c r="R1009" i="13"/>
  <c r="R1008" i="13"/>
  <c r="R1007" i="13"/>
  <c r="N1008" i="13"/>
  <c r="U1008" i="13" s="1"/>
  <c r="N1007" i="13"/>
  <c r="U1007" i="13" s="1"/>
  <c r="U1017" i="13"/>
  <c r="U1016" i="13"/>
  <c r="U1013" i="13"/>
  <c r="U1012" i="13"/>
  <c r="U1011" i="13"/>
  <c r="U1009" i="13"/>
  <c r="E1007" i="13"/>
  <c r="D1007" i="13" s="1"/>
  <c r="N605" i="13"/>
  <c r="U605" i="13" s="1"/>
  <c r="N604" i="13"/>
  <c r="U604" i="13" s="1"/>
  <c r="T603" i="13"/>
  <c r="S603" i="13"/>
  <c r="Q603" i="13"/>
  <c r="P603" i="13"/>
  <c r="O603" i="13"/>
  <c r="M603" i="13"/>
  <c r="L603" i="13"/>
  <c r="K603" i="13"/>
  <c r="J603" i="13"/>
  <c r="I603" i="13"/>
  <c r="H603" i="13"/>
  <c r="F603" i="13"/>
  <c r="E603" i="13"/>
  <c r="G605" i="13"/>
  <c r="E605" i="13"/>
  <c r="R605" i="13"/>
  <c r="R604" i="13"/>
  <c r="G604" i="13"/>
  <c r="G603" i="13" s="1"/>
  <c r="E604" i="13"/>
  <c r="E1006" i="13" l="1"/>
  <c r="D604" i="13"/>
  <c r="C604" i="13" s="1"/>
  <c r="R1006" i="13"/>
  <c r="C1008" i="13"/>
  <c r="R188" i="13"/>
  <c r="N188" i="13"/>
  <c r="N603" i="13"/>
  <c r="C1009" i="13"/>
  <c r="C190" i="13"/>
  <c r="R603" i="13"/>
  <c r="D193" i="13"/>
  <c r="C193" i="13" s="1"/>
  <c r="E188" i="13"/>
  <c r="C1007" i="13"/>
  <c r="N1006" i="13"/>
  <c r="C189" i="13"/>
  <c r="C191" i="13"/>
  <c r="D192" i="13"/>
  <c r="C192" i="13" s="1"/>
  <c r="D1006" i="13"/>
  <c r="D605" i="13"/>
  <c r="C605" i="13" s="1"/>
  <c r="C1006" i="13" l="1"/>
  <c r="D603" i="13"/>
  <c r="C188" i="13"/>
  <c r="D188" i="13"/>
  <c r="C603" i="13"/>
  <c r="T601" i="13"/>
  <c r="S601" i="13"/>
  <c r="Q601" i="13"/>
  <c r="P601" i="13"/>
  <c r="O601" i="13"/>
  <c r="N601" i="13"/>
  <c r="M601" i="13"/>
  <c r="L601" i="13"/>
  <c r="K601" i="13"/>
  <c r="J601" i="13"/>
  <c r="H601" i="13"/>
  <c r="R602" i="13"/>
  <c r="R601" i="13" s="1"/>
  <c r="U602" i="13"/>
  <c r="U600" i="13"/>
  <c r="U597" i="13"/>
  <c r="U595" i="13"/>
  <c r="U593" i="13"/>
  <c r="U592" i="13"/>
  <c r="U591" i="13"/>
  <c r="U590" i="13"/>
  <c r="U584" i="13"/>
  <c r="U582" i="13"/>
  <c r="I602" i="13"/>
  <c r="I601" i="13" s="1"/>
  <c r="G602" i="13"/>
  <c r="G601" i="13" s="1"/>
  <c r="F602" i="13"/>
  <c r="F601" i="13" s="1"/>
  <c r="E602" i="13"/>
  <c r="T185" i="13"/>
  <c r="S185" i="13"/>
  <c r="R185" i="13"/>
  <c r="Q185" i="13"/>
  <c r="P185" i="13"/>
  <c r="O185" i="13"/>
  <c r="M185" i="13"/>
  <c r="L185" i="13"/>
  <c r="K185" i="13"/>
  <c r="J185" i="13"/>
  <c r="I185" i="13"/>
  <c r="H185" i="13"/>
  <c r="G185" i="13"/>
  <c r="F185" i="13"/>
  <c r="E185" i="13"/>
  <c r="D185" i="13"/>
  <c r="N187" i="13"/>
  <c r="U187" i="13" s="1"/>
  <c r="N186" i="13"/>
  <c r="U197" i="13"/>
  <c r="U196" i="13"/>
  <c r="U195" i="13"/>
  <c r="U193" i="13"/>
  <c r="U192" i="13"/>
  <c r="U191" i="13"/>
  <c r="U190" i="13"/>
  <c r="U189" i="13"/>
  <c r="U184" i="13"/>
  <c r="U180" i="13"/>
  <c r="U178" i="13"/>
  <c r="U177" i="13"/>
  <c r="U172" i="13"/>
  <c r="U170" i="13"/>
  <c r="U167" i="13"/>
  <c r="U166" i="13"/>
  <c r="U165" i="13"/>
  <c r="N185" i="13" l="1"/>
  <c r="C187" i="13"/>
  <c r="U186" i="13"/>
  <c r="C186" i="13"/>
  <c r="D602" i="13"/>
  <c r="E601" i="13"/>
  <c r="P184" i="13"/>
  <c r="T986" i="13"/>
  <c r="S986" i="13"/>
  <c r="Q986" i="13"/>
  <c r="O986" i="13"/>
  <c r="M986" i="13"/>
  <c r="K986" i="13"/>
  <c r="R1005" i="13"/>
  <c r="P1005" i="13"/>
  <c r="I1005" i="13"/>
  <c r="H1005" i="13"/>
  <c r="G1005" i="13"/>
  <c r="F1005" i="13"/>
  <c r="E1005" i="13"/>
  <c r="R1004" i="13"/>
  <c r="N1004" i="13"/>
  <c r="I1004" i="13"/>
  <c r="H1004" i="13"/>
  <c r="G1004" i="13"/>
  <c r="F1004" i="13"/>
  <c r="E1004" i="13"/>
  <c r="I1003" i="13"/>
  <c r="G1003" i="13"/>
  <c r="F1003" i="13"/>
  <c r="E1003" i="13"/>
  <c r="R1002" i="13"/>
  <c r="N1002" i="13"/>
  <c r="I1002" i="13"/>
  <c r="H1002" i="13"/>
  <c r="G1002" i="13"/>
  <c r="F1002" i="13"/>
  <c r="E1002" i="13"/>
  <c r="R1001" i="13"/>
  <c r="N1001" i="13"/>
  <c r="I1001" i="13"/>
  <c r="G1001" i="13"/>
  <c r="F1001" i="13"/>
  <c r="E1001" i="13"/>
  <c r="R1000" i="13"/>
  <c r="J1000" i="13"/>
  <c r="I1000" i="13"/>
  <c r="G1000" i="13"/>
  <c r="F1000" i="13"/>
  <c r="E1000" i="13"/>
  <c r="J999" i="13"/>
  <c r="I999" i="13"/>
  <c r="G999" i="13"/>
  <c r="F999" i="13"/>
  <c r="E999" i="13"/>
  <c r="R998" i="13"/>
  <c r="P998" i="13"/>
  <c r="N998" i="13"/>
  <c r="J998" i="13"/>
  <c r="I998" i="13"/>
  <c r="H998" i="13"/>
  <c r="G998" i="13"/>
  <c r="F998" i="13"/>
  <c r="E998" i="13"/>
  <c r="P997" i="13"/>
  <c r="J997" i="13"/>
  <c r="I997" i="13"/>
  <c r="H997" i="13"/>
  <c r="G997" i="13"/>
  <c r="F997" i="13"/>
  <c r="E997" i="13"/>
  <c r="R996" i="13"/>
  <c r="P996" i="13"/>
  <c r="J996" i="13"/>
  <c r="I996" i="13"/>
  <c r="H996" i="13"/>
  <c r="G996" i="13"/>
  <c r="F996" i="13"/>
  <c r="E996" i="13"/>
  <c r="R995" i="13"/>
  <c r="P995" i="13"/>
  <c r="F995" i="13"/>
  <c r="E995" i="13"/>
  <c r="R994" i="13"/>
  <c r="N994" i="13"/>
  <c r="F994" i="13"/>
  <c r="E994" i="13"/>
  <c r="R993" i="13"/>
  <c r="N993" i="13"/>
  <c r="F993" i="13"/>
  <c r="E993" i="13"/>
  <c r="R992" i="13"/>
  <c r="N992" i="13"/>
  <c r="F992" i="13"/>
  <c r="E992" i="13"/>
  <c r="R991" i="13"/>
  <c r="P991" i="13"/>
  <c r="N991" i="13"/>
  <c r="J991" i="13"/>
  <c r="H991" i="13"/>
  <c r="E991" i="13"/>
  <c r="R990" i="13"/>
  <c r="J990" i="13"/>
  <c r="I990" i="13"/>
  <c r="G990" i="13"/>
  <c r="F990" i="13"/>
  <c r="E990" i="13"/>
  <c r="R989" i="13"/>
  <c r="I989" i="13"/>
  <c r="H989" i="13"/>
  <c r="G989" i="13"/>
  <c r="F989" i="13"/>
  <c r="E989" i="13"/>
  <c r="R988" i="13"/>
  <c r="J988" i="13"/>
  <c r="I988" i="13"/>
  <c r="H988" i="13"/>
  <c r="G988" i="13"/>
  <c r="F988" i="13"/>
  <c r="E988" i="13"/>
  <c r="L987" i="13"/>
  <c r="L986" i="13" s="1"/>
  <c r="T581" i="13"/>
  <c r="S581" i="13"/>
  <c r="Q581" i="13"/>
  <c r="O581" i="13"/>
  <c r="M581" i="13"/>
  <c r="K581" i="13"/>
  <c r="R600" i="13"/>
  <c r="I600" i="13"/>
  <c r="F600" i="13"/>
  <c r="R599" i="13"/>
  <c r="N599" i="13"/>
  <c r="U599" i="13" s="1"/>
  <c r="I599" i="13"/>
  <c r="H599" i="13"/>
  <c r="G599" i="13"/>
  <c r="F599" i="13"/>
  <c r="E599" i="13"/>
  <c r="R598" i="13"/>
  <c r="N598" i="13"/>
  <c r="U598" i="13" s="1"/>
  <c r="I598" i="13"/>
  <c r="G598" i="13"/>
  <c r="F598" i="13"/>
  <c r="E598" i="13"/>
  <c r="R597" i="13"/>
  <c r="I597" i="13"/>
  <c r="H597" i="13"/>
  <c r="G597" i="13"/>
  <c r="F597" i="13"/>
  <c r="E597" i="13"/>
  <c r="R596" i="13"/>
  <c r="N596" i="13"/>
  <c r="U596" i="13" s="1"/>
  <c r="I596" i="13"/>
  <c r="H596" i="13"/>
  <c r="G596" i="13"/>
  <c r="F596" i="13"/>
  <c r="E596" i="13"/>
  <c r="R595" i="13"/>
  <c r="I595" i="13"/>
  <c r="H595" i="13"/>
  <c r="G595" i="13"/>
  <c r="F595" i="13"/>
  <c r="E595" i="13"/>
  <c r="R594" i="13"/>
  <c r="P594" i="13"/>
  <c r="N594" i="13"/>
  <c r="U594" i="13" s="1"/>
  <c r="J594" i="13"/>
  <c r="I594" i="13"/>
  <c r="G594" i="13"/>
  <c r="F594" i="13"/>
  <c r="E594" i="13"/>
  <c r="P593" i="13"/>
  <c r="J593" i="13"/>
  <c r="I593" i="13"/>
  <c r="G593" i="13"/>
  <c r="F593" i="13"/>
  <c r="E593" i="13"/>
  <c r="R592" i="13"/>
  <c r="P592" i="13"/>
  <c r="I592" i="13"/>
  <c r="G592" i="13"/>
  <c r="F592" i="13"/>
  <c r="E592" i="13"/>
  <c r="R591" i="13"/>
  <c r="P591" i="13"/>
  <c r="I591" i="13"/>
  <c r="G591" i="13"/>
  <c r="F591" i="13"/>
  <c r="E591" i="13"/>
  <c r="I590" i="13"/>
  <c r="G590" i="13"/>
  <c r="F590" i="13"/>
  <c r="E590" i="13"/>
  <c r="P589" i="13"/>
  <c r="N589" i="13"/>
  <c r="U589" i="13" s="1"/>
  <c r="J589" i="13"/>
  <c r="I589" i="13"/>
  <c r="H589" i="13"/>
  <c r="G589" i="13"/>
  <c r="F589" i="13"/>
  <c r="R588" i="13"/>
  <c r="N588" i="13"/>
  <c r="U588" i="13" s="1"/>
  <c r="J588" i="13"/>
  <c r="H588" i="13"/>
  <c r="R587" i="13"/>
  <c r="N587" i="13"/>
  <c r="U587" i="13" s="1"/>
  <c r="J587" i="13"/>
  <c r="I587" i="13"/>
  <c r="G587" i="13"/>
  <c r="F587" i="13"/>
  <c r="E587" i="13"/>
  <c r="R586" i="13"/>
  <c r="P586" i="13"/>
  <c r="N586" i="13"/>
  <c r="U586" i="13" s="1"/>
  <c r="J586" i="13"/>
  <c r="D586" i="13" s="1"/>
  <c r="R585" i="13"/>
  <c r="N585" i="13"/>
  <c r="U585" i="13" s="1"/>
  <c r="J585" i="13"/>
  <c r="H585" i="13"/>
  <c r="I584" i="13"/>
  <c r="G584" i="13"/>
  <c r="F584" i="13"/>
  <c r="E584" i="13"/>
  <c r="R583" i="13"/>
  <c r="N583" i="13"/>
  <c r="J583" i="13"/>
  <c r="D583" i="13" s="1"/>
  <c r="L582" i="13"/>
  <c r="L581" i="13" s="1"/>
  <c r="P986" i="13" l="1"/>
  <c r="H986" i="13"/>
  <c r="J986" i="13"/>
  <c r="D992" i="13"/>
  <c r="C992" i="13" s="1"/>
  <c r="D993" i="13"/>
  <c r="C993" i="13" s="1"/>
  <c r="D995" i="13"/>
  <c r="C995" i="13" s="1"/>
  <c r="D997" i="13"/>
  <c r="C997" i="13" s="1"/>
  <c r="D989" i="13"/>
  <c r="C989" i="13" s="1"/>
  <c r="H581" i="13"/>
  <c r="D587" i="13"/>
  <c r="D600" i="13"/>
  <c r="C600" i="13" s="1"/>
  <c r="G581" i="13"/>
  <c r="D582" i="13" s="1"/>
  <c r="C582" i="13" s="1"/>
  <c r="P581" i="13"/>
  <c r="R581" i="13"/>
  <c r="I581" i="13"/>
  <c r="D590" i="13"/>
  <c r="C590" i="13" s="1"/>
  <c r="D591" i="13"/>
  <c r="C591" i="13" s="1"/>
  <c r="D592" i="13"/>
  <c r="C592" i="13" s="1"/>
  <c r="F581" i="13"/>
  <c r="C602" i="13"/>
  <c r="C601" i="13" s="1"/>
  <c r="D601" i="13"/>
  <c r="C587" i="13"/>
  <c r="D588" i="13"/>
  <c r="C588" i="13" s="1"/>
  <c r="D595" i="13"/>
  <c r="C595" i="13" s="1"/>
  <c r="D991" i="13"/>
  <c r="C991" i="13" s="1"/>
  <c r="D999" i="13"/>
  <c r="C999" i="13" s="1"/>
  <c r="D1003" i="13"/>
  <c r="C1003" i="13" s="1"/>
  <c r="D598" i="13"/>
  <c r="C598" i="13" s="1"/>
  <c r="G986" i="13"/>
  <c r="D987" i="13" s="1"/>
  <c r="D990" i="13"/>
  <c r="C990" i="13" s="1"/>
  <c r="D994" i="13"/>
  <c r="C994" i="13" s="1"/>
  <c r="D1002" i="13"/>
  <c r="C1002" i="13" s="1"/>
  <c r="N581" i="13"/>
  <c r="U583" i="13"/>
  <c r="D593" i="13"/>
  <c r="C593" i="13" s="1"/>
  <c r="J581" i="13"/>
  <c r="D596" i="13"/>
  <c r="C596" i="13" s="1"/>
  <c r="D594" i="13"/>
  <c r="C594" i="13" s="1"/>
  <c r="D599" i="13"/>
  <c r="C599" i="13" s="1"/>
  <c r="E986" i="13"/>
  <c r="I986" i="13"/>
  <c r="F986" i="13"/>
  <c r="R986" i="13"/>
  <c r="D996" i="13"/>
  <c r="C996" i="13" s="1"/>
  <c r="D998" i="13"/>
  <c r="C998" i="13" s="1"/>
  <c r="D1000" i="13"/>
  <c r="C1000" i="13" s="1"/>
  <c r="D1001" i="13"/>
  <c r="C1001" i="13" s="1"/>
  <c r="N986" i="13"/>
  <c r="D1004" i="13"/>
  <c r="C1004" i="13" s="1"/>
  <c r="D1005" i="13"/>
  <c r="C1005" i="13" s="1"/>
  <c r="C185" i="13"/>
  <c r="C583" i="13"/>
  <c r="D584" i="13"/>
  <c r="C584" i="13" s="1"/>
  <c r="D589" i="13"/>
  <c r="C589" i="13" s="1"/>
  <c r="D597" i="13"/>
  <c r="C597" i="13" s="1"/>
  <c r="D988" i="13"/>
  <c r="C988" i="13" s="1"/>
  <c r="C586" i="13"/>
  <c r="E581" i="13"/>
  <c r="C987" i="13"/>
  <c r="D585" i="13"/>
  <c r="C585" i="13" s="1"/>
  <c r="T164" i="13"/>
  <c r="S164" i="13"/>
  <c r="Q164" i="13"/>
  <c r="O164" i="13"/>
  <c r="M164" i="13"/>
  <c r="K164" i="13"/>
  <c r="D183" i="13"/>
  <c r="D170" i="13"/>
  <c r="C170" i="13" s="1"/>
  <c r="D169" i="13"/>
  <c r="D168" i="13"/>
  <c r="D167" i="13"/>
  <c r="R184" i="13"/>
  <c r="I184" i="13"/>
  <c r="G184" i="13"/>
  <c r="F184" i="13"/>
  <c r="E184" i="13"/>
  <c r="N183" i="13"/>
  <c r="U183" i="13" s="1"/>
  <c r="R182" i="13"/>
  <c r="P182" i="13"/>
  <c r="N182" i="13"/>
  <c r="U182" i="13" s="1"/>
  <c r="J182" i="13"/>
  <c r="I182" i="13"/>
  <c r="G182" i="13"/>
  <c r="F182" i="13"/>
  <c r="E182" i="13"/>
  <c r="R181" i="13"/>
  <c r="P181" i="13"/>
  <c r="N181" i="13"/>
  <c r="U181" i="13" s="1"/>
  <c r="I181" i="13"/>
  <c r="G181" i="13"/>
  <c r="F181" i="13"/>
  <c r="E181" i="13"/>
  <c r="J180" i="13"/>
  <c r="I180" i="13"/>
  <c r="H180" i="13"/>
  <c r="G180" i="13"/>
  <c r="F180" i="13"/>
  <c r="E180" i="13"/>
  <c r="R179" i="13"/>
  <c r="N179" i="13"/>
  <c r="U179" i="13" s="1"/>
  <c r="J179" i="13"/>
  <c r="I179" i="13"/>
  <c r="H179" i="13"/>
  <c r="G179" i="13"/>
  <c r="F179" i="13"/>
  <c r="E179" i="13"/>
  <c r="R178" i="13"/>
  <c r="J178" i="13"/>
  <c r="H178" i="13"/>
  <c r="R177" i="13"/>
  <c r="J177" i="13"/>
  <c r="I177" i="13"/>
  <c r="G177" i="13"/>
  <c r="F177" i="13"/>
  <c r="E177" i="13"/>
  <c r="R176" i="13"/>
  <c r="P176" i="13"/>
  <c r="N176" i="13"/>
  <c r="U176" i="13" s="1"/>
  <c r="I176" i="13"/>
  <c r="G176" i="13"/>
  <c r="F176" i="13"/>
  <c r="E176" i="13"/>
  <c r="R175" i="13"/>
  <c r="P175" i="13"/>
  <c r="N175" i="13"/>
  <c r="U175" i="13" s="1"/>
  <c r="J175" i="13"/>
  <c r="I175" i="13"/>
  <c r="H175" i="13"/>
  <c r="G175" i="13"/>
  <c r="F175" i="13"/>
  <c r="E175" i="13"/>
  <c r="R174" i="13"/>
  <c r="P174" i="13"/>
  <c r="N174" i="13"/>
  <c r="U174" i="13" s="1"/>
  <c r="E174" i="13"/>
  <c r="D174" i="13" s="1"/>
  <c r="R173" i="13"/>
  <c r="N173" i="13"/>
  <c r="U173" i="13" s="1"/>
  <c r="J173" i="13"/>
  <c r="I173" i="13"/>
  <c r="G173" i="13"/>
  <c r="F173" i="13"/>
  <c r="E173" i="13"/>
  <c r="R172" i="13"/>
  <c r="I172" i="13"/>
  <c r="H172" i="13"/>
  <c r="G172" i="13"/>
  <c r="F172" i="13"/>
  <c r="E172" i="13"/>
  <c r="R171" i="13"/>
  <c r="N171" i="13"/>
  <c r="U171" i="13" s="1"/>
  <c r="J171" i="13"/>
  <c r="I171" i="13"/>
  <c r="H171" i="13"/>
  <c r="G171" i="13"/>
  <c r="F171" i="13"/>
  <c r="E171" i="13"/>
  <c r="R169" i="13"/>
  <c r="N169" i="13"/>
  <c r="U169" i="13" s="1"/>
  <c r="R168" i="13"/>
  <c r="N168" i="13"/>
  <c r="U168" i="13" s="1"/>
  <c r="L167" i="13"/>
  <c r="L164" i="13" s="1"/>
  <c r="R166" i="13"/>
  <c r="P166" i="13"/>
  <c r="I166" i="13"/>
  <c r="G166" i="13"/>
  <c r="F166" i="13"/>
  <c r="E166" i="13"/>
  <c r="R165" i="13"/>
  <c r="P165" i="13"/>
  <c r="I165" i="13"/>
  <c r="G165" i="13"/>
  <c r="F165" i="13"/>
  <c r="E165" i="13"/>
  <c r="C183" i="13" l="1"/>
  <c r="D986" i="13"/>
  <c r="I164" i="13"/>
  <c r="D172" i="13"/>
  <c r="C172" i="13" s="1"/>
  <c r="D175" i="13"/>
  <c r="C175" i="13" s="1"/>
  <c r="J164" i="13"/>
  <c r="D184" i="13"/>
  <c r="C184" i="13" s="1"/>
  <c r="F164" i="13"/>
  <c r="R164" i="13"/>
  <c r="D171" i="13"/>
  <c r="C171" i="13" s="1"/>
  <c r="P164" i="13"/>
  <c r="D179" i="13"/>
  <c r="C179" i="13" s="1"/>
  <c r="D181" i="13"/>
  <c r="C181" i="13" s="1"/>
  <c r="D173" i="13"/>
  <c r="C173" i="13" s="1"/>
  <c r="D176" i="13"/>
  <c r="C176" i="13" s="1"/>
  <c r="D177" i="13"/>
  <c r="C177" i="13" s="1"/>
  <c r="D180" i="13"/>
  <c r="C180" i="13" s="1"/>
  <c r="G164" i="13"/>
  <c r="C167" i="13"/>
  <c r="C986" i="13"/>
  <c r="D165" i="13"/>
  <c r="C165" i="13" s="1"/>
  <c r="D166" i="13"/>
  <c r="C166" i="13" s="1"/>
  <c r="H164" i="13"/>
  <c r="D178" i="13"/>
  <c r="C178" i="13" s="1"/>
  <c r="D182" i="13"/>
  <c r="C182" i="13" s="1"/>
  <c r="N164" i="13"/>
  <c r="D581" i="13"/>
  <c r="C174" i="13"/>
  <c r="E164" i="13"/>
  <c r="C169" i="13"/>
  <c r="C581" i="13"/>
  <c r="C168" i="13"/>
  <c r="D164" i="13" l="1"/>
  <c r="C164" i="13"/>
  <c r="U576" i="13"/>
  <c r="U575" i="13"/>
  <c r="G969" i="13"/>
  <c r="P971" i="13"/>
  <c r="T983" i="13"/>
  <c r="S983" i="13"/>
  <c r="Q983" i="13"/>
  <c r="P983" i="13"/>
  <c r="O983" i="13"/>
  <c r="M983" i="13"/>
  <c r="L983" i="13"/>
  <c r="K983" i="13"/>
  <c r="J983" i="13"/>
  <c r="H983" i="13"/>
  <c r="R985" i="13"/>
  <c r="R984" i="13"/>
  <c r="N985" i="13"/>
  <c r="U985" i="13" s="1"/>
  <c r="N984" i="13"/>
  <c r="U1005" i="13"/>
  <c r="U1004" i="13"/>
  <c r="U1003" i="13"/>
  <c r="U1002" i="13"/>
  <c r="U1001" i="13"/>
  <c r="U1000" i="13"/>
  <c r="U999" i="13"/>
  <c r="U998" i="13"/>
  <c r="U997" i="13"/>
  <c r="U996" i="13"/>
  <c r="U995" i="13"/>
  <c r="U994" i="13"/>
  <c r="U993" i="13"/>
  <c r="U992" i="13"/>
  <c r="U991" i="13"/>
  <c r="U990" i="13"/>
  <c r="U989" i="13"/>
  <c r="U988" i="13"/>
  <c r="U987" i="13"/>
  <c r="U984" i="13"/>
  <c r="I985" i="13"/>
  <c r="G985" i="13"/>
  <c r="F985" i="13"/>
  <c r="E985" i="13"/>
  <c r="I984" i="13"/>
  <c r="I983" i="13" s="1"/>
  <c r="G984" i="13"/>
  <c r="G983" i="13" s="1"/>
  <c r="F984" i="13"/>
  <c r="F983" i="13" s="1"/>
  <c r="E984" i="13"/>
  <c r="E983" i="13" s="1"/>
  <c r="I982" i="13"/>
  <c r="G982" i="13"/>
  <c r="F982" i="13"/>
  <c r="E982" i="13"/>
  <c r="R982" i="13"/>
  <c r="R980" i="13" s="1"/>
  <c r="N982" i="13"/>
  <c r="N980" i="13" s="1"/>
  <c r="T980" i="13"/>
  <c r="S980" i="13"/>
  <c r="Q980" i="13"/>
  <c r="P980" i="13"/>
  <c r="O980" i="13"/>
  <c r="M980" i="13"/>
  <c r="L980" i="13"/>
  <c r="K980" i="13"/>
  <c r="J980" i="13"/>
  <c r="H980" i="13"/>
  <c r="I981" i="13"/>
  <c r="G981" i="13"/>
  <c r="F981" i="13"/>
  <c r="E981" i="13"/>
  <c r="I979" i="13"/>
  <c r="I978" i="13" s="1"/>
  <c r="G979" i="13"/>
  <c r="G978" i="13" s="1"/>
  <c r="F979" i="13"/>
  <c r="F978" i="13" s="1"/>
  <c r="E979" i="13"/>
  <c r="E978" i="13" s="1"/>
  <c r="T974" i="13"/>
  <c r="S974" i="13"/>
  <c r="Q974" i="13"/>
  <c r="P974" i="13"/>
  <c r="O974" i="13"/>
  <c r="M974" i="13"/>
  <c r="L974" i="13"/>
  <c r="K974" i="13"/>
  <c r="J974" i="13"/>
  <c r="H974" i="13"/>
  <c r="F974" i="13"/>
  <c r="I977" i="13"/>
  <c r="G977" i="13"/>
  <c r="E977" i="13"/>
  <c r="N977" i="13"/>
  <c r="U977" i="13" s="1"/>
  <c r="N976" i="13"/>
  <c r="U976" i="13" s="1"/>
  <c r="U981" i="13"/>
  <c r="U979" i="13"/>
  <c r="U975" i="13"/>
  <c r="I976" i="13"/>
  <c r="G976" i="13"/>
  <c r="E976" i="13"/>
  <c r="R977" i="13"/>
  <c r="R976" i="13"/>
  <c r="R975" i="13"/>
  <c r="I975" i="13"/>
  <c r="G975" i="13"/>
  <c r="E975" i="13"/>
  <c r="T968" i="13"/>
  <c r="S968" i="13"/>
  <c r="Q968" i="13"/>
  <c r="O968" i="13"/>
  <c r="M968" i="13"/>
  <c r="L968" i="13"/>
  <c r="K968" i="13"/>
  <c r="J968" i="13"/>
  <c r="I968" i="13"/>
  <c r="H968" i="13"/>
  <c r="R973" i="13"/>
  <c r="G973" i="13"/>
  <c r="F973" i="13"/>
  <c r="E973" i="13"/>
  <c r="R972" i="13"/>
  <c r="G972" i="13"/>
  <c r="F972" i="13"/>
  <c r="F968" i="13" s="1"/>
  <c r="E972" i="13"/>
  <c r="R974" i="13" l="1"/>
  <c r="E980" i="13"/>
  <c r="E974" i="13"/>
  <c r="D984" i="13"/>
  <c r="C984" i="13" s="1"/>
  <c r="D981" i="13"/>
  <c r="C981" i="13" s="1"/>
  <c r="G974" i="13"/>
  <c r="N974" i="13"/>
  <c r="G980" i="13"/>
  <c r="D973" i="13"/>
  <c r="C973" i="13" s="1"/>
  <c r="I974" i="13"/>
  <c r="D985" i="13"/>
  <c r="C985" i="13" s="1"/>
  <c r="U982" i="13"/>
  <c r="F980" i="13"/>
  <c r="R983" i="13"/>
  <c r="I980" i="13"/>
  <c r="N983" i="13"/>
  <c r="D982" i="13"/>
  <c r="D979" i="13"/>
  <c r="D978" i="13" s="1"/>
  <c r="D977" i="13"/>
  <c r="C977" i="13" s="1"/>
  <c r="D976" i="13"/>
  <c r="C976" i="13" s="1"/>
  <c r="D975" i="13"/>
  <c r="G971" i="13"/>
  <c r="D972" i="13" s="1"/>
  <c r="C972" i="13" s="1"/>
  <c r="E971" i="13"/>
  <c r="R971" i="13"/>
  <c r="N971" i="13"/>
  <c r="U971" i="13" s="1"/>
  <c r="N969" i="13"/>
  <c r="R970" i="13"/>
  <c r="R969" i="13"/>
  <c r="D970" i="13"/>
  <c r="R967" i="13"/>
  <c r="R966" i="13"/>
  <c r="R964" i="13"/>
  <c r="N967" i="13"/>
  <c r="U967" i="13" s="1"/>
  <c r="N966" i="13"/>
  <c r="U966" i="13" s="1"/>
  <c r="N964" i="13"/>
  <c r="U964" i="13" s="1"/>
  <c r="U965" i="13"/>
  <c r="U973" i="13"/>
  <c r="U972" i="13"/>
  <c r="U970" i="13"/>
  <c r="E969" i="13"/>
  <c r="P969" i="13"/>
  <c r="P968" i="13" s="1"/>
  <c r="C983" i="13" l="1"/>
  <c r="D983" i="13"/>
  <c r="E968" i="13"/>
  <c r="R968" i="13"/>
  <c r="G968" i="13"/>
  <c r="D969" i="13" s="1"/>
  <c r="C969" i="13" s="1"/>
  <c r="U969" i="13"/>
  <c r="N968" i="13"/>
  <c r="D971" i="13"/>
  <c r="C971" i="13" s="1"/>
  <c r="C970" i="13"/>
  <c r="C982" i="13"/>
  <c r="C980" i="13" s="1"/>
  <c r="D980" i="13"/>
  <c r="C975" i="13"/>
  <c r="C974" i="13" s="1"/>
  <c r="D974" i="13"/>
  <c r="C979" i="13"/>
  <c r="C978" i="13" s="1"/>
  <c r="T161" i="13"/>
  <c r="S161" i="13"/>
  <c r="Q161" i="13"/>
  <c r="P161" i="13"/>
  <c r="O161" i="13"/>
  <c r="M161" i="13"/>
  <c r="L161" i="13"/>
  <c r="K161" i="13"/>
  <c r="J161" i="13"/>
  <c r="H161" i="13"/>
  <c r="C968" i="13" l="1"/>
  <c r="D968" i="13"/>
  <c r="I162" i="13"/>
  <c r="I161" i="13" s="1"/>
  <c r="G162" i="13"/>
  <c r="F162" i="13"/>
  <c r="F161" i="13" s="1"/>
  <c r="E162" i="13"/>
  <c r="N162" i="13"/>
  <c r="N161" i="13" s="1"/>
  <c r="T157" i="13"/>
  <c r="S157" i="13"/>
  <c r="Q157" i="13"/>
  <c r="P157" i="13"/>
  <c r="O157" i="13"/>
  <c r="N157" i="13"/>
  <c r="M157" i="13"/>
  <c r="L157" i="13"/>
  <c r="K157" i="13"/>
  <c r="J157" i="13"/>
  <c r="H157" i="13"/>
  <c r="I160" i="13"/>
  <c r="G160" i="13"/>
  <c r="F160" i="13"/>
  <c r="E160" i="13"/>
  <c r="I159" i="13"/>
  <c r="I157" i="13" s="1"/>
  <c r="G159" i="13"/>
  <c r="F159" i="13"/>
  <c r="F157" i="13" s="1"/>
  <c r="E159" i="13"/>
  <c r="R160" i="13"/>
  <c r="R159" i="13"/>
  <c r="U163" i="13"/>
  <c r="U160" i="13"/>
  <c r="U159" i="13"/>
  <c r="U158" i="13"/>
  <c r="G158" i="13"/>
  <c r="E158" i="13"/>
  <c r="T155" i="13"/>
  <c r="S155" i="13"/>
  <c r="Q155" i="13"/>
  <c r="P155" i="13"/>
  <c r="O155" i="13"/>
  <c r="M155" i="13"/>
  <c r="L155" i="13"/>
  <c r="K155" i="13"/>
  <c r="J155" i="13"/>
  <c r="I155" i="13"/>
  <c r="H155" i="13"/>
  <c r="G155" i="13"/>
  <c r="F155" i="13"/>
  <c r="N156" i="13"/>
  <c r="U156" i="13" s="1"/>
  <c r="U154" i="13"/>
  <c r="U153" i="13"/>
  <c r="U150" i="13"/>
  <c r="U149" i="13"/>
  <c r="U148" i="13"/>
  <c r="U147" i="13"/>
  <c r="U146" i="13"/>
  <c r="R156" i="13"/>
  <c r="R155" i="13" s="1"/>
  <c r="E156" i="13"/>
  <c r="E155" i="13" s="1"/>
  <c r="T145" i="13"/>
  <c r="S145" i="13"/>
  <c r="Q145" i="13"/>
  <c r="O145" i="13"/>
  <c r="N145" i="13"/>
  <c r="M145" i="13"/>
  <c r="L145" i="13"/>
  <c r="K145" i="13"/>
  <c r="J145" i="13"/>
  <c r="H145" i="13"/>
  <c r="G150" i="13"/>
  <c r="F150" i="13"/>
  <c r="E150" i="13"/>
  <c r="G149" i="13"/>
  <c r="F149" i="13"/>
  <c r="E149" i="13"/>
  <c r="R150" i="13"/>
  <c r="R149" i="13"/>
  <c r="R148" i="13"/>
  <c r="I148" i="13"/>
  <c r="I145" i="13" s="1"/>
  <c r="G148" i="13"/>
  <c r="E148" i="13"/>
  <c r="P148" i="13"/>
  <c r="P145" i="13" s="1"/>
  <c r="E147" i="13"/>
  <c r="E146" i="13"/>
  <c r="D146" i="13" s="1"/>
  <c r="R147" i="13"/>
  <c r="R146" i="13"/>
  <c r="I577" i="13"/>
  <c r="G580" i="13"/>
  <c r="F577" i="13"/>
  <c r="E580" i="13"/>
  <c r="G579" i="13"/>
  <c r="E579" i="13"/>
  <c r="T577" i="13"/>
  <c r="S577" i="13"/>
  <c r="Q577" i="13"/>
  <c r="P577" i="13"/>
  <c r="O577" i="13"/>
  <c r="M577" i="13"/>
  <c r="L577" i="13"/>
  <c r="K577" i="13"/>
  <c r="J577" i="13"/>
  <c r="H577" i="13"/>
  <c r="R580" i="13"/>
  <c r="R579" i="13"/>
  <c r="R578" i="13"/>
  <c r="N580" i="13"/>
  <c r="U580" i="13" s="1"/>
  <c r="N579" i="13"/>
  <c r="U579" i="13" s="1"/>
  <c r="N578" i="13"/>
  <c r="U578" i="13" s="1"/>
  <c r="G578" i="13"/>
  <c r="E578" i="13"/>
  <c r="T574" i="13"/>
  <c r="S574" i="13"/>
  <c r="Q574" i="13"/>
  <c r="P574" i="13"/>
  <c r="O574" i="13"/>
  <c r="N574" i="13"/>
  <c r="M574" i="13"/>
  <c r="L574" i="13"/>
  <c r="K574" i="13"/>
  <c r="J574" i="13"/>
  <c r="H574" i="13"/>
  <c r="I576" i="13"/>
  <c r="G576" i="13"/>
  <c r="F576" i="13"/>
  <c r="E576" i="13"/>
  <c r="R576" i="13"/>
  <c r="R575" i="13"/>
  <c r="I575" i="13"/>
  <c r="G575" i="13"/>
  <c r="F575" i="13"/>
  <c r="E575" i="13"/>
  <c r="T564" i="13"/>
  <c r="S564" i="13"/>
  <c r="Q564" i="13"/>
  <c r="O564" i="13"/>
  <c r="M564" i="13"/>
  <c r="L564" i="13"/>
  <c r="K564" i="13"/>
  <c r="J564" i="13"/>
  <c r="I564" i="13"/>
  <c r="H564" i="13"/>
  <c r="G569" i="13"/>
  <c r="F569" i="13"/>
  <c r="E569" i="13"/>
  <c r="R569" i="13"/>
  <c r="R568" i="13"/>
  <c r="G568" i="13"/>
  <c r="F568" i="13"/>
  <c r="E568" i="13"/>
  <c r="I574" i="13" l="1"/>
  <c r="U162" i="13"/>
  <c r="F574" i="13"/>
  <c r="R157" i="13"/>
  <c r="F564" i="13"/>
  <c r="G145" i="13"/>
  <c r="D578" i="13"/>
  <c r="C578" i="13" s="1"/>
  <c r="R577" i="13"/>
  <c r="E157" i="13"/>
  <c r="E145" i="13"/>
  <c r="E574" i="13"/>
  <c r="R574" i="13"/>
  <c r="D576" i="13"/>
  <c r="C576" i="13" s="1"/>
  <c r="E577" i="13"/>
  <c r="R145" i="13"/>
  <c r="F145" i="13"/>
  <c r="G157" i="13"/>
  <c r="N577" i="13"/>
  <c r="C146" i="13"/>
  <c r="G577" i="13"/>
  <c r="N155" i="13"/>
  <c r="G574" i="13"/>
  <c r="D569" i="13"/>
  <c r="C569" i="13" s="1"/>
  <c r="D162" i="13"/>
  <c r="D160" i="13"/>
  <c r="C160" i="13" s="1"/>
  <c r="D159" i="13"/>
  <c r="C159" i="13" s="1"/>
  <c r="D158" i="13"/>
  <c r="D156" i="13"/>
  <c r="D150" i="13"/>
  <c r="C150" i="13" s="1"/>
  <c r="D149" i="13"/>
  <c r="C149" i="13" s="1"/>
  <c r="D148" i="13"/>
  <c r="C148" i="13" s="1"/>
  <c r="D147" i="13"/>
  <c r="D580" i="13"/>
  <c r="C580" i="13" s="1"/>
  <c r="D579" i="13"/>
  <c r="C579" i="13" s="1"/>
  <c r="D575" i="13"/>
  <c r="D568" i="13"/>
  <c r="C568" i="13" s="1"/>
  <c r="G567" i="13"/>
  <c r="E567" i="13"/>
  <c r="P567" i="13"/>
  <c r="R567" i="13"/>
  <c r="N567" i="13"/>
  <c r="P566" i="13"/>
  <c r="G566" i="13"/>
  <c r="E566" i="13"/>
  <c r="P565" i="13"/>
  <c r="R566" i="13"/>
  <c r="R565" i="13"/>
  <c r="R563" i="13"/>
  <c r="R562" i="13"/>
  <c r="R561" i="13"/>
  <c r="R560" i="13"/>
  <c r="R559" i="13"/>
  <c r="N566" i="13"/>
  <c r="U566" i="13" s="1"/>
  <c r="N565" i="13"/>
  <c r="U569" i="13"/>
  <c r="U568" i="13"/>
  <c r="U567" i="13"/>
  <c r="G565" i="13"/>
  <c r="E565" i="13"/>
  <c r="E564" i="13" l="1"/>
  <c r="R564" i="13"/>
  <c r="U565" i="13"/>
  <c r="N564" i="13"/>
  <c r="P564" i="13"/>
  <c r="G564" i="13"/>
  <c r="C147" i="13"/>
  <c r="C145" i="13" s="1"/>
  <c r="D145" i="13"/>
  <c r="C156" i="13"/>
  <c r="C155" i="13" s="1"/>
  <c r="D155" i="13"/>
  <c r="C158" i="13"/>
  <c r="C157" i="13" s="1"/>
  <c r="D157" i="13"/>
  <c r="C162" i="13"/>
  <c r="C575" i="13"/>
  <c r="C574" i="13" s="1"/>
  <c r="D574" i="13"/>
  <c r="C577" i="13"/>
  <c r="D577" i="13"/>
  <c r="D567" i="13"/>
  <c r="C567" i="13" s="1"/>
  <c r="D566" i="13"/>
  <c r="C566" i="13" s="1"/>
  <c r="D565" i="13"/>
  <c r="C565" i="13" l="1"/>
  <c r="C564" i="13" s="1"/>
  <c r="D564" i="13"/>
  <c r="T570" i="13"/>
  <c r="S570" i="13"/>
  <c r="Q570" i="13"/>
  <c r="P570" i="13"/>
  <c r="O570" i="13"/>
  <c r="M570" i="13"/>
  <c r="L570" i="13"/>
  <c r="K570" i="13"/>
  <c r="J570" i="13"/>
  <c r="H570" i="13"/>
  <c r="F570" i="13"/>
  <c r="I573" i="13"/>
  <c r="G573" i="13"/>
  <c r="E573" i="13"/>
  <c r="R572" i="13"/>
  <c r="R573" i="13"/>
  <c r="R571" i="13"/>
  <c r="N573" i="13"/>
  <c r="U573" i="13" s="1"/>
  <c r="N572" i="13"/>
  <c r="U572" i="13" s="1"/>
  <c r="U571" i="13"/>
  <c r="I572" i="13"/>
  <c r="G572" i="13"/>
  <c r="E572" i="13"/>
  <c r="E571" i="13"/>
  <c r="I151" i="13"/>
  <c r="H151" i="13"/>
  <c r="E154" i="13"/>
  <c r="E153" i="13"/>
  <c r="R154" i="13"/>
  <c r="R153" i="13"/>
  <c r="T151" i="13"/>
  <c r="S151" i="13"/>
  <c r="Q151" i="13"/>
  <c r="P151" i="13"/>
  <c r="O151" i="13"/>
  <c r="M151" i="13"/>
  <c r="L151" i="13"/>
  <c r="K151" i="13"/>
  <c r="J151" i="13"/>
  <c r="G151" i="13"/>
  <c r="D152" i="13"/>
  <c r="N152" i="13"/>
  <c r="U152" i="13" s="1"/>
  <c r="R163" i="13"/>
  <c r="R161" i="13" s="1"/>
  <c r="G163" i="13"/>
  <c r="G161" i="13" s="1"/>
  <c r="E163" i="13"/>
  <c r="E161" i="13" s="1"/>
  <c r="T962" i="13"/>
  <c r="T845" i="13" s="1"/>
  <c r="S962" i="13"/>
  <c r="S845" i="13" s="1"/>
  <c r="R962" i="13"/>
  <c r="Q962" i="13"/>
  <c r="Q845" i="13" s="1"/>
  <c r="P962" i="13"/>
  <c r="P845" i="13" s="1"/>
  <c r="O962" i="13"/>
  <c r="O845" i="13" s="1"/>
  <c r="M962" i="13"/>
  <c r="M845" i="13" s="1"/>
  <c r="L962" i="13"/>
  <c r="L845" i="13" s="1"/>
  <c r="K962" i="13"/>
  <c r="K845" i="13" s="1"/>
  <c r="J962" i="13"/>
  <c r="J845" i="13" s="1"/>
  <c r="N963" i="13"/>
  <c r="U963" i="13" s="1"/>
  <c r="R151" i="13" l="1"/>
  <c r="I570" i="13"/>
  <c r="R570" i="13"/>
  <c r="G570" i="13"/>
  <c r="E570" i="13"/>
  <c r="N151" i="13"/>
  <c r="N570" i="13"/>
  <c r="N962" i="13"/>
  <c r="C152" i="13"/>
  <c r="E151" i="13"/>
  <c r="D573" i="13"/>
  <c r="C573" i="13" s="1"/>
  <c r="D572" i="13"/>
  <c r="C572" i="13" s="1"/>
  <c r="D571" i="13"/>
  <c r="D154" i="13"/>
  <c r="C154" i="13" s="1"/>
  <c r="F151" i="13"/>
  <c r="D153" i="13"/>
  <c r="C153" i="13" s="1"/>
  <c r="D163" i="13"/>
  <c r="C163" i="13" l="1"/>
  <c r="C161" i="13" s="1"/>
  <c r="D161" i="13"/>
  <c r="C571" i="13"/>
  <c r="C570" i="13" s="1"/>
  <c r="D570" i="13"/>
  <c r="C151" i="13"/>
  <c r="D151" i="13"/>
  <c r="T558" i="13" l="1"/>
  <c r="S558" i="13"/>
  <c r="R558" i="13"/>
  <c r="Q558" i="13"/>
  <c r="P558" i="13"/>
  <c r="O558" i="13"/>
  <c r="N558" i="13"/>
  <c r="M558" i="13"/>
  <c r="L558" i="13"/>
  <c r="K558" i="13"/>
  <c r="J558" i="13"/>
  <c r="I562" i="13"/>
  <c r="H562" i="13"/>
  <c r="G562" i="13"/>
  <c r="I561" i="13"/>
  <c r="G561" i="13"/>
  <c r="F561" i="13"/>
  <c r="F562" i="13"/>
  <c r="E562" i="13"/>
  <c r="E561" i="13"/>
  <c r="I560" i="13"/>
  <c r="G560" i="13"/>
  <c r="F560" i="13"/>
  <c r="E560" i="13"/>
  <c r="I559" i="13"/>
  <c r="H559" i="13"/>
  <c r="G559" i="13"/>
  <c r="F559" i="13"/>
  <c r="E559" i="13"/>
  <c r="E563" i="13"/>
  <c r="I967" i="13"/>
  <c r="G967" i="13"/>
  <c r="E967" i="13"/>
  <c r="I966" i="13"/>
  <c r="G966" i="13"/>
  <c r="E966" i="13"/>
  <c r="G964" i="13"/>
  <c r="F964" i="13"/>
  <c r="E964" i="13"/>
  <c r="I965" i="13"/>
  <c r="H965" i="13"/>
  <c r="H962" i="13" s="1"/>
  <c r="H845" i="13" s="1"/>
  <c r="G965" i="13"/>
  <c r="F965" i="13"/>
  <c r="E965" i="13"/>
  <c r="T140" i="13"/>
  <c r="S140" i="13"/>
  <c r="Q140" i="13"/>
  <c r="P140" i="13"/>
  <c r="O140" i="13"/>
  <c r="M140" i="13"/>
  <c r="L140" i="13"/>
  <c r="K140" i="13"/>
  <c r="J140" i="13"/>
  <c r="H140" i="13"/>
  <c r="R144" i="13"/>
  <c r="C144" i="13" s="1"/>
  <c r="R143" i="13"/>
  <c r="C143" i="13" s="1"/>
  <c r="R142" i="13"/>
  <c r="R141" i="13"/>
  <c r="N142" i="13"/>
  <c r="U142" i="13" s="1"/>
  <c r="N141" i="13"/>
  <c r="U141" i="13" s="1"/>
  <c r="G142" i="13"/>
  <c r="F142" i="13"/>
  <c r="E142" i="13"/>
  <c r="I141" i="13"/>
  <c r="I140" i="13" s="1"/>
  <c r="G141" i="13"/>
  <c r="F141" i="13"/>
  <c r="F140" i="13" s="1"/>
  <c r="E141" i="13"/>
  <c r="E140" i="13" l="1"/>
  <c r="G140" i="13"/>
  <c r="F962" i="13"/>
  <c r="F845" i="13" s="1"/>
  <c r="H558" i="13"/>
  <c r="D966" i="13"/>
  <c r="C966" i="13" s="1"/>
  <c r="F558" i="13"/>
  <c r="E558" i="13"/>
  <c r="D561" i="13"/>
  <c r="C561" i="13" s="1"/>
  <c r="R140" i="13"/>
  <c r="G558" i="13"/>
  <c r="I558" i="13"/>
  <c r="N140" i="13"/>
  <c r="E962" i="13"/>
  <c r="E845" i="13" s="1"/>
  <c r="D559" i="13"/>
  <c r="C559" i="13" s="1"/>
  <c r="I962" i="13"/>
  <c r="I845" i="13" s="1"/>
  <c r="G962" i="13"/>
  <c r="D562" i="13"/>
  <c r="C562" i="13" s="1"/>
  <c r="D560" i="13"/>
  <c r="D563" i="13"/>
  <c r="C563" i="13" s="1"/>
  <c r="D967" i="13"/>
  <c r="C967" i="13" s="1"/>
  <c r="D964" i="13"/>
  <c r="D965" i="13"/>
  <c r="C965" i="13" s="1"/>
  <c r="D142" i="13"/>
  <c r="C142" i="13" s="1"/>
  <c r="D141" i="13"/>
  <c r="D963" i="13" l="1"/>
  <c r="C963" i="13" s="1"/>
  <c r="G845" i="13"/>
  <c r="D140" i="13"/>
  <c r="C141" i="13"/>
  <c r="C140" i="13" s="1"/>
  <c r="C560" i="13"/>
  <c r="C558" i="13" s="1"/>
  <c r="D558" i="13"/>
  <c r="C964" i="13"/>
  <c r="D962" i="13" l="1"/>
  <c r="D845" i="13" s="1"/>
  <c r="C962" i="13"/>
  <c r="N557" i="13"/>
  <c r="N556" i="13"/>
  <c r="U948" i="13"/>
  <c r="T535" i="13"/>
  <c r="S535" i="13"/>
  <c r="R535" i="13"/>
  <c r="Q535" i="13"/>
  <c r="P535" i="13"/>
  <c r="O535" i="13"/>
  <c r="N535" i="13"/>
  <c r="M535" i="13"/>
  <c r="L535" i="13"/>
  <c r="K535" i="13"/>
  <c r="J535" i="13"/>
  <c r="I535" i="13"/>
  <c r="H535" i="13"/>
  <c r="G535" i="13"/>
  <c r="F535" i="13"/>
  <c r="E535" i="13"/>
  <c r="D66" i="13"/>
  <c r="D65" i="13"/>
  <c r="D64" i="13"/>
  <c r="C64" i="13" s="1"/>
  <c r="D63" i="13"/>
  <c r="C63" i="13" s="1"/>
  <c r="D62" i="13"/>
  <c r="D61" i="13"/>
  <c r="D60" i="13"/>
  <c r="D59" i="13"/>
  <c r="D58" i="13"/>
  <c r="D57" i="13"/>
  <c r="D55" i="13"/>
  <c r="C55" i="13" s="1"/>
  <c r="D54" i="13"/>
  <c r="D52" i="13"/>
  <c r="C52" i="13" s="1"/>
  <c r="D51" i="13"/>
  <c r="C51" i="13" s="1"/>
  <c r="D50" i="13"/>
  <c r="C50" i="13" s="1"/>
  <c r="D49" i="13"/>
  <c r="C49" i="13" s="1"/>
  <c r="D46" i="13"/>
  <c r="C46" i="13" s="1"/>
  <c r="D45" i="13"/>
  <c r="C45" i="13" s="1"/>
  <c r="D44" i="13"/>
  <c r="T505" i="13"/>
  <c r="S505" i="13"/>
  <c r="R505" i="13"/>
  <c r="Q505" i="13"/>
  <c r="P505" i="13"/>
  <c r="O505" i="13"/>
  <c r="N505" i="13"/>
  <c r="M505" i="13"/>
  <c r="L505" i="13"/>
  <c r="K505" i="13"/>
  <c r="J505" i="13"/>
  <c r="I505" i="13"/>
  <c r="I432" i="13" s="1"/>
  <c r="H505" i="13"/>
  <c r="G505" i="13"/>
  <c r="F505" i="13"/>
  <c r="E505" i="13"/>
  <c r="E432" i="13" s="1"/>
  <c r="D505" i="13"/>
  <c r="C505" i="13"/>
  <c r="T518" i="13"/>
  <c r="S518" i="13"/>
  <c r="R518" i="13"/>
  <c r="Q518" i="13"/>
  <c r="P518" i="13"/>
  <c r="O518" i="13"/>
  <c r="N518" i="13"/>
  <c r="M518" i="13"/>
  <c r="L518" i="13"/>
  <c r="K518" i="13"/>
  <c r="J518" i="13"/>
  <c r="I518" i="13"/>
  <c r="H518" i="13"/>
  <c r="G518" i="13"/>
  <c r="F518" i="13"/>
  <c r="E518" i="13"/>
  <c r="D518" i="13"/>
  <c r="C518" i="13"/>
  <c r="N928" i="13"/>
  <c r="N923" i="13"/>
  <c r="H432" i="13" l="1"/>
  <c r="M432" i="13"/>
  <c r="Q432" i="13"/>
  <c r="G432" i="13"/>
  <c r="K432" i="13"/>
  <c r="O432" i="13"/>
  <c r="S432" i="13"/>
  <c r="F432" i="13"/>
  <c r="J432" i="13"/>
  <c r="R432" i="13"/>
  <c r="L432" i="13"/>
  <c r="T432" i="13"/>
  <c r="C44" i="13"/>
  <c r="C43" i="13" s="1"/>
  <c r="D43" i="13"/>
  <c r="U928" i="13"/>
  <c r="C928" i="13"/>
  <c r="C54" i="13"/>
  <c r="C53" i="13" s="1"/>
  <c r="D53" i="13"/>
  <c r="U557" i="13"/>
  <c r="C557" i="13"/>
  <c r="U556" i="13"/>
  <c r="N555" i="13"/>
  <c r="N432" i="13" s="1"/>
  <c r="C556" i="13"/>
  <c r="U923" i="13"/>
  <c r="N918" i="13"/>
  <c r="C923" i="13"/>
  <c r="D56" i="13"/>
  <c r="U925" i="13"/>
  <c r="C925" i="13"/>
  <c r="C535" i="13"/>
  <c r="D535" i="13"/>
  <c r="N917" i="13"/>
  <c r="C918" i="13" l="1"/>
  <c r="C555" i="13"/>
  <c r="U917" i="13"/>
  <c r="N916" i="13"/>
  <c r="N845" i="13" s="1"/>
  <c r="C917" i="13"/>
  <c r="C916" i="13" s="1"/>
  <c r="N48" i="13"/>
  <c r="D48" i="13"/>
  <c r="D47" i="13" s="1"/>
  <c r="D39" i="13"/>
  <c r="C39" i="13" s="1"/>
  <c r="D38" i="13"/>
  <c r="P438" i="13"/>
  <c r="R857" i="13"/>
  <c r="C857" i="13" s="1"/>
  <c r="P447" i="13"/>
  <c r="C447" i="13" s="1"/>
  <c r="R852" i="13"/>
  <c r="P446" i="13"/>
  <c r="C446" i="13" s="1"/>
  <c r="R850" i="13" l="1"/>
  <c r="R845" i="13" s="1"/>
  <c r="C852" i="13"/>
  <c r="C850" i="13" s="1"/>
  <c r="C845" i="13" s="1"/>
  <c r="C38" i="13"/>
  <c r="C37" i="13" s="1"/>
  <c r="D37" i="13"/>
  <c r="V48" i="13"/>
  <c r="N47" i="13"/>
  <c r="U48" i="13"/>
  <c r="C48" i="13" s="1"/>
  <c r="C47" i="13" s="1"/>
  <c r="P437" i="13"/>
  <c r="P432" i="13" s="1"/>
  <c r="U477" i="13"/>
  <c r="D41" i="13"/>
  <c r="D42" i="13"/>
  <c r="C42" i="13" s="1"/>
  <c r="C438" i="13"/>
  <c r="C437" i="13" s="1"/>
  <c r="C41" i="13" l="1"/>
  <c r="C40" i="13" s="1"/>
  <c r="D40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U1244" i="13"/>
  <c r="U842" i="13"/>
  <c r="U430" i="13"/>
  <c r="U1231" i="13"/>
  <c r="U831" i="13"/>
  <c r="U418" i="13"/>
  <c r="U416" i="13"/>
  <c r="U1229" i="13"/>
  <c r="U829" i="13"/>
  <c r="U414" i="13"/>
  <c r="U1226" i="13"/>
  <c r="U411" i="13"/>
  <c r="U825" i="13"/>
  <c r="U1223" i="13"/>
  <c r="U821" i="13"/>
  <c r="U408" i="13"/>
  <c r="U818" i="13"/>
  <c r="U1220" i="13"/>
  <c r="U1218" i="13"/>
  <c r="U816" i="13"/>
  <c r="U406" i="13"/>
  <c r="U814" i="13"/>
  <c r="U404" i="13"/>
  <c r="U1208" i="13"/>
  <c r="U804" i="13"/>
  <c r="U394" i="13"/>
  <c r="U389" i="13"/>
  <c r="U1201" i="13"/>
  <c r="U796" i="13"/>
  <c r="U381" i="13"/>
  <c r="U1191" i="13"/>
  <c r="U791" i="13"/>
  <c r="U376" i="13"/>
  <c r="U1188" i="13"/>
  <c r="U789" i="13"/>
  <c r="U785" i="13"/>
  <c r="U1185" i="13"/>
  <c r="U782" i="13"/>
  <c r="U373" i="13"/>
  <c r="U370" i="13"/>
  <c r="U1178" i="13"/>
  <c r="U777" i="13"/>
  <c r="U367" i="13"/>
  <c r="U775" i="13"/>
  <c r="U363" i="13"/>
  <c r="U1172" i="13"/>
  <c r="U769" i="13"/>
  <c r="U1167" i="13"/>
  <c r="U1069" i="13"/>
  <c r="U667" i="13"/>
  <c r="U250" i="13"/>
  <c r="U1066" i="13"/>
  <c r="U1062" i="13"/>
  <c r="D665" i="13"/>
  <c r="U247" i="13"/>
  <c r="U661" i="13"/>
  <c r="U244" i="13"/>
  <c r="U1059" i="13"/>
  <c r="U659" i="13"/>
  <c r="U241" i="13"/>
  <c r="U1057" i="13"/>
  <c r="U657" i="13"/>
  <c r="U239" i="13"/>
  <c r="U1054" i="13"/>
  <c r="U654" i="13"/>
  <c r="U236" i="13"/>
  <c r="U652" i="13"/>
  <c r="U234" i="13"/>
  <c r="U1051" i="13"/>
  <c r="U649" i="13"/>
  <c r="U231" i="13"/>
  <c r="U1031" i="13"/>
  <c r="U630" i="13"/>
  <c r="C665" i="13" l="1"/>
  <c r="C664" i="13" s="1"/>
  <c r="D664" i="13"/>
  <c r="D432" i="13" s="1"/>
  <c r="U1026" i="13"/>
  <c r="U627" i="13"/>
  <c r="U208" i="13"/>
  <c r="U622" i="13"/>
  <c r="U205" i="13"/>
  <c r="U1021" i="13"/>
  <c r="U616" i="13"/>
  <c r="U200" i="13"/>
  <c r="U1018" i="13"/>
  <c r="U613" i="13"/>
  <c r="U1015" i="13"/>
  <c r="U611" i="13"/>
  <c r="U198" i="13"/>
  <c r="U1010" i="13"/>
  <c r="U606" i="13"/>
  <c r="U194" i="13"/>
  <c r="U1006" i="13"/>
  <c r="U603" i="13"/>
  <c r="U188" i="13"/>
  <c r="U601" i="13"/>
  <c r="U185" i="13"/>
  <c r="U986" i="13"/>
  <c r="U581" i="13"/>
  <c r="U164" i="13"/>
  <c r="U983" i="13"/>
  <c r="U577" i="13"/>
  <c r="U161" i="13"/>
  <c r="U980" i="13"/>
  <c r="U574" i="13"/>
  <c r="U157" i="13"/>
  <c r="U978" i="13"/>
  <c r="U155" i="13"/>
  <c r="U974" i="13"/>
  <c r="U570" i="13"/>
  <c r="U151" i="13"/>
  <c r="U968" i="13"/>
  <c r="U564" i="13"/>
  <c r="U145" i="13"/>
  <c r="U962" i="13"/>
  <c r="U558" i="13"/>
  <c r="U140" i="13"/>
  <c r="U138" i="13"/>
  <c r="U136" i="13"/>
  <c r="U959" i="13"/>
  <c r="U555" i="13"/>
  <c r="U956" i="13"/>
  <c r="U552" i="13"/>
  <c r="U134" i="13"/>
  <c r="U953" i="13"/>
  <c r="U549" i="13"/>
  <c r="U131" i="13"/>
  <c r="U949" i="13"/>
  <c r="U545" i="13"/>
  <c r="U128" i="13"/>
  <c r="U947" i="13"/>
  <c r="U543" i="13"/>
  <c r="U126" i="13"/>
  <c r="U540" i="13"/>
  <c r="U124" i="13"/>
  <c r="U945" i="13"/>
  <c r="U537" i="13"/>
  <c r="U122" i="13"/>
  <c r="U943" i="13"/>
  <c r="U535" i="13"/>
  <c r="U938" i="13"/>
  <c r="U528" i="13"/>
  <c r="U114" i="13"/>
  <c r="U523" i="13"/>
  <c r="U110" i="13"/>
  <c r="U934" i="13"/>
  <c r="U520" i="13"/>
  <c r="U106" i="13"/>
  <c r="U932" i="13"/>
  <c r="U104" i="13"/>
  <c r="U929" i="13"/>
  <c r="U518" i="13"/>
  <c r="U101" i="13"/>
  <c r="U918" i="13"/>
  <c r="U507" i="13"/>
  <c r="U89" i="13"/>
  <c r="U916" i="13"/>
  <c r="U505" i="13"/>
  <c r="U86" i="13"/>
  <c r="U503" i="13"/>
  <c r="U84" i="13"/>
  <c r="U910" i="13"/>
  <c r="U497" i="13"/>
  <c r="U78" i="13"/>
  <c r="U908" i="13"/>
  <c r="U495" i="13"/>
  <c r="U905" i="13"/>
  <c r="U493" i="13"/>
  <c r="U75" i="13"/>
  <c r="U902" i="13"/>
  <c r="U489" i="13"/>
  <c r="U71" i="13"/>
  <c r="U898" i="13"/>
  <c r="U485" i="13"/>
  <c r="U67" i="13"/>
  <c r="U887" i="13"/>
  <c r="U474" i="13"/>
  <c r="U884" i="13"/>
  <c r="U471" i="13"/>
  <c r="U53" i="13"/>
  <c r="U880" i="13"/>
  <c r="U467" i="13"/>
  <c r="U47" i="13"/>
  <c r="U876" i="13"/>
  <c r="U463" i="13"/>
  <c r="U43" i="13"/>
  <c r="U874" i="13"/>
  <c r="U460" i="13"/>
  <c r="U40" i="13"/>
  <c r="U872" i="13"/>
  <c r="U458" i="13"/>
  <c r="U37" i="13"/>
  <c r="U867" i="13"/>
  <c r="U453" i="13"/>
  <c r="U31" i="13"/>
  <c r="U850" i="13"/>
  <c r="U664" i="13" l="1"/>
  <c r="C432" i="13"/>
  <c r="C59" i="13"/>
  <c r="C66" i="13"/>
  <c r="C65" i="13"/>
  <c r="C62" i="13"/>
  <c r="C60" i="13"/>
  <c r="C61" i="13"/>
  <c r="C58" i="13"/>
  <c r="C57" i="13"/>
  <c r="U437" i="13"/>
  <c r="U15" i="13"/>
  <c r="U846" i="13"/>
  <c r="T211" i="13"/>
  <c r="T10" i="13" s="1"/>
  <c r="T8" i="13" s="1"/>
  <c r="S211" i="13"/>
  <c r="S10" i="13" s="1"/>
  <c r="S8" i="13" s="1"/>
  <c r="R211" i="13"/>
  <c r="R10" i="13" s="1"/>
  <c r="R8" i="13" s="1"/>
  <c r="Q211" i="13"/>
  <c r="Q10" i="13" s="1"/>
  <c r="Q8" i="13" s="1"/>
  <c r="P211" i="13"/>
  <c r="P10" i="13" s="1"/>
  <c r="P8" i="13" s="1"/>
  <c r="O211" i="13"/>
  <c r="O10" i="13" s="1"/>
  <c r="O8" i="13" s="1"/>
  <c r="N211" i="13"/>
  <c r="N10" i="13" s="1"/>
  <c r="N8" i="13" s="1"/>
  <c r="M211" i="13"/>
  <c r="M10" i="13" s="1"/>
  <c r="M8" i="13" s="1"/>
  <c r="L211" i="13"/>
  <c r="L10" i="13" s="1"/>
  <c r="L8" i="13" s="1"/>
  <c r="K211" i="13"/>
  <c r="K10" i="13" s="1"/>
  <c r="K8" i="13" s="1"/>
  <c r="J211" i="13"/>
  <c r="J10" i="13" s="1"/>
  <c r="J8" i="13" s="1"/>
  <c r="I211" i="13"/>
  <c r="I10" i="13" s="1"/>
  <c r="I8" i="13" s="1"/>
  <c r="H211" i="13"/>
  <c r="H10" i="13" s="1"/>
  <c r="H8" i="13" s="1"/>
  <c r="G211" i="13"/>
  <c r="G10" i="13" s="1"/>
  <c r="G8" i="13" s="1"/>
  <c r="F211" i="13"/>
  <c r="F10" i="13" s="1"/>
  <c r="F8" i="13" s="1"/>
  <c r="E211" i="13"/>
  <c r="E10" i="13" s="1"/>
  <c r="E8" i="13" s="1"/>
  <c r="D211" i="13"/>
  <c r="D10" i="13" s="1"/>
  <c r="D8" i="13" s="1"/>
  <c r="C211" i="13"/>
  <c r="U211" i="13" s="1"/>
  <c r="C56" i="13" l="1"/>
  <c r="U845" i="13"/>
  <c r="U433" i="13"/>
  <c r="U432" i="13"/>
  <c r="U56" i="13" l="1"/>
  <c r="C10" i="13"/>
  <c r="C8" i="13" s="1"/>
  <c r="U10" i="13" l="1"/>
  <c r="U11" i="13"/>
</calcChain>
</file>

<file path=xl/sharedStrings.xml><?xml version="1.0" encoding="utf-8"?>
<sst xmlns="http://schemas.openxmlformats.org/spreadsheetml/2006/main" count="2315" uniqueCount="2196">
  <si>
    <t>Итого по Вяземскому городскому поселению Вяземского района Смоленской области</t>
  </si>
  <si>
    <t>Раздел 2. Перечень услуг и (или) работ по капитальному ремонту общего имущества в многоквартирных домах и их стоимость</t>
  </si>
  <si>
    <t>другие виды услуг (работ)</t>
  </si>
  <si>
    <t>Виды услуг и (или) работ по капитальному ремонту общего имущества в многоквартирном доме, установленные частью 1 статьи 166 Жилищного кодекса Российской Федерации</t>
  </si>
  <si>
    <t>ремонт подвальных помещений, относящихся к общему имуществу в МКД</t>
  </si>
  <si>
    <t>руб.</t>
  </si>
  <si>
    <t>ремонт крыши</t>
  </si>
  <si>
    <t>ремонт фасада</t>
  </si>
  <si>
    <t>ед.</t>
  </si>
  <si>
    <t>Стоимость капитального ремонта, 
всего</t>
  </si>
  <si>
    <t>ремонт фундамента
МКД</t>
  </si>
  <si>
    <t>Адрес многоквартирного дома 
(далее также - МКД)</t>
  </si>
  <si>
    <t>№  п/п</t>
  </si>
  <si>
    <t>кв. м</t>
  </si>
  <si>
    <t>Г. Вязьма, ул. Кронштадтская, д. 1</t>
  </si>
  <si>
    <t>Г. Вязьма, ул. Парижской Коммуны, д. 8</t>
  </si>
  <si>
    <t>1.</t>
  </si>
  <si>
    <t>2.</t>
  </si>
  <si>
    <t>ремонт, замена, модернизация лифтов, ремонт лифтовых шахт, машинных и блочных помещений</t>
  </si>
  <si>
    <t xml:space="preserve"> холодного водоснабжения</t>
  </si>
  <si>
    <t xml:space="preserve"> горячего водоснабжения</t>
  </si>
  <si>
    <t>водоотведения</t>
  </si>
  <si>
    <t>газоснабжения</t>
  </si>
  <si>
    <t>всего</t>
  </si>
  <si>
    <t>ремонт внутридомовых инженерных систем</t>
  </si>
  <si>
    <t>электроснабжения</t>
  </si>
  <si>
    <t>теплоснабжения</t>
  </si>
  <si>
    <t>3.</t>
  </si>
  <si>
    <t>Г. Вязьма, ул. Ленина, д. 65</t>
  </si>
  <si>
    <t>2023 год</t>
  </si>
  <si>
    <t>Итого по 2023 году</t>
  </si>
  <si>
    <t>Итого по Велижскому городскому поселению Вяземского района Смоленской области</t>
  </si>
  <si>
    <t>Итого по 2024 году</t>
  </si>
  <si>
    <t>Итого по 2025 году</t>
  </si>
  <si>
    <t>Г. Вязьма, мкрн. Березы, д. 15</t>
  </si>
  <si>
    <t>Г. Вязьма, пр. 25 Октября, д. 4</t>
  </si>
  <si>
    <t>Г. Вязьма, ул. 25 Октября, д. 26</t>
  </si>
  <si>
    <t>Г. Вязьма, ул. Бауманская, д. 4</t>
  </si>
  <si>
    <t>Г. Вязьма, ул. Бауманская, д. 8</t>
  </si>
  <si>
    <t>Г. Вязьма, ул. Дзержинского, д. 6а</t>
  </si>
  <si>
    <t>Г. Вязьма, ул. Комсомольская, д. 3</t>
  </si>
  <si>
    <t>Г. Вязьма, ул. Ленина, д. 10</t>
  </si>
  <si>
    <t>Г. Вязьма, ул. Ленина, д. 33</t>
  </si>
  <si>
    <t>Г. Вязьма, ул. Машинистов, д. 13</t>
  </si>
  <si>
    <t>Г. Вязьма, ул. Молодежная, д. 15</t>
  </si>
  <si>
    <t>Г. Вязьма, ул. Молодежная, д. 5</t>
  </si>
  <si>
    <t>Г. Вязьма, ул. Московская, д. 9</t>
  </si>
  <si>
    <t>Г. Вязьма, ул. Красноармейское шоссе, д. 5а</t>
  </si>
  <si>
    <t>Г. Вязьма, ул. Репина, д. 9а</t>
  </si>
  <si>
    <t>Г. Вязьма, ул. Смоленская, д. 33</t>
  </si>
  <si>
    <t>Г. Вязьма, ул. Строителей, д. 18</t>
  </si>
  <si>
    <t>Г. Вязьма, ул. Сычевское шоссе, д. 48</t>
  </si>
  <si>
    <t>Г. Вязьма, ул. 25 Октября, д. 28</t>
  </si>
  <si>
    <t>Г. Вязьма, ул. 25 Октября, д. 30</t>
  </si>
  <si>
    <t>Г. Вязьма, ул. Космонавтов, д. 10</t>
  </si>
  <si>
    <t>Г. Вязьма, ул. Космонавтов, д. 6</t>
  </si>
  <si>
    <t>Г. Вязьма, ул. Космонавтов, д. 8</t>
  </si>
  <si>
    <t>Г. Вязьма, ул. Ленина, д. 31</t>
  </si>
  <si>
    <t>Г. Вязьма, ул. Молодежная, д. 11</t>
  </si>
  <si>
    <t>Г. Вязьма, ул. Молодежная, д. 9</t>
  </si>
  <si>
    <t>Г. Вязьма, ул. Московская, д. 10</t>
  </si>
  <si>
    <t>Г. Вязьма, ул. Полины Осипенко, д. 4а</t>
  </si>
  <si>
    <t>Г. Вязьма, ул. Красноармейское шоссе, д. 1</t>
  </si>
  <si>
    <t>Г. Вязьма, ул. Кронштадтская, д. 2</t>
  </si>
  <si>
    <t>Г. Вязьма, ул. Ленина, д. 42</t>
  </si>
  <si>
    <t>Г. Вязьма, ул. Молодежная, д. 13</t>
  </si>
  <si>
    <t>Г. Вязьма, ул. Молодежная, д. 7</t>
  </si>
  <si>
    <t>Г. Вязьма, ул. Парижской Коммуны, д. 1</t>
  </si>
  <si>
    <t>Г. Вязьма, ул. Парижской Коммуны, д. 3</t>
  </si>
  <si>
    <t>Г. Вязьма, ул. Покровского, д. 1</t>
  </si>
  <si>
    <t>Г. Вязьма, ул. Репина, д. 15</t>
  </si>
  <si>
    <t>Г. Вязьма, ул. Смоленская, д. 10</t>
  </si>
  <si>
    <t>Г. Вязьма, ул. Смоленская, д. 21</t>
  </si>
  <si>
    <t>Г. Вязьма, ул. Смоленская, д. 23</t>
  </si>
  <si>
    <t>Г. Вязьма, ул. Смоленская, д. 6</t>
  </si>
  <si>
    <t>Г. Вязьма, ул. Фрунзе, д. 3а</t>
  </si>
  <si>
    <t>Г. Вязьма, ул. Полины Осипенко, д. 25</t>
  </si>
  <si>
    <t>Итого по Андрейковское сельское поселению Вяземского района Смоленской области</t>
  </si>
  <si>
    <t>Дер. Всеволодкино, д. 39</t>
  </si>
  <si>
    <t>Дер. Относово, ул. Школьная, д. 14</t>
  </si>
  <si>
    <t>С. Андрейково, ул. Комсомольская, д. 16</t>
  </si>
  <si>
    <t>С. Андрейково, ул. Спортивная, д. 4</t>
  </si>
  <si>
    <t>С. Андрейково, ул. Спортивная, д. 6</t>
  </si>
  <si>
    <t>Дер. Относово, ул. Школьная, д. 16</t>
  </si>
  <si>
    <t>Дер. Относово, ул. Школьная, д. 8</t>
  </si>
  <si>
    <t>Дер. Черное, ул. Советская, д. 6</t>
  </si>
  <si>
    <t>Дер. Черное, ул. Советская, д. 8</t>
  </si>
  <si>
    <t>Дер. Относово, ул. Школьная, д. 12</t>
  </si>
  <si>
    <t>С. Андрейково, ул. Садовая, д. 1</t>
  </si>
  <si>
    <t>С. Вяземский, ул. Каретниковой, д. 1</t>
  </si>
  <si>
    <t>С. Вяземский, ул. Каретниковой, д. 3</t>
  </si>
  <si>
    <t>Итого по Вязьма-Брянскому сельскому поселению Вяземского района Смоленской области</t>
  </si>
  <si>
    <t>Итого по Андрейковскому сельскому поселению Вяземского района Смоленской области</t>
  </si>
  <si>
    <t>С. Вязьма-Брянская, ул. Парковая, д. 2</t>
  </si>
  <si>
    <t>С. Вязьма-Брянская, ул. Парковая, д. 4</t>
  </si>
  <si>
    <t>С. Вязьма-Брянская, ул. Центральная, д. 2</t>
  </si>
  <si>
    <t>С. Вязьма-Брянская, ул. Рабочая, д. 5</t>
  </si>
  <si>
    <t>Итого по Новосельскому сельскому поселению Вяземского района Смоленской области</t>
  </si>
  <si>
    <t>Дер. Новое Село, ул. Центральная, д. 54</t>
  </si>
  <si>
    <t>Дер. Новое Село, ул. Центральная, д. 65</t>
  </si>
  <si>
    <t>Дер. Новое Село, ул. Полевая, д. 2</t>
  </si>
  <si>
    <t>Дер. Новое Село, ул. Полевая, д. 3</t>
  </si>
  <si>
    <t>Дер. Новое Село, ул. Полевая, д. 1</t>
  </si>
  <si>
    <t>Итого по Семлевскому сельскому поселению Вяземского района Смоленской области</t>
  </si>
  <si>
    <t>Дер. Кайдаково, ул. Парковая, д. 2</t>
  </si>
  <si>
    <t>Дер. Кайдаково, ул. Парковая, д. 3</t>
  </si>
  <si>
    <t>Дер. Кайдаково, ул. Парковая, д. 4</t>
  </si>
  <si>
    <t>Дер. Октябрьский, ул. Железнодорожная, д. 4</t>
  </si>
  <si>
    <t>Дер. Октябрьский, ул. Железнодорожная, д. 6</t>
  </si>
  <si>
    <t>Дер. Октябрьский, ул. Железнодорожная, д. 8</t>
  </si>
  <si>
    <t>Дер. Поляново, ул. Молодежная, д. 2</t>
  </si>
  <si>
    <t>Дер. Поляново, ул. Молодежная, д. 3</t>
  </si>
  <si>
    <t>Ст. Семлево, ул. Полевая, д. 13</t>
  </si>
  <si>
    <t>Итого по Степаниковскому сельскому поселению Вяземского района Смоленской области</t>
  </si>
  <si>
    <t>Дер. Тюхменево, ул. Карьероуправления, д. 16</t>
  </si>
  <si>
    <t>С. Новый, ул. 1 мая, д. 2</t>
  </si>
  <si>
    <t>С. Новый, ул. Садовая, д. 3</t>
  </si>
  <si>
    <t>С. Новый, ул. Садовая, д. 5</t>
  </si>
  <si>
    <t>Дер. Тюхменево, ул. Карьероуправления, д. 11</t>
  </si>
  <si>
    <t>Дер. Тюхменево, ул. Карьероуправления, д. 9</t>
  </si>
  <si>
    <t>С. Новый, ул. Садовая, д. 4</t>
  </si>
  <si>
    <t>Дер. Тюхменево, ул. Карьероуправления, д. 12а</t>
  </si>
  <si>
    <t>Дер. Тюхменево, ул. Карьероуправления, д. 14</t>
  </si>
  <si>
    <t>С. Исаково, ул. Железнодорожная, д. 25</t>
  </si>
  <si>
    <t>Итого по Тумановскому сельскому поселению Вяземского района Смоленской области</t>
  </si>
  <si>
    <t>Дер. Царево-Займище, ул. М.И. Кутузова, д. 17</t>
  </si>
  <si>
    <t>С. Туманово, ул. Мира, д. 6</t>
  </si>
  <si>
    <t>С. Шуйское, ул. Новоселов, д. 2</t>
  </si>
  <si>
    <t>С. Шуйское, ул. Новоселов, д. 4</t>
  </si>
  <si>
    <t>С. Шуйское, ул. Новоселов, д. 1</t>
  </si>
  <si>
    <t>С. Шуйское, ул. Новоселов, д. 3</t>
  </si>
  <si>
    <t>Итого по Гагаринскому городскому поселению Гагаринского района Смоленской области</t>
  </si>
  <si>
    <t>Г. Гагарин, пер. Хлебный, д. 4</t>
  </si>
  <si>
    <t>Г. Гагарин, ул. Бахтина, д. 3</t>
  </si>
  <si>
    <t>Г. Гагарин, ул. Бахтина, д. 7</t>
  </si>
  <si>
    <t>Г. Гагарин, ул. Бахтина, д. 7а</t>
  </si>
  <si>
    <t>Г. Гагарин, ул. Гагарина, д. 21/2</t>
  </si>
  <si>
    <t>Г. Гагарин, ул. Гжатская, д. 88</t>
  </si>
  <si>
    <t>Г. Гагарин, ул. Ленина, д. 16</t>
  </si>
  <si>
    <t>Г. Гагарин, ул. Петра Алексеева, д. 1</t>
  </si>
  <si>
    <t>Г. Гагарин, ул. Петра Алексеева, д. 11</t>
  </si>
  <si>
    <t>Г. Гагарин, ул. Строителей, д. 86</t>
  </si>
  <si>
    <t>Г. Гагарин, пр. Сельхозтехника, д. 4</t>
  </si>
  <si>
    <t>Г. Гагарин, ул. Гагарина, д. 31</t>
  </si>
  <si>
    <t>Г. Гагарин, ул. Гагарина, д. 33/1</t>
  </si>
  <si>
    <t>Г. Гагарин, ул. Герцена, д. 43</t>
  </si>
  <si>
    <t>Г. Гагарин, ул. Гжатская, д. 91</t>
  </si>
  <si>
    <t>Г. Гагарин, ул. Матросова, д. 9</t>
  </si>
  <si>
    <t>Г. Гагарин, ул. Петра Алексеева, д. 7</t>
  </si>
  <si>
    <t>Г. Гагарин, ул. Пушная, д. 2</t>
  </si>
  <si>
    <t>Г. Гагарин, ул. Строителей, д. 4</t>
  </si>
  <si>
    <t>Г. Гагарин, ул. Юных космонавтов, д. 10</t>
  </si>
  <si>
    <t>Г. Гагарин, пер. Мелиоративный, д. 15</t>
  </si>
  <si>
    <t>Г. Гагарин, пер. Мелиоративный, д. 8</t>
  </si>
  <si>
    <t>Г. Гагарин, ул. 26 Бакинских комиссаров, д. 7</t>
  </si>
  <si>
    <t>Г. Гагарин, ул. 50 лет ВЛКСМ, д. 4</t>
  </si>
  <si>
    <t>Г. Гагарин, ул. Красноармейская, д. 91</t>
  </si>
  <si>
    <t>Г. Гагарин, ул. Красноармейская, д. 93</t>
  </si>
  <si>
    <t>Г. Гагарин, ул. Ленина, д. 77</t>
  </si>
  <si>
    <t>Г. Гагарин, ул. Молодежная, д. 2</t>
  </si>
  <si>
    <t>Г. Гагарин, ул. Молодежная, д. 8</t>
  </si>
  <si>
    <t>Г. Гагарин, ул. Пушная, д. 16</t>
  </si>
  <si>
    <t>Итого по Гагаринскому сельскому поселению Гагаринского района Смоленской области</t>
  </si>
  <si>
    <t>Дер. Юрино, ул. Центральная, д. 5</t>
  </si>
  <si>
    <t>Дер. Юрино, ул. Центральная, д. 7</t>
  </si>
  <si>
    <t>С. Баскаково, ул. Административная, д. 6</t>
  </si>
  <si>
    <t>Дер. Клушино, ул. Молодежная, д. 6</t>
  </si>
  <si>
    <t>Дер. Юрино, ул. Центральная, д. 6</t>
  </si>
  <si>
    <t>Дер. Юрино, ул. Центральная, д. 9</t>
  </si>
  <si>
    <t>Дер. Родоманово, ул. Советская, д. 4</t>
  </si>
  <si>
    <t>Дер. Родоманово, ул. Советская, д. 7</t>
  </si>
  <si>
    <t xml:space="preserve">С. Баскаково, ул. Административная, д. 5 </t>
  </si>
  <si>
    <t>Итого по Кармановскому сельскому поселению Гагаринского района Смоленской области</t>
  </si>
  <si>
    <t>С. Карманово, ул. Августовская, д. 23</t>
  </si>
  <si>
    <t>С. Карманово, ул. Советская, д. 50</t>
  </si>
  <si>
    <t>С. Карманово, ул. Советская, д. 52</t>
  </si>
  <si>
    <t>Пос. Благодатное, д. 11</t>
  </si>
  <si>
    <t>С. Карманово, ул. Советская, д. 50а</t>
  </si>
  <si>
    <t xml:space="preserve">С. Карманово, ул. Торфяников, д. 2 </t>
  </si>
  <si>
    <t>С. Карманово, ул. Пролетарская, д. 12</t>
  </si>
  <si>
    <t>С. Карманово, ул. Пролетарская, д. 3</t>
  </si>
  <si>
    <t>Итого по Никольскому сельскому поселению Гагаринского района Смоленской области</t>
  </si>
  <si>
    <t>С. Серго-Ивановское, ул. Заводская, д. 10</t>
  </si>
  <si>
    <t>С. Серго-Ивановское, ул. Заводская, д. 15</t>
  </si>
  <si>
    <t>С. Серго-Ивановское, ул. Заводская, д. 11</t>
  </si>
  <si>
    <t>Дер. Покров, ул. Центральная, д. 15</t>
  </si>
  <si>
    <t>С. Серго-Ивановское, ул. Заводская, д. 14</t>
  </si>
  <si>
    <t>Итого по Глинковскому сельскому поселению Глинковского района Смоленской области</t>
  </si>
  <si>
    <t>С. Глинка, ул. Ленина, д. 36</t>
  </si>
  <si>
    <t>С. Глинка, ул. Ленина, д. 5</t>
  </si>
  <si>
    <t>Итого по Демидовскому городскому поселению Демидовского района Смоленской области</t>
  </si>
  <si>
    <t>Г. Демидов, ул. Гуреевская, д. 166</t>
  </si>
  <si>
    <t>Г. Демидов, ул. Витебская, д. 8</t>
  </si>
  <si>
    <t>Г. Демидов, пр. Суворовский, д. 12</t>
  </si>
  <si>
    <t>Г. Демидов, пр.  Суворовский, д. 8</t>
  </si>
  <si>
    <t>Г. Демидов, пр. Суворовский, д. 10</t>
  </si>
  <si>
    <t>Г. Демидов, ул. Коммунистическая, д. 14</t>
  </si>
  <si>
    <t>Г. Демидов, ул. Коммунистическая, д. 23</t>
  </si>
  <si>
    <t>Г. Демидов, ул. Просвещения, д. 11</t>
  </si>
  <si>
    <t>Г. Демидов, ул. Руднянская, д. 66</t>
  </si>
  <si>
    <t>Г. Демидов, ул. Руднянская, д. 63</t>
  </si>
  <si>
    <t>Г. Демидов, ул. Фрадкова, д. 21</t>
  </si>
  <si>
    <t>Г. Демидов, ул. Хренова, д. 14</t>
  </si>
  <si>
    <t>Г. Демидов, ул. Кооперативная, д. 2</t>
  </si>
  <si>
    <t>Г. Демидов, ул. Хренова, д. 16а</t>
  </si>
  <si>
    <t>Г. Демидов, ул. Хренова, д. 22</t>
  </si>
  <si>
    <t>Итого по Титовщинскому сельскому поселению Демидовского района Смоленской области</t>
  </si>
  <si>
    <t>Дер. Центральная Усадьба, ул. Акатовская, д. 23</t>
  </si>
  <si>
    <t>Итого по городу Десногорску Смоленской области</t>
  </si>
  <si>
    <t>г. Десногогорск, мкрн. 1, д. 2</t>
  </si>
  <si>
    <t>Итого по Дорогобужскому городскому поселению Дорогобужского района Смоленской области</t>
  </si>
  <si>
    <t>Г. Дорогобуж, ул. Калинина, д. 2</t>
  </si>
  <si>
    <t>Г. Дорогобуж, ул. Калинина, д. 5</t>
  </si>
  <si>
    <t>Г. Дорогобуж, ул. Калинина, д. 12</t>
  </si>
  <si>
    <t>Г. Дорогобуж, ул. Мира, д. 38</t>
  </si>
  <si>
    <t>Итого по Верхнеднепровскому городскому поселению Дорогобужского района Смоленской области</t>
  </si>
  <si>
    <t>Пос. Верхнеднепровский, ул. Дорогобужская, д. 1</t>
  </si>
  <si>
    <t>Пос. Верхнеднепровский, ул. Дорогобужская, д. 3</t>
  </si>
  <si>
    <t>Пос. Верхнеднепровский, ул. Комсомольская, д. 10</t>
  </si>
  <si>
    <t>Пос. Верхнеднепровский, ул. Комсомольская, д. 12</t>
  </si>
  <si>
    <t>Пос. Верхнеднепровский, ул. Комсомольская, д. 13</t>
  </si>
  <si>
    <t>Пос. Верхнеднепровский, ул. Комсомольская, д. 14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</si>
  <si>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</si>
  <si>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</si>
  <si>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5</t>
  </si>
  <si>
    <t>Пос. Верхнеднепровский, ул. Комсомольская, д. 6</t>
  </si>
  <si>
    <t>Пос. Верхнеднепровский, ул. Комсомольская, д. 7</t>
  </si>
  <si>
    <t>Пос. Верхнеднепровский, ул. Комсомольская, д. 8</t>
  </si>
  <si>
    <t>Пос. Верхнеднепровский, ул. Ленина, д. 10а</t>
  </si>
  <si>
    <t>Пос. Верхнеднепровский, ул. Ленина, д. 11</t>
  </si>
  <si>
    <t>Пос. Верхнеднепровский, ул. Ленина, д. 13</t>
  </si>
  <si>
    <t>Пос. Верхнеднепровский, ул. Ленина, д. 16</t>
  </si>
  <si>
    <t>Пос. Верхнеднепровский, ул. Ленина, д. 18</t>
  </si>
  <si>
    <t>Пос. Верхнеднепровский, ул. Ленина, д. 20</t>
  </si>
  <si>
    <t>Пос. Верхнеднепровский, ул. Молодежная, д. 16</t>
  </si>
  <si>
    <t>Пос. Верхнеднепровский, ул. Молодежная, д. 18</t>
  </si>
  <si>
    <t>Пос. Верхнеднепровский, ул. Молодежная, д. 20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</si>
  <si>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</si>
  <si>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</si>
  <si>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</si>
  <si>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</si>
  <si>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</si>
  <si>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19</t>
  </si>
  <si>
    <t>Пос. Верхнеднепровский, ул. Советская, д. 6</t>
  </si>
  <si>
    <t>Пос. Верхнеднепровский, ул. Советская, д. 7</t>
  </si>
  <si>
    <t>Пос. Верхнеднепровский, ул. Советская, д. 9</t>
  </si>
  <si>
    <t>Итого по Алексинское сельское поселению Дорогобужского района Смоленской области</t>
  </si>
  <si>
    <t>С.Алексино, ул. Центральная, д. 16</t>
  </si>
  <si>
    <t>С.Алексино, ул. Центральная, д. 18</t>
  </si>
  <si>
    <t>С.Алексино, ул. Центральная, д. 21</t>
  </si>
  <si>
    <t>С.Алексино, ул. Центральная, д. 23</t>
  </si>
  <si>
    <t>Итого по Усвятское сельское поселению Дорогобужского района Смоленской области</t>
  </si>
  <si>
    <t>Дер. Слойково, ул. Центральная, д. 23</t>
  </si>
  <si>
    <t>Дер. Слойково, ул. Центральная, д. 29</t>
  </si>
  <si>
    <t>Итого по Духовщинскому городскому поселению Духовщинского района Смоленской области</t>
  </si>
  <si>
    <t>Г. Духовщина, ул. Бугаева, д. 70/48</t>
  </si>
  <si>
    <t>Г. Духовщина, ул. Смоленская, д. 59</t>
  </si>
  <si>
    <t>Г. Духовщина, ул. Смоленская, д. 63</t>
  </si>
  <si>
    <t>Г. Духовщина, ул. Горького, д. 8</t>
  </si>
  <si>
    <t>Г. Духовщина, ул. Смоленская, д. 57/13</t>
  </si>
  <si>
    <t>Г. Духовщина, ул. Горького, д. 14</t>
  </si>
  <si>
    <t>Г. Духовщина, ул. Горького, д. 7а</t>
  </si>
  <si>
    <t>Г. Духовщина, ул. Карла Либкнехта, д. 50</t>
  </si>
  <si>
    <t>Итого по Озерненскому городскому поселению Духовщинского района Смоленской области</t>
  </si>
  <si>
    <t>Пос. Озерный, ул. Октябрьская, д. 12а</t>
  </si>
  <si>
    <t>Пос. Озерный, ул. Октябрьская, д. 16</t>
  </si>
  <si>
    <t>Пос. Озерный, ул. Строителей, д. 19</t>
  </si>
  <si>
    <t>Итого по Булгаковскому сельскому поселению Духовщинского района Смоленской области</t>
  </si>
  <si>
    <t>Дер. Большое Береснево, ул. Лесная, д. 1</t>
  </si>
  <si>
    <t>Дер. Большое Береснево, ул. Лесная, д. 5</t>
  </si>
  <si>
    <t>Дер. Большое Береснево, ул. Приозерная, д. 14</t>
  </si>
  <si>
    <t>Дер. Большое Береснево, ул. Приозерная, д. 8</t>
  </si>
  <si>
    <t>Итого по Ельнинскому городскому поселению Ельнинского района Смоленской области</t>
  </si>
  <si>
    <t>Г. Ельня, ул. Первомайская, д. 47</t>
  </si>
  <si>
    <t>Г. Ельня, ул. Пролетарская, д. 2</t>
  </si>
  <si>
    <t>Г. Ельня, ул. Советская, д. 36/2</t>
  </si>
  <si>
    <t>Г. Ельня, ул. Советская, д. 45</t>
  </si>
  <si>
    <t>Г. Ельня, ул. Советская, д. 47</t>
  </si>
  <si>
    <t>Г. Ельня,ул. Советская, д. 16</t>
  </si>
  <si>
    <t>Г. Ельня, ул. Говорова, д. 11</t>
  </si>
  <si>
    <t>Г. Ельня, ул. Ленина, д. 37</t>
  </si>
  <si>
    <t>Г. Ельня, ул. Первомайская, д. 10/27</t>
  </si>
  <si>
    <t>Г. Ельня, ул. Первомайская, д. 14</t>
  </si>
  <si>
    <t>Г. Ельня, ул. Первомайская, д. 40</t>
  </si>
  <si>
    <t>Г. Ельня, ул. Смоленский большак, д. 24</t>
  </si>
  <si>
    <t>Г. Ельня, ул. Красноармейская, д. 15</t>
  </si>
  <si>
    <t>Г. Ельня, ул. Первомайская, д. 1</t>
  </si>
  <si>
    <t>Г. Ельня, ул. Советская, д. 19</t>
  </si>
  <si>
    <t>Г. Ельня, ул. Энгельса, д. 4</t>
  </si>
  <si>
    <t>Г. Ельня,ул. Советская, д. 18</t>
  </si>
  <si>
    <t>Итого по Воргинскому сельскому поселению Ершичского района Смоленской области</t>
  </si>
  <si>
    <t>Итого по Кардымовскому городскому поселению Кардымовского района Смоленской области</t>
  </si>
  <si>
    <t>Пос. Кардымово, ул. Октябрьская, д. 3</t>
  </si>
  <si>
    <t>Итого по Каменскому сельскому поселению Кардымовского района Смоленской области</t>
  </si>
  <si>
    <t>Дер. Каменка, ул. Садовая, д. 1</t>
  </si>
  <si>
    <t>Дер. Каменка, ул. Школьная, д. 1</t>
  </si>
  <si>
    <t>Дер. Каменка, ул. Школьная, д. 3</t>
  </si>
  <si>
    <t>Дер. Пищулино, ул. Льнозаводская, д. 31</t>
  </si>
  <si>
    <t>Итого по Первомайскому сельскому поселению Кардымовского района Смоленской области</t>
  </si>
  <si>
    <t xml:space="preserve">Дер. Вачково, ул. Надвинская, д. 2               </t>
  </si>
  <si>
    <t>Итого по Тюшинскому сельскому поселению Кардымовского района Смоленской области</t>
  </si>
  <si>
    <t>Дер. Тюшино, ул. Центральная, д. 89</t>
  </si>
  <si>
    <t>Дер. Тюшино, ул. Центральная, д. 90</t>
  </si>
  <si>
    <t>Итого по Краснинскому городскому поселению Краснинского района Смоленской области</t>
  </si>
  <si>
    <t>Пос. Красный, ул. Кутузова, д. 34</t>
  </si>
  <si>
    <t>Пос. Красный, ул. Лесная, д. 3</t>
  </si>
  <si>
    <t>Пос. Красный, ул. Ленина, д. 28а</t>
  </si>
  <si>
    <t>Итого по Гусинскому сельскому поселению Краснинского района Смоленской области</t>
  </si>
  <si>
    <t>Дер. Липово, ул. Дорожная, д. 1</t>
  </si>
  <si>
    <t>Дер. Лонница, ул. Мира, д. 17</t>
  </si>
  <si>
    <t>Дер. Гусино, ул. Комсомольская, д. 9</t>
  </si>
  <si>
    <t>Дер. Гусино, ул. Первомайская, д. 21а</t>
  </si>
  <si>
    <t>Дер. Лонница, ул. Мира, д. 2</t>
  </si>
  <si>
    <t>Дер. Гусино, ул. Советская, д. 47</t>
  </si>
  <si>
    <t>Дер. Лонница, ул. Мира, д. 15</t>
  </si>
  <si>
    <t>Дер. Лонница, ул. Мира, д. 3</t>
  </si>
  <si>
    <t>Итого по Мерлинскому сельскому поселению Краснинского района Смоленской области</t>
  </si>
  <si>
    <t>Дер. Маньково, ул. Восточная, д. 10</t>
  </si>
  <si>
    <t>Дер. Маньково, ул. Советская, д. 11</t>
  </si>
  <si>
    <t>Дер. Маньково, ул. Советская, д. 13</t>
  </si>
  <si>
    <t>Дер. Маньково, ул. Советская, д. 15</t>
  </si>
  <si>
    <t>Дер. Маньково, ул. Советская, д. 17</t>
  </si>
  <si>
    <t xml:space="preserve">Дер. Маньково, ул. Советская, д. 19 </t>
  </si>
  <si>
    <t>Итого по Монастырщинскому городскому поселению Монастырщинского района Смоленской области</t>
  </si>
  <si>
    <t>Пос. Монастырщина, тер. Сельхозтехника, д. 10</t>
  </si>
  <si>
    <t>Пос. Монастырщина, ул. Мира, д. 6</t>
  </si>
  <si>
    <t>Пос. Монастырщина, ул. Мира, д. 8</t>
  </si>
  <si>
    <t>Пос. Монастырщина, ул. Интернациональная, д. 9б</t>
  </si>
  <si>
    <t>Пос. Монастырщина, ул. Мира, д. 17</t>
  </si>
  <si>
    <t>Итого по Соболевскому сельскому поселению Монастырщинского района Смоленской области</t>
  </si>
  <si>
    <t>Дер. Крапивна, ул. Горького, д. 8</t>
  </si>
  <si>
    <t>Дер. Соболево, д. 24</t>
  </si>
  <si>
    <t>Дер. Соболево, д. 26</t>
  </si>
  <si>
    <t>Дер. Татарск, д. 73</t>
  </si>
  <si>
    <t>Итого по Новодугинскому сельскому поселению Новодугинского района Смоленской области</t>
  </si>
  <si>
    <t>С. Днепровское, ул. Первомайская, д. 25</t>
  </si>
  <si>
    <t>Итого по Высокоскому сельскому поселению Новодугинского района Смоленской области</t>
  </si>
  <si>
    <t>С. Высокое, ул. Лесная, д. 9</t>
  </si>
  <si>
    <t>Итого по Починковскому городскому поселению Починковского района Смоленской области</t>
  </si>
  <si>
    <t>Г. Починок, ул. Кирова, д. 7</t>
  </si>
  <si>
    <t>Г. Починок, ул. Красноармейская, д. 15</t>
  </si>
  <si>
    <t>Г. Починок, ул. Советская, д. 3</t>
  </si>
  <si>
    <t>Г. Починок, ул. Советская, д. 5</t>
  </si>
  <si>
    <t>Г. Починок, военный гарнизон «Елки-3», д. 203</t>
  </si>
  <si>
    <t>Г. Починок, пер. 2-й Советский, д. 2</t>
  </si>
  <si>
    <t>Г. Починок, пер. 2-й Советский, д. 4</t>
  </si>
  <si>
    <t>Г. Починок, ул. Советская, д. 61</t>
  </si>
  <si>
    <t>Г. Починок, ул. Урицкого, д. 47</t>
  </si>
  <si>
    <t>Г. Починок, 1 мкрн, д. 1</t>
  </si>
  <si>
    <t>Г. Починок, ул. Красноармейская, д. 19</t>
  </si>
  <si>
    <t>Г. Починок, ул. Советская, д. 63</t>
  </si>
  <si>
    <t>Г. Починок, ул. Терешковой, д. 2</t>
  </si>
  <si>
    <t>Г. Починок, ул. Терешковой, д. 4</t>
  </si>
  <si>
    <t>Итого по Ленинскому сельскому поселению Починковского района Смоленской области</t>
  </si>
  <si>
    <t>Дер. Климщина, д. 68</t>
  </si>
  <si>
    <t>Дер. Красиловка, д. 16</t>
  </si>
  <si>
    <t>Дер. Рябцево, д. 7</t>
  </si>
  <si>
    <t>Дер. Стригино, д. 1</t>
  </si>
  <si>
    <t>Дер. Стригино, д. 2</t>
  </si>
  <si>
    <t>Дер. Рябцево, д. 10</t>
  </si>
  <si>
    <t>Дер. Рябцево, д. 11</t>
  </si>
  <si>
    <t>Дер. Рябцево, д. 13</t>
  </si>
  <si>
    <t>Дер. Стригино, д. 4</t>
  </si>
  <si>
    <t>Дер. Стригино, д. 5</t>
  </si>
  <si>
    <t>Дер. Рябцево, д. 12</t>
  </si>
  <si>
    <t>Дер. Рябцево, д. 8</t>
  </si>
  <si>
    <t>Дер. Рябцево, д. 9</t>
  </si>
  <si>
    <t>Дер. Стригино, д. 3</t>
  </si>
  <si>
    <t>Дер. Стригино, д. 6</t>
  </si>
  <si>
    <t>Итого по Мурыгинскому сельскому поселению Починковского района Смоленской области</t>
  </si>
  <si>
    <t>Дер. Кирпичный Завод, ул. Лесная, д. 1</t>
  </si>
  <si>
    <t>Дер. Кирпичный Завод, ул. Лесная, д. 2</t>
  </si>
  <si>
    <t>Дер. Кирпичный Завод, ул. Лесная, д. 3</t>
  </si>
  <si>
    <t>Дер. Мурыгино, ул. Школьная, д. 34</t>
  </si>
  <si>
    <t>Дер. Мурыгино, ул. Школьная, д. 36</t>
  </si>
  <si>
    <t>Дер. Мурыгино, ул. Школьная, д. 38</t>
  </si>
  <si>
    <t>Дер. Мурыгино, ул. Школьная, д. 40</t>
  </si>
  <si>
    <t>Дер. Мурыгино, ул. Школьная, д. 42</t>
  </si>
  <si>
    <t>Итого по Прудковскому сельскому поселению Починковского района Смоленской области</t>
  </si>
  <si>
    <t>Дер. Плоское, д. 3</t>
  </si>
  <si>
    <t>Дер. Плоское, д. 33</t>
  </si>
  <si>
    <t>Итого по Стодолищенскому сельскому поселению Починковского района Смоленской области</t>
  </si>
  <si>
    <t>Дер. Сяковка, д. 1</t>
  </si>
  <si>
    <t>Пос. Стодолище, пер. 1-й Советский, д. 3</t>
  </si>
  <si>
    <t>Пос. Стодолище, пер. 1-й Советский, д. 4</t>
  </si>
  <si>
    <t>Пос. Стодолище, пер. 2-й Советский, д. 2</t>
  </si>
  <si>
    <t>Пос. Стодолище, пер. 2-й Советский, д. 4</t>
  </si>
  <si>
    <t>Пос. Стодолище, ул. Титова, д. 11</t>
  </si>
  <si>
    <t>Пос. Стодолище, ул. Титова, д. 13</t>
  </si>
  <si>
    <t>Итого по Шаталовскому сельскому поселению Починковского района Смоленской области</t>
  </si>
  <si>
    <t xml:space="preserve">Дер. Шаталово, д. 1 </t>
  </si>
  <si>
    <t>Дер. Галеевка, д. 64</t>
  </si>
  <si>
    <t>Дер. Мачулы, д. 104</t>
  </si>
  <si>
    <t>Дер. Мачулы, д. 106</t>
  </si>
  <si>
    <t>Дер. Мачулы, д. 108</t>
  </si>
  <si>
    <t>Дер. Мачулы, д. 100</t>
  </si>
  <si>
    <t>Дер. Мачулы, д. 102</t>
  </si>
  <si>
    <t>Итого по Рославльскому городскому поселению Рославльского района Смоленской области</t>
  </si>
  <si>
    <t>Г. Рославль, 163 квартал, д. 3</t>
  </si>
  <si>
    <t>Г. Рославль, 163 квартал, д. 7</t>
  </si>
  <si>
    <t>Г. Рославль, мкрн. 15, д. 26</t>
  </si>
  <si>
    <t>Г. Рославль, мкрн. 15, д. 27</t>
  </si>
  <si>
    <t>Г. Рославль, мкрн. 16, д. 1</t>
  </si>
  <si>
    <t>Г. Рославль, мкрн. 16, д. 4</t>
  </si>
  <si>
    <t>Г. Рославль, мкрн. 17, д. 11</t>
  </si>
  <si>
    <t>Г. Рославль, мкрн. 17, д. 12</t>
  </si>
  <si>
    <t>Г. Рославль, пер. 1-й Дачный, д. 4</t>
  </si>
  <si>
    <t>Г. Рославль, пер. Пролетарский, д. 1</t>
  </si>
  <si>
    <t>Г. Рославль, пос. Стеклозавода, д. 11а</t>
  </si>
  <si>
    <t>Г. Рославль, пос. ТЭЦ, д. 2</t>
  </si>
  <si>
    <t>Г. Рославль, ул. 2-я Дачная, д. 13а</t>
  </si>
  <si>
    <t>Г. Рославль, ул. 2-я Дачная, д. 8</t>
  </si>
  <si>
    <t>Г. Рославль, ул. Красная, д. 2</t>
  </si>
  <si>
    <t>Г. Рославль, ул. Красноармейская, д. 9а</t>
  </si>
  <si>
    <t>Г. Рославль, ул. Пайтерова, д. 34</t>
  </si>
  <si>
    <t>Г. Рославль, ул. Пролетарская, д. 49а</t>
  </si>
  <si>
    <t>Г. Рославль, ул. Пушкина, д. 2</t>
  </si>
  <si>
    <t>Г. Рославль, ул. Пушкина, д. 87, корпус 1</t>
  </si>
  <si>
    <t>Г. Рославль, мкрн. 15, д. 32</t>
  </si>
  <si>
    <t>Г. Рославль, ул. Красноармейская, д. 49</t>
  </si>
  <si>
    <t>Г. Рославль, ул. Ленина, д. 1</t>
  </si>
  <si>
    <t>Г. Рославль, ул. Ленина, д. 10</t>
  </si>
  <si>
    <t>Г. Рославль, ул. Ленина, д. 12</t>
  </si>
  <si>
    <t>Г. Рославль, ул. Ленина, д. 6</t>
  </si>
  <si>
    <t>Г. Рославль, ул. Ленина, д. 8</t>
  </si>
  <si>
    <t>Г. Рославль, ул. Некрасова, д. 18</t>
  </si>
  <si>
    <t>Г. Рославль, ул. Октябрьская, д. 29</t>
  </si>
  <si>
    <t>Г. Рославль, ул. Пушкина, д. 43</t>
  </si>
  <si>
    <t>Г. Рославль, ул. Пушкина, д. 6</t>
  </si>
  <si>
    <t>Г. Рославль, ул. Пушкина, д. 87, корпус 2</t>
  </si>
  <si>
    <t>Г. Рославль, ул. Свердлова, д. 17а</t>
  </si>
  <si>
    <t>Г. Рославль, ул. Советская, д. 67</t>
  </si>
  <si>
    <t>Г. Рославль, ул. Советская, д. 67б</t>
  </si>
  <si>
    <t>Г. Рославль, ул. Советская, д. 80</t>
  </si>
  <si>
    <t>Г. Рославль, ул. Товарная, д. 12</t>
  </si>
  <si>
    <t>Г. Рославль, ул. Товарная, д. 30</t>
  </si>
  <si>
    <t>Г. Рославль, ул. Товарная, д. 9</t>
  </si>
  <si>
    <t>Г. Рославль, мкрн. 15, д. 1</t>
  </si>
  <si>
    <t>Г. Рославль, мкрн. 17, д. 14</t>
  </si>
  <si>
    <t>Г. Рославль, мкрн. 17, д. 15</t>
  </si>
  <si>
    <t>Г. Рославль, пер. 1-й Пролетарский, д. 9</t>
  </si>
  <si>
    <t>Г. Рославль, пер. Свердлова, д. 20</t>
  </si>
  <si>
    <t>Г. Рославль, ул. Бассейная, д. 8</t>
  </si>
  <si>
    <t>Г. Рославль, ул. Бассейная, д. 8а</t>
  </si>
  <si>
    <t>Г. Рославль, ул. Бассейная, д. 8б</t>
  </si>
  <si>
    <t>Г. Рославль, ул. Большая Смоленская, д. 1</t>
  </si>
  <si>
    <t>Г. Рославль, ул. Каляева, д. 81а</t>
  </si>
  <si>
    <t>Г. Рославль, ул. Карла Маркса, д. 1</t>
  </si>
  <si>
    <t>Г. Рославль, ул. Комсомольская, д. 5</t>
  </si>
  <si>
    <t>Г. Рославль, ул. Красина, д. 5</t>
  </si>
  <si>
    <t>Г. Рославль, ул. Пушкина, д. 18</t>
  </si>
  <si>
    <t>Г. Рославль, ул. Урицкого, д. 11а</t>
  </si>
  <si>
    <t>Г. Рославль, ул. Урицкого, д. 13</t>
  </si>
  <si>
    <t>Г. Рославль, ул. Урицкого, д. 16</t>
  </si>
  <si>
    <t>Г. Рославль, ул. Чехова, д. 2</t>
  </si>
  <si>
    <t>Г. Рославль, ул. Энгельса, д. 14</t>
  </si>
  <si>
    <t>Итого по Астапковичскому сельскому поселению Рославльского района Смоленской области</t>
  </si>
  <si>
    <t>Дер. Астапковичи, ул. Школьная, д. 2</t>
  </si>
  <si>
    <t>Дер. Астапковичи, ул. Школьная, д. 3</t>
  </si>
  <si>
    <t>Дер. Никольское, ул. Мира, д. 9</t>
  </si>
  <si>
    <t>Итого по Екимовичскому сельскому поселению Рославльского района Смоленской области</t>
  </si>
  <si>
    <t>С. Богданово, ул. Имени Колхоза Быстрые волны, д. 4</t>
  </si>
  <si>
    <t>С. Богданово, ул. Имени Колхоза Быстрые волны, д. 6</t>
  </si>
  <si>
    <t>Дер. Ивановское, ул. Центральная, д. 2</t>
  </si>
  <si>
    <t>Дер. Льнозавода, ул. Заводская, д. 3</t>
  </si>
  <si>
    <t>Дер. Льнозавода, ул. Заводская, д. 5</t>
  </si>
  <si>
    <t>С. Екимовичи, ул. Ленинская, д. 33</t>
  </si>
  <si>
    <t>Дер. Льнозавода, ул. Заводская, д. 1</t>
  </si>
  <si>
    <t>С. Екимовичи, пер. 1-й Советский, д. 11</t>
  </si>
  <si>
    <t>С. Екимовичи, пер. 1-й Советский, д. 13</t>
  </si>
  <si>
    <t>Дер. Ивановское, ул. Центральная, д. 1</t>
  </si>
  <si>
    <t>Итого по Остерскому сельскому поселению Рославльского района Смоленской области</t>
  </si>
  <si>
    <t>Дер. Козловка, ул. Мира, д. 23</t>
  </si>
  <si>
    <t>Дер. Козловка, ул. Мира, д. 31</t>
  </si>
  <si>
    <t>С. Остер, ул. Советская, д. 15</t>
  </si>
  <si>
    <t>С. Остер, ул. Комарова, д. 6</t>
  </si>
  <si>
    <t>С. Остер, ул. Советская, д. 10</t>
  </si>
  <si>
    <t>С. Остер, ул. Советская, д. 7</t>
  </si>
  <si>
    <t>С. Остер, ул. Советская, д. 8</t>
  </si>
  <si>
    <t>Дер. Козловка, ул. Мира, д. 21</t>
  </si>
  <si>
    <t>Дер. Козловка, ул. Мира, д. 25</t>
  </si>
  <si>
    <t>Дер. Козловка, ул. Мира, д. 35</t>
  </si>
  <si>
    <t>Дер. Козловка, ул. Мира, д. 37</t>
  </si>
  <si>
    <t>Итого по Кириловскому сельскому поселению Рославльского района Смоленской области</t>
  </si>
  <si>
    <t>Пос. Льнозавода, д. 21</t>
  </si>
  <si>
    <t>Итого по Любовскому сельскому поселению Рославльского района Смоленской области</t>
  </si>
  <si>
    <t>Дер. Чижовка-2, ул. Центральная, д. 14</t>
  </si>
  <si>
    <t>Итого по Перенскому сельскому поселению Рославльского района Смоленской области</t>
  </si>
  <si>
    <t>Дер. Перенка, д. 18</t>
  </si>
  <si>
    <t>Дер. Перенка, д. 19</t>
  </si>
  <si>
    <t>Итого по Сырокоренскому сельскому поселению Рославльского района Смоленской области</t>
  </si>
  <si>
    <t>Дер. Новоселки, ул. Центральная, д. 17</t>
  </si>
  <si>
    <t>Дер. Новоселки, ул. Центральная, д. 19</t>
  </si>
  <si>
    <t>Дер. Марьевка, д. 1</t>
  </si>
  <si>
    <t>Дер. Марьевка, д. 2</t>
  </si>
  <si>
    <t>Итого по Руднянскому городскому поселению Руднянского района Смоленской области</t>
  </si>
  <si>
    <t>Г. Рудня, пос. Молкомбината, д. 37</t>
  </si>
  <si>
    <t>Г. Рудня, пос. Молкомбината, д. 6</t>
  </si>
  <si>
    <t>Г. Рудня, ул. Киреева, д. 21</t>
  </si>
  <si>
    <t>Г. Рудня, ул. Энергетиков, д. 5</t>
  </si>
  <si>
    <t>Г. Рудня, пос. Молкомбината, д. 14</t>
  </si>
  <si>
    <t>Г. Рудня, пос. Молкомбината, д. 7</t>
  </si>
  <si>
    <t>Г. Рудня, ул. Пирогова, д. 10</t>
  </si>
  <si>
    <t>Г. Рудня, ул. Советская, д. 13</t>
  </si>
  <si>
    <t>Г. Рудня, ул. Станционная, д. 5а</t>
  </si>
  <si>
    <t>Г. Рудня, пос. Молкомбината, д. 17</t>
  </si>
  <si>
    <t>Г. Рудня, ул. Заречная, д. 24</t>
  </si>
  <si>
    <t>Г. Рудня, ул. Льнозаводская, д. 32а</t>
  </si>
  <si>
    <t>Г. Рудня, ул. Станционная, д. 12</t>
  </si>
  <si>
    <t>Итого по Голынковскому городскому поселению Руднянского района Смоленской области</t>
  </si>
  <si>
    <t>Пос. Голынки, ул. Ленина, д. 6</t>
  </si>
  <si>
    <t>Пос. Голынки, ул. Ленина, д. 8</t>
  </si>
  <si>
    <t>Итого по Любавичскому сельскому поселению Руднянского района Смоленской области</t>
  </si>
  <si>
    <t>Дер. Березино, ул. Центральная, д. 1</t>
  </si>
  <si>
    <t>Дер. Березино, ул. Центральная, д. 10</t>
  </si>
  <si>
    <t>Дер. Березино, ул. Центральная, д. 14</t>
  </si>
  <si>
    <t>Дер. Березино, ул. Центральная, д. 3</t>
  </si>
  <si>
    <t>Итого по Переволочскому сельскому поселению Руднянского района Смоленской области</t>
  </si>
  <si>
    <t>Дер. Стаи, ул. Первомайская, д. 18</t>
  </si>
  <si>
    <t>Дер. Стаи, ул. Первомайская, д. 20</t>
  </si>
  <si>
    <t>Итого по Чистиковскому сельскому поселению Руднянского района Смоленской области</t>
  </si>
  <si>
    <t>Дер. Смолиговка, ул. Калинина, д. 11</t>
  </si>
  <si>
    <t>Дер. Смолиговка, ул. Калинина, д. 9</t>
  </si>
  <si>
    <t>Дер. Чистик, ул. Комсомольская, д. 7</t>
  </si>
  <si>
    <t>Дер. Чистик, ул. Школьная, д. 3</t>
  </si>
  <si>
    <t>Дер. Чистик, ул. Школьная, д. 5</t>
  </si>
  <si>
    <t>Дер. Чистик, ул. Школьная, д. 9</t>
  </si>
  <si>
    <t>Итого по Сафоновскому городскому поселению Сафоновского района Смоленской области</t>
  </si>
  <si>
    <t>Г. Сафоново, ул. Карла Маркса, д. 20</t>
  </si>
  <si>
    <t>Г. Сафоново, ул. Кирова, д. 6</t>
  </si>
  <si>
    <t>Г. Сафоново, ул. Кирова, д. 8</t>
  </si>
  <si>
    <t>Г. Сафоново, ул. Коммунистическая, д. 6</t>
  </si>
  <si>
    <t>Г. Сафоново, ул. Красногвардейская, д. 36</t>
  </si>
  <si>
    <t>Г. Сафоново, ул. Ленина, д. 18</t>
  </si>
  <si>
    <t>Г. Сафоново, ул. Ленина, д. 31а</t>
  </si>
  <si>
    <t>Г. Сафоново, ул. Ленина, д. 39</t>
  </si>
  <si>
    <t>Г. Сафоново, ул. Ленина, д. 5</t>
  </si>
  <si>
    <t>Г. Сафоново, ул. Ленина, д. 7</t>
  </si>
  <si>
    <t>Г. Сафоново, ул. Первомайская, д. 63</t>
  </si>
  <si>
    <t>Г. Сафоново, ул. Революционная, д. 11</t>
  </si>
  <si>
    <t>Г. Сафоново, ул. Революционная, д. 2</t>
  </si>
  <si>
    <t>Г. Сафоново, ул. Революционная, д. 4</t>
  </si>
  <si>
    <t>Г. Сафоново, ул. Революционная, д. 6</t>
  </si>
  <si>
    <t>Г. Сафоново, ул. Свободы, д. 7</t>
  </si>
  <si>
    <t>Г. Сафоново, ул. Свободы, д. 7а</t>
  </si>
  <si>
    <t>Г. Сафоново, ул. Советская, д. 33</t>
  </si>
  <si>
    <t>Г. Сафоново, ул. Шахтерская, д. 1</t>
  </si>
  <si>
    <t>Г. Сафоново, ул. Заозерная, д. 4</t>
  </si>
  <si>
    <t>Г. Сафоново, ул. Кирова, д. 14</t>
  </si>
  <si>
    <t>Г. Сафоново, ул. Кирпичный городок, д. 2</t>
  </si>
  <si>
    <t>Г. Сафоново, ул. Красногвардейская, д. 28</t>
  </si>
  <si>
    <t>Г. Сафоново, ул. Красногвардейская, д. 30</t>
  </si>
  <si>
    <t>Г. Сафоново, ул. Ленинградская, д. 12</t>
  </si>
  <si>
    <t>Г. Сафоново, ул. Ленинградская, д. 14</t>
  </si>
  <si>
    <t>Г. Сафоново, ул. Революционная, д. 13</t>
  </si>
  <si>
    <t>Г. Сафоново, ул. Революционная, д. 7</t>
  </si>
  <si>
    <t>Г. Сафоново, ул. Революционная, д. 8</t>
  </si>
  <si>
    <t>Г. Сафоново, ул. Революционная, д. 9</t>
  </si>
  <si>
    <t>Г. Сафоново, ул. Свободы, д. 2</t>
  </si>
  <si>
    <t>Г. Сафоново, ул. Свободы, д. 3</t>
  </si>
  <si>
    <t>Г. Сафоново, ул. Свободы, д. 5</t>
  </si>
  <si>
    <t>Г. Сафоново, ул. Свободы, д. 5а</t>
  </si>
  <si>
    <t>Г. Сафоново, ул. Свободы, д. 9</t>
  </si>
  <si>
    <t>Г. Сафоново, ул. Советская, д. 31</t>
  </si>
  <si>
    <t>Г. Сафоново, ул. Шахтерская, д. 3</t>
  </si>
  <si>
    <t>Г. Сафоново, микрорайон-2, д. 36</t>
  </si>
  <si>
    <t>Г. Сафоново, микрорайон-2, д. 37</t>
  </si>
  <si>
    <t>Г. Сафоново, микрорайон-2, д. 38</t>
  </si>
  <si>
    <t>Г. Сафоново, микрорайон-2, д. 39</t>
  </si>
  <si>
    <t>Г. Сафоново, ул. Кирова, д. 10</t>
  </si>
  <si>
    <t>Г. Сафоново, ул. Кирова, д. 12</t>
  </si>
  <si>
    <t>Г. Сафоново, ул. Кирова, д. 4</t>
  </si>
  <si>
    <t>Г. Сафоново, ул. Коммунистическая, д. 15</t>
  </si>
  <si>
    <t>Г. Сафоново, ул. Ленина, д. 4</t>
  </si>
  <si>
    <t>Г. Сафоново, ул. Радищева, д. 16</t>
  </si>
  <si>
    <t>Г. Сафоново, ул. Свободы, д. 11</t>
  </si>
  <si>
    <t>Г. Сафоново, ул. Свободы, д. 15</t>
  </si>
  <si>
    <t>Г. Сафоново, ул. Свободы, д. 17</t>
  </si>
  <si>
    <t>Г. Сафоново, ул. Советская, д. 10</t>
  </si>
  <si>
    <t>Г. Сафоново, ул. Шахта-3, д. 5</t>
  </si>
  <si>
    <t>Г. Сафоново, ул. Шахта-3, д. 6</t>
  </si>
  <si>
    <t>Г. Сафоново, ул. Шахта-3, д. 7</t>
  </si>
  <si>
    <t>Г. Сафоново, ул. Шахта-3, д. 8</t>
  </si>
  <si>
    <t>Г. Сафоново, ул. Энгельса, д. 5</t>
  </si>
  <si>
    <t>Итого по Баранвскому сельскому поселению Сафоновского района Смоленской области</t>
  </si>
  <si>
    <t>Дер. Бараново, ул. Садовая, д. 4</t>
  </si>
  <si>
    <t>Дер. Бараново, ул. Советская, д. 19</t>
  </si>
  <si>
    <t>Дер. Бараново, ул. Советская, д. 20</t>
  </si>
  <si>
    <t>Дер. Бараново, ул. Советская, д. 21</t>
  </si>
  <si>
    <t>Дер. Бараново, ул. Советская, д. 25</t>
  </si>
  <si>
    <t>Дер. Бараново, ул. Советская, д. 27</t>
  </si>
  <si>
    <t>Итого по Беленинскому сельскому поселению Сафоновского района Смоленской области</t>
  </si>
  <si>
    <t>Дер. Клинка, ул. Школьная, д. 5</t>
  </si>
  <si>
    <t>Дер. Клинка, ул. Школьная, д. 6</t>
  </si>
  <si>
    <t>Итого по Вадинскому сельскому поселению Сафоновского района Смоленской области</t>
  </si>
  <si>
    <t>Пос. Вадино, ул. Труда, д. 1</t>
  </si>
  <si>
    <t>Пос. Вадино, ул. Труда, д. 4</t>
  </si>
  <si>
    <t>Пос. Вадино, ул. Труда, д. 5</t>
  </si>
  <si>
    <t>Пос. Вадино, ул. Труда, д. 6</t>
  </si>
  <si>
    <t>С. Лесное, ул. Центральная, д. 10</t>
  </si>
  <si>
    <t>С. Лесное, ул. Центральная, д. 14</t>
  </si>
  <si>
    <t>Итого по Вышегорскому сельскому поселению Сафоновского района Смоленской области</t>
  </si>
  <si>
    <t>Дер. Вышегор, ул. Мира, д. 7</t>
  </si>
  <si>
    <t>Дер. Дроздово, ул. Центральная, д. 4</t>
  </si>
  <si>
    <t>Дер. Дроздово, ул. Центральная, д. 6</t>
  </si>
  <si>
    <t>Итого по Издешковскому сельскому поселению Сафоновского района Смоленской области</t>
  </si>
  <si>
    <t>Пос. Издешково, ул. 1-я Ленинская, д. 46</t>
  </si>
  <si>
    <t>Пос. Издешково, ул. 2-я Ленинская, д. 19</t>
  </si>
  <si>
    <t>Пос. Издешково, ул. 1-я Ленинская, д. 26</t>
  </si>
  <si>
    <t>Пос. Издешково, ул. 2-я Ленинская, д. 21</t>
  </si>
  <si>
    <t>Пос. Издешково, ул. 2-я Ленинская, д. 23</t>
  </si>
  <si>
    <t>Итого по казулинскому сельскому поселению Сафоновского района Смоленской области</t>
  </si>
  <si>
    <t>Дер. Казулино, ул. Центральная, д. 11</t>
  </si>
  <si>
    <t>Дер. Казулино, ул. Центральная, д. 3</t>
  </si>
  <si>
    <t>Дер. Казулино, ул. Центральная, д. 5</t>
  </si>
  <si>
    <t>Дер. Казулино, ул. Центральная, д. 6</t>
  </si>
  <si>
    <t>Итого по Казулинскому сельскому поселению Сафоновского района Смоленской области</t>
  </si>
  <si>
    <t>Итого по Ноколо-Погореловскому сельскому поселению Сафоновского района Смоленской области</t>
  </si>
  <si>
    <t>Дер. Крюково, д. 1</t>
  </si>
  <si>
    <t>Дер. Крюково, д. 2</t>
  </si>
  <si>
    <t>Дер. Николо-Погорелое, ул. Днепровская, д. 8</t>
  </si>
  <si>
    <t>Дер. Николо-Погорелое, ул. Комсомольская, д. 5</t>
  </si>
  <si>
    <t>Дер. Николо-Погорелое, ул. Комсомольская, д. 6</t>
  </si>
  <si>
    <t>Дер. Николо-Погорелое, ул. Комсомольская, д. 7</t>
  </si>
  <si>
    <t>Дер. Николо-Погорелое, ул. Центральная, д. 4</t>
  </si>
  <si>
    <t>Итого по Прудковскому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</si>
  <si>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</si>
  <si>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Дер. Богдановщина, ул. Центральная, д. 3</t>
  </si>
  <si>
    <t>Дер. Богдановщина, ул. Центральная, д. 5</t>
  </si>
  <si>
    <t>Г. Смоленск, бульвар Гагарина, д. 3</t>
  </si>
  <si>
    <t>Г. Смоленск, бульвар Гагарина, д. 4</t>
  </si>
  <si>
    <t>Г. Смоленск, Витебское шоссе, д. 3/20</t>
  </si>
  <si>
    <t>Г. Смоленск, городок Коминтерна, д. 11</t>
  </si>
  <si>
    <t>Г. Смоленск, городок Коминтерна, д. 15</t>
  </si>
  <si>
    <t>Г. Смоленск, городок Коминтерна, д. 3</t>
  </si>
  <si>
    <t>Г. Смоленск, городок Коминтерна, д. 4</t>
  </si>
  <si>
    <t>Г. Смоленск, городок Коминтерна, д. 5</t>
  </si>
  <si>
    <t>Г. Смоленск, городок Коминтерна, д. 6</t>
  </si>
  <si>
    <t>Г. Смоленск, городок Коминтерна, д. 8</t>
  </si>
  <si>
    <t>Г. Смоленск, мкрн. Южный, д. 39а</t>
  </si>
  <si>
    <t>Г. Смоленск, пер. 4-й Краснофлотский, д. 8</t>
  </si>
  <si>
    <t>Г. Смоленск, пер. Мало-Мопровский, д. 8</t>
  </si>
  <si>
    <t>Г. Смоленск, пос. 430 км, д. 17</t>
  </si>
  <si>
    <t>Г. Смоленск, пос. 430 км, д. 19</t>
  </si>
  <si>
    <t>Г. Смоленск, пос. Вязовенька, д. 2</t>
  </si>
  <si>
    <t>Г. Смоленск, пос. Вязовенька, д. 2а</t>
  </si>
  <si>
    <t>Г. Смоленск, пос. Кирпичного 3-го завода, д. 10</t>
  </si>
  <si>
    <t>Г. Смоленск, пос. Серебрянка, д. 68б</t>
  </si>
  <si>
    <t>Г. Смоленск, пос. Тихвинка, д. 24</t>
  </si>
  <si>
    <t>Г. Смоленск, просп. Гагарина, д. 12в</t>
  </si>
  <si>
    <t>Г. Смоленск, просп. Гагарина, д. 19</t>
  </si>
  <si>
    <t>Г. Смоленск, просп. Гагарина, д. 24</t>
  </si>
  <si>
    <t>Г. Смоленск, просп. Гагарина, д. 8</t>
  </si>
  <si>
    <t>Г. Смоленск, ул. 25 Сентября, д. 3</t>
  </si>
  <si>
    <t>Г. Смоленск, ул. 2-я Загорная, д. 16</t>
  </si>
  <si>
    <t>Г. Смоленск, ул. 2-я Киевская, д. 11</t>
  </si>
  <si>
    <t>Г. Смоленск, ул. 2-я Киевская, д. 3</t>
  </si>
  <si>
    <t>Г. Смоленск, ул. 2-я Киевская, д. 5</t>
  </si>
  <si>
    <t>Г. Смоленск, ул. 2-я Киевская, д. 9</t>
  </si>
  <si>
    <t>Г. Смоленск, ул. 4-я Загорная, д. 22</t>
  </si>
  <si>
    <t>Г. Смоленск, ул. Автозаводская, д. 30</t>
  </si>
  <si>
    <t>Г. Смоленск, ул. Багратиона, д. 14/12</t>
  </si>
  <si>
    <t>Г. Смоленск, ул. Багратиона, д. 8/1</t>
  </si>
  <si>
    <t>Г. Смоленск, ул. Бакунина, д. 10б</t>
  </si>
  <si>
    <t>Г. Смоленск, ул. Белинского, д. 5</t>
  </si>
  <si>
    <t>Г. Смоленск, ул. Володарского, д. 12</t>
  </si>
  <si>
    <t>Г. Смоленск, ул. Высокая, д. 13</t>
  </si>
  <si>
    <t>Г. Смоленск, ул. Генерала Лукина, д. 38</t>
  </si>
  <si>
    <t>Г. Смоленск, ул. Генерала Лукина, д. 4</t>
  </si>
  <si>
    <t>Г. Смоленск, ул. Генерала Лукина, д. 40</t>
  </si>
  <si>
    <t>Г. Смоленск, ул. Губенко, д. 14</t>
  </si>
  <si>
    <t>Г. Смоленск, ул. Дзержинского, д. 24</t>
  </si>
  <si>
    <t>Г. Смоленск, ул. Дзержинского, д. 3а</t>
  </si>
  <si>
    <t>Г. Смоленск, ул. Дохтурова, д. 1</t>
  </si>
  <si>
    <t>Г. Смоленск, ул. Исаковского, д. 26</t>
  </si>
  <si>
    <t>Г. Смоленск, ул. Кашена, д. 8</t>
  </si>
  <si>
    <t>Г. Смоленск, ул. Кирова, д. 10</t>
  </si>
  <si>
    <t>Г. Смоленск, ул. Кирова, д. 12</t>
  </si>
  <si>
    <t>Г. Смоленск, ул. Кирова, д. 28</t>
  </si>
  <si>
    <t>Г. Смоленск, ул. Козлова, д. 6</t>
  </si>
  <si>
    <t>Г. Смоленск, ул. Коммунистическая, д. 5</t>
  </si>
  <si>
    <t>Г. Смоленск, ул. Коненкова, д. 4</t>
  </si>
  <si>
    <t>Г. Смоленск, ул. Кооперативная, д. 31</t>
  </si>
  <si>
    <t>Г. Смоленск, ул. Кутузова, д. 1</t>
  </si>
  <si>
    <t>Г. Смоленск, ул. Лавочкина, д. 62б</t>
  </si>
  <si>
    <t>Г. Смоленск, ул. Ленина, д. 26</t>
  </si>
  <si>
    <t>Г. Смоленск, ул. Ленина, д. 29/24</t>
  </si>
  <si>
    <t>Г. Смоленск, ул. Ленина, д. 34</t>
  </si>
  <si>
    <t>Г. Смоленск, ул. Ломоносова, д. 1/74</t>
  </si>
  <si>
    <t>Г. Смоленск, ул. Мало-Краснофлотская, д. 31а</t>
  </si>
  <si>
    <t>Г. Смоленск, ул. Мира, д. 11</t>
  </si>
  <si>
    <t>Г. Смоленск, ул. Мира, д. 18</t>
  </si>
  <si>
    <t>Г. Смоленск, ул. Мира, д. 3</t>
  </si>
  <si>
    <t>Г. Смоленск, ул. Мира, д. 4</t>
  </si>
  <si>
    <t>Г. Смоленск, ул. Мира, д. 6</t>
  </si>
  <si>
    <t>Г. Смоленск, ул. Нахимова, д. 10</t>
  </si>
  <si>
    <t>Г. Смоленск, ул. Нахимова, д. 1а</t>
  </si>
  <si>
    <t>Г. Смоленск, ул. Нахимова, д. 3</t>
  </si>
  <si>
    <t>Г. Смоленск, ул. Нахимова, д. 3а</t>
  </si>
  <si>
    <t>Г. Смоленск, ул. Нахимова, д. 5</t>
  </si>
  <si>
    <t>Г. Смоленск, ул. Нахимова, д. 7</t>
  </si>
  <si>
    <t>Г. Смоленск, ул. Нахимсона, д. 4</t>
  </si>
  <si>
    <t>Г. Смоленск, ул. Нахимсона, д. 6</t>
  </si>
  <si>
    <t>Г. Смоленск, ул. Николаева, д. 34</t>
  </si>
  <si>
    <t>Г. Смоленск, ул. Николаева, д. 36а</t>
  </si>
  <si>
    <t>Г. Смоленск, ул. Николаева, д. 38</t>
  </si>
  <si>
    <t>Г. Смоленск, ул. Николаева, д. 4</t>
  </si>
  <si>
    <t>Г. Смоленск, ул. Николаева, д. 40</t>
  </si>
  <si>
    <t>Г. Смоленск, ул. Николаева, д. 42</t>
  </si>
  <si>
    <t>Г. Смоленск, ул. Новая Слобода-Садки, д. 6а</t>
  </si>
  <si>
    <t>Г. Смоленск, ул. Ново-Киевская, д. 5</t>
  </si>
  <si>
    <t>Г. Смоленск, ул. Ново-Ленинградская, д. 19</t>
  </si>
  <si>
    <t>Г. Смоленск, ул. Ново-Ленинградская, д. 5</t>
  </si>
  <si>
    <t>Г. Смоленск, ул. Октябрьской революции, д. 22</t>
  </si>
  <si>
    <t>Г. Смоленск, ул. Октябрьской революции, д. 3а</t>
  </si>
  <si>
    <t>Г. Смоленск, ул. Октябрьской революции, д. 3б</t>
  </si>
  <si>
    <t>Г. Смоленск, ул. Попова, д. 14</t>
  </si>
  <si>
    <t>Г. Смоленск, ул. Попова, д. 14а</t>
  </si>
  <si>
    <t>Г. Смоленск, ул. Попова, д. 4а</t>
  </si>
  <si>
    <t>Г. Смоленск, ул. Пригородная, д. 1а</t>
  </si>
  <si>
    <t>Г. Смоленск, ул. Рабочая, д. 5</t>
  </si>
  <si>
    <t>Г. Смоленск, ул. Радищева, д. 7</t>
  </si>
  <si>
    <t>Г. Смоленск, ул. Реввоенсовета, д. 17</t>
  </si>
  <si>
    <t>Г. Смоленск, ул. Соболева, д. 30</t>
  </si>
  <si>
    <t>Г. Смоленск, ул. Строгань, д. 4</t>
  </si>
  <si>
    <t>Г. Смоленск, ул. Строителей, д. 10/11</t>
  </si>
  <si>
    <t>Г. Смоленск, ул. Строителей, д. 12/14</t>
  </si>
  <si>
    <t>Г. Смоленск, ул. Тенишевой, д. 10</t>
  </si>
  <si>
    <t>Г. Смоленск, ул. Тенишевой, д. 8</t>
  </si>
  <si>
    <t>Г. Смоленск, ул. Чапаева, д. 11а</t>
  </si>
  <si>
    <t>Г. Смоленск, ул. Чернышевского, д. 10а</t>
  </si>
  <si>
    <t>Г. Смоленск, ул. Чернышевского, д. 18</t>
  </si>
  <si>
    <t>Г. Смоленск, ул. Чернышевского, д. 4</t>
  </si>
  <si>
    <t>Г. Смоленск, ул. Чернышевского, д. 4а</t>
  </si>
  <si>
    <t>Г. Смоленск, ул. Чернышевского, д. 6а</t>
  </si>
  <si>
    <t>Г. Смоленск, ул. Чернышевского, д. 8а</t>
  </si>
  <si>
    <t>Г. Смоленск, ул. Энгельса, д. 6</t>
  </si>
  <si>
    <t>Г. Смоленск, ул. Энгельса, д. 9</t>
  </si>
  <si>
    <t>Г. Смоленск, бульвар Гагарина, д. 10</t>
  </si>
  <si>
    <t>Г. Смоленск, бульвар Гагарина, д. 5</t>
  </si>
  <si>
    <t>Г. Смоленск, бульвар Гагарина, д. 7</t>
  </si>
  <si>
    <t>Г. Смоленск, городок Коминтерна, д. 16</t>
  </si>
  <si>
    <t>Г. Смоленск, городок Коминтерна, д. 17</t>
  </si>
  <si>
    <t>Г. Смоленск, пер. 1-й Краснофлотский, д. 13</t>
  </si>
  <si>
    <t>Г. Смоленск, пер. 4-й Слобода-Садки, д. 15</t>
  </si>
  <si>
    <t>Г. Смоленск, пер. Смирнова, д. 5</t>
  </si>
  <si>
    <t>Г. Смоленск, пер. Станционный, д. 6</t>
  </si>
  <si>
    <t>Г. Смоленск, пер. Станционный, д. 8</t>
  </si>
  <si>
    <t>Г. Смоленск, пос. Анастасино, д. 31</t>
  </si>
  <si>
    <t>Г. Смоленск, пос. Анастасино, д. 33</t>
  </si>
  <si>
    <t>Г. Смоленск, пос. Красный Бор, в/ч 83283, д. 8</t>
  </si>
  <si>
    <t>Г. Смоленск, пос. Миловидово, д. 1</t>
  </si>
  <si>
    <t>Г. Смоленск, пос. Миловидово, д. 2</t>
  </si>
  <si>
    <t>Г. Смоленск, пос. Миловидово, д. 3</t>
  </si>
  <si>
    <t>Г. Смоленск, пос. Тихвинка, д. 26</t>
  </si>
  <si>
    <t>Г. Смоленск, ул. 2-я Вяземская, д. 3</t>
  </si>
  <si>
    <t>Г. Смоленск, ул. 2-я Вяземская, д. 5</t>
  </si>
  <si>
    <t>Г. Смоленск, ул. 4-я Загорная, д. 11</t>
  </si>
  <si>
    <t>Г. Смоленск, ул. Автозаводская, д. 17</t>
  </si>
  <si>
    <t>Г. Смоленск, ул. Академика Петрова, д. 1</t>
  </si>
  <si>
    <t>Г. Смоленск, ул. Академика Петрова, д. 3</t>
  </si>
  <si>
    <t>Г. Смоленск, ул. Академика Петрова, д. 5</t>
  </si>
  <si>
    <t>Г. Смоленск, ул. Академика Петрова, д. 7</t>
  </si>
  <si>
    <t>Г. Смоленск, ул. Академика Петрова, д. 9</t>
  </si>
  <si>
    <t>Г. Смоленск, ул. Багратиона, д. 16</t>
  </si>
  <si>
    <t>Г. Смоленск, ул. Багратиона, д. 20</t>
  </si>
  <si>
    <t>Г. Смоленск, ул. Багратиона, д. 22</t>
  </si>
  <si>
    <t>Г. Смоленск, ул. Воробьева, д. 15</t>
  </si>
  <si>
    <t>Г. Смоленск, ул. Герцена, д. 13а</t>
  </si>
  <si>
    <t>Г. Смоленск, ул. Исаковского, д. 20</t>
  </si>
  <si>
    <t>Г. Смоленск, ул. Кирова, д. 16</t>
  </si>
  <si>
    <t>Г. Смоленск, ул. Кирова, д. 18</t>
  </si>
  <si>
    <t>Г. Смоленск, ул. Кирова, д. 24</t>
  </si>
  <si>
    <t>Г. Смоленск, ул. Кирова, д. 43</t>
  </si>
  <si>
    <t>Г. Смоленск, ул. Колхозная, д. 48б</t>
  </si>
  <si>
    <t>Г. Смоленск, ул. Котовского, д. 1а</t>
  </si>
  <si>
    <t>Г. Смоленск, ул. Крупской, д. 62</t>
  </si>
  <si>
    <t>Г. Смоленск, ул. Крупской, д. 64</t>
  </si>
  <si>
    <t>Г. Смоленск, ул. Кутузова, д. 2а</t>
  </si>
  <si>
    <t>Г. Смоленск, ул. Кутузова, д. 30</t>
  </si>
  <si>
    <t>Г. Смоленск, ул. Кутузова, д. 4</t>
  </si>
  <si>
    <t>Г. Смоленск, ул. Кутузова, д. 8</t>
  </si>
  <si>
    <t>Г. Смоленск, ул. Кутузова, д. 8а</t>
  </si>
  <si>
    <t>Г. Смоленск, ул. Лавочкина, д. 43</t>
  </si>
  <si>
    <t>Г. Смоленск, ул. Лавочкина, д. 54а</t>
  </si>
  <si>
    <t>Г. Смоленск, ул. Ломоносова, д. 15а</t>
  </si>
  <si>
    <t>Г. Смоленск, ул. Ломоносова, д. 17</t>
  </si>
  <si>
    <t>Г. Смоленск, ул. Ломоносова, д. 17а</t>
  </si>
  <si>
    <t>Г. Смоленск, ул. Ломоносова, д. 21</t>
  </si>
  <si>
    <t>Г. Смоленск, ул. Ломоносова, д. 21а</t>
  </si>
  <si>
    <t>Г. Смоленск, ул. Ломоносова, д. 5</t>
  </si>
  <si>
    <t>Г. Смоленск, ул. Ломоносова, д. 9</t>
  </si>
  <si>
    <t>Г. Смоленск, ул. Мало-Краснофлотская, д. 29а</t>
  </si>
  <si>
    <t>Г. Смоленск, ул. Мало-Краснофлотская, д. 29б</t>
  </si>
  <si>
    <t>Г. Смоленск, ул. Минская, д. 13</t>
  </si>
  <si>
    <t>Г. Смоленск, ул. Минская, д. 13а</t>
  </si>
  <si>
    <t>Г. Смоленск, ул. Молодёжная, д. 14</t>
  </si>
  <si>
    <t>Г. Смоленск, ул. Нахимова, д. 10а</t>
  </si>
  <si>
    <t>Г. Смоленск, ул. Нахимова, д. 4</t>
  </si>
  <si>
    <t>Г. Смоленск, ул. Нахимова, д. 6</t>
  </si>
  <si>
    <t>Г. Смоленск, ул. Нахимова, д. 6а</t>
  </si>
  <si>
    <t>Г. Смоленск, ул. Нахимова, д. 8</t>
  </si>
  <si>
    <t>Г. Смоленск, ул. Николаева, д. 24</t>
  </si>
  <si>
    <t>Г. Смоленск, ул. Николаева, д. 34а</t>
  </si>
  <si>
    <t>Г. Смоленск, ул. Николаева, д. 36</t>
  </si>
  <si>
    <t>Г. Смоленск, ул. Николаева, д. 38а</t>
  </si>
  <si>
    <t>Г. Смоленск, ул. Николаева, д. 6</t>
  </si>
  <si>
    <t>Г. Смоленск, ул. Ново-Киевская, д. 1</t>
  </si>
  <si>
    <t>Г. Смоленск, ул. Ново-Киевская, д. 7</t>
  </si>
  <si>
    <t>Г. Смоленск, ул. Нормандия-Неман, д. 22</t>
  </si>
  <si>
    <t>Г. Смоленск, ул. Октябрьской революции, д. 20</t>
  </si>
  <si>
    <t>Г. Смоленск, ул. Попова, д. 16</t>
  </si>
  <si>
    <t>Г. Смоленск, ул. Попова, д. 18</t>
  </si>
  <si>
    <t>Г. Смоленск, ул. Попова, д. 22</t>
  </si>
  <si>
    <t>Г. Смоленск, ул. Попова, д. 6</t>
  </si>
  <si>
    <t>Г. Смоленск, ул. Попова, д. 8</t>
  </si>
  <si>
    <t>Г. Смоленск, ул. Пригородная, д. 2</t>
  </si>
  <si>
    <t>Г. Смоленск, ул. Радищева, д. 13</t>
  </si>
  <si>
    <t>Г. Смоленск, ул. Радищева, д. 14а</t>
  </si>
  <si>
    <t>Г. Смоленск, ул. Радищева, д. 17</t>
  </si>
  <si>
    <t>Г. Смоленск, ул. Радищева, д. 21</t>
  </si>
  <si>
    <t>Г. Смоленск, ул. Радищева, д. 23</t>
  </si>
  <si>
    <t>Г. Смоленск, ул. Радищева, д. 8</t>
  </si>
  <si>
    <t>Г. Смоленск, ул. Радищева, д. 9а</t>
  </si>
  <si>
    <t>Г. Смоленск, ул. Раевского, д. 5</t>
  </si>
  <si>
    <t>Г. Смоленск, ул. Соболева, д. 109а</t>
  </si>
  <si>
    <t>Г. Смоленск, ул. Соболева, д. 112</t>
  </si>
  <si>
    <t>Г. Смоленск, ул. Твардовского, д. 1</t>
  </si>
  <si>
    <t>Г. Смоленск, ул. Твардовского, д. 15</t>
  </si>
  <si>
    <t>Г. Смоленск, ул. Твардовского, д. 4</t>
  </si>
  <si>
    <t>Г. Смоленск, ул. Фрунзе, д. 39</t>
  </si>
  <si>
    <t>Г. Смоленск, ул. Центральная, д. 5а</t>
  </si>
  <si>
    <t>Г. Смоленск, ул. Чернышевского, д. 14а</t>
  </si>
  <si>
    <t>Г. Смоленск, ул. Чернышевского, д. 16а</t>
  </si>
  <si>
    <t>Г. Смоленск, ул. Чернышевского, д. 20</t>
  </si>
  <si>
    <t>Г. Смоленск, ул. Чернышевского, д. 22</t>
  </si>
  <si>
    <t>Г. Смоленск, ул. Чернышевского, д. 24</t>
  </si>
  <si>
    <t>Г. Смоленск, ул. Черняховского, д. 18б</t>
  </si>
  <si>
    <t>Г. Смоленск, ул. Черняховского, д. 8</t>
  </si>
  <si>
    <t>Г. Смоленск, ул. Шевченко, д. 76</t>
  </si>
  <si>
    <t>Г. Смоленск, ул. Щорса, д. 14</t>
  </si>
  <si>
    <t>Г. Смоленск, городок Коминтерна, д. 9а</t>
  </si>
  <si>
    <t>Г. Смоленск, мкрн. Южный, д. 39б</t>
  </si>
  <si>
    <t>Г. Смоленск, пер. Ново-Киевский, д. 4а</t>
  </si>
  <si>
    <t>Г. Смоленск, пер. Станционный, д. 10</t>
  </si>
  <si>
    <t>Г. Смоленск, пос. Миловидово, д. 4</t>
  </si>
  <si>
    <t>Г. Смоленск, пос. Миловидово, д. 5</t>
  </si>
  <si>
    <t>Г. Смоленск, пос. Серебрянка, д. 68г</t>
  </si>
  <si>
    <t>Г. Смоленск, пос. Серебрянка, д. 70</t>
  </si>
  <si>
    <t>Г. Смоленск, просп. Гагарина, д. 20а</t>
  </si>
  <si>
    <t>Г. Смоленск, просп. Строителей, д. 20</t>
  </si>
  <si>
    <t>Г. Смоленск, ул. 25 Сентября, д. 1</t>
  </si>
  <si>
    <t>Г. Смоленск, ул. 25 Сентября, д. 5</t>
  </si>
  <si>
    <t>Г. Смоленск, ул. 2-я линия Красноармейской слободы, 
д. 7</t>
  </si>
  <si>
    <t>Г. Смоленск, ул. 4-я Загорная, д. 13</t>
  </si>
  <si>
    <t>Г. Смоленск, ул. 4-я Загорная, д. 14</t>
  </si>
  <si>
    <t>Г. Смоленск, ул. Автозаводская, д. 19</t>
  </si>
  <si>
    <t>Г. Смоленск, ул. Багратиона, д. 10</t>
  </si>
  <si>
    <t>Г. Смоленск, ул. Багратиона, д. 13</t>
  </si>
  <si>
    <t>Г. Смоленск, ул. Багратиона, д. 15</t>
  </si>
  <si>
    <t>Г. Смоленск, ул. Багратиона, д. 17</t>
  </si>
  <si>
    <t>Г. Смоленск, ул. Багратиона, д. 19</t>
  </si>
  <si>
    <t>Г. Смоленск, ул. Багратиона, д. 21</t>
  </si>
  <si>
    <t>Г. Смоленск, ул. Багратиона, д. 24</t>
  </si>
  <si>
    <t>Г. Смоленск, ул. Валентины Гризодубовой, д. 1</t>
  </si>
  <si>
    <t>Г. Смоленск, ул. Генерала Лукина, д. 2</t>
  </si>
  <si>
    <t>Г. Смоленск, ул. Госпитальная, д. 4а</t>
  </si>
  <si>
    <t>Г. Смоленск, ул. Губенко, д. 7</t>
  </si>
  <si>
    <t>Г. Смоленск, ул. Губенко, д. 9</t>
  </si>
  <si>
    <t>Г. Смоленск, ул. Карбышева, д. 8</t>
  </si>
  <si>
    <t>Г. Смоленск, ул. Кирова, д. 11/3</t>
  </si>
  <si>
    <t>Г. Смоленск, ул. Кирова, д. 13</t>
  </si>
  <si>
    <t>Г. Смоленск, ул. Кирова, д. 13а</t>
  </si>
  <si>
    <t>Г. Смоленск, ул. Кирова, д. 14</t>
  </si>
  <si>
    <t>Г. Смоленск, ул. Кирова, д. 17</t>
  </si>
  <si>
    <t>Г. Смоленск, ул. Кирова, д. 17а</t>
  </si>
  <si>
    <t>Г. Смоленск, ул. Кирова, д. 19</t>
  </si>
  <si>
    <t>Г. Смоленск, ул. Кирова, д. 19а</t>
  </si>
  <si>
    <t>Г. Смоленск, ул. Кирова, д. 20</t>
  </si>
  <si>
    <t>Г. Смоленск, ул. Кирова, д. 33</t>
  </si>
  <si>
    <t>Г. Смоленск, ул. Кирова, д. 34</t>
  </si>
  <si>
    <t>Г. Смоленск, ул. Кирова, д. 41а</t>
  </si>
  <si>
    <t>Г. Смоленск, ул. Крупской, д. 55в</t>
  </si>
  <si>
    <t>Г. Смоленск, ул. Крупской, д. 71</t>
  </si>
  <si>
    <t>Г. Смоленск, ул. Крупской, д. 73</t>
  </si>
  <si>
    <t>Г. Смоленск, ул. Крупской, д. 73а</t>
  </si>
  <si>
    <t>Г. Смоленск, ул. Кутузова, д. 10</t>
  </si>
  <si>
    <t>Г. Смоленск, ул. Кутузова, д. 12</t>
  </si>
  <si>
    <t>Г. Смоленск, ул. Лавочкина, д. 44</t>
  </si>
  <si>
    <t>Г. Смоленск, ул. Ломоносова, д. 17б</t>
  </si>
  <si>
    <t>Г. Смоленск, ул. Ломоносова, д. 23</t>
  </si>
  <si>
    <t>Г. Смоленск, ул. Ломоносова, д. 23а</t>
  </si>
  <si>
    <t>Г. Смоленск, ул. Ломоносова, д. 4</t>
  </si>
  <si>
    <t>Г. Смоленск, ул. Ломоносова, д. 6</t>
  </si>
  <si>
    <t>Г. Смоленск, ул. Ломоносова, д. 6а</t>
  </si>
  <si>
    <t>Г. Смоленск, ул. Ломоносова, д. 6б</t>
  </si>
  <si>
    <t>Г. Смоленск, ул. Ломоносова, д. 7</t>
  </si>
  <si>
    <t>Г. Смоленск, ул. Мало-Краснофлотская, д. 29в</t>
  </si>
  <si>
    <t>Г. Смоленск, ул. Маршала Соколовского, д. 22</t>
  </si>
  <si>
    <t>Г. Смоленск, ул. Молодёжная, д. 12/4</t>
  </si>
  <si>
    <t>Г. Смоленск, ул. Нахимова, д. 20а</t>
  </si>
  <si>
    <t>Г. Смоленск, ул. Николаева, д. 26</t>
  </si>
  <si>
    <t>Г. Смоленск, ул. Николаева, д. 34б</t>
  </si>
  <si>
    <t>Г. Смоленск, ул. Николаева, д. 49</t>
  </si>
  <si>
    <t>Г. Смоленск, ул. Николаева, д. 65</t>
  </si>
  <si>
    <t>Г. Смоленск, ул. Николаева, д. 67</t>
  </si>
  <si>
    <t>Г. Смоленск, ул. Ново-Киевская, д. 11</t>
  </si>
  <si>
    <t>Г. Смоленск, ул. Нормандия-Неман, д. 14</t>
  </si>
  <si>
    <t>Г. Смоленск, ул. Нормандия-Неман, д. 16</t>
  </si>
  <si>
    <t>Г. Смоленск, ул. Нормандия-Неман, д. 18</t>
  </si>
  <si>
    <t>Г. Смоленск, ул. Нормандия-Неман, д. 20</t>
  </si>
  <si>
    <t>Г. Смоленск, ул. Нормандия-Неман, д. 24</t>
  </si>
  <si>
    <t>Г. Смоленск, ул. Октябрьской революции, д. 12</t>
  </si>
  <si>
    <t>Г. Смоленск, ул. Попова, д. 20</t>
  </si>
  <si>
    <t>Г. Смоленск, ул. Попова, д. 26</t>
  </si>
  <si>
    <t>Г. Смоленск, ул. Попова, д. 28</t>
  </si>
  <si>
    <t>Г. Смоленск, ул. Реввоенсовета, д. 26</t>
  </si>
  <si>
    <t>Г. Смоленск, ул. Румянцева, д. 2/54</t>
  </si>
  <si>
    <t>Г. Смоленск, ул. Румянцева, д. 5</t>
  </si>
  <si>
    <t>Г. Смоленск, ул. Седова, д. 13</t>
  </si>
  <si>
    <t>Г. Смоленск, ул. Седова, д. 17</t>
  </si>
  <si>
    <t>Г. Смоленск, ул. Седова, д. 48</t>
  </si>
  <si>
    <t>Г. Смоленск, ул. Соболева, д. 82а</t>
  </si>
  <si>
    <t>Г. Смоленск, ул. Станционная, д. 2а</t>
  </si>
  <si>
    <t>Г. Смоленск, ул. Твардовского, д. 1б</t>
  </si>
  <si>
    <t>Г. Смоленск, ул. Толмачева, д. 2</t>
  </si>
  <si>
    <t>Г. Смоленск, ул. Тухачевского, д. 7</t>
  </si>
  <si>
    <t>Г. Смоленск, ул. Фрунзе, д. 58а</t>
  </si>
  <si>
    <t>Г. Смоленск, ул. Фурманова, д. 33</t>
  </si>
  <si>
    <t>Г. Смоленск, ул. Фурманова, д. 43</t>
  </si>
  <si>
    <t>Г. Смоленск, ул. Черняховского, д. 1</t>
  </si>
  <si>
    <t>Г. Смоленск, ул. Черняховского, д. 14</t>
  </si>
  <si>
    <t>Г. Смоленск, ул. Шевченко, д. 61</t>
  </si>
  <si>
    <t>Г. Смоленск, ул. Шевченко, д. 63</t>
  </si>
  <si>
    <t>Г. Смоленск, ул. Шевченко, д. 64</t>
  </si>
  <si>
    <t>Г. Смоленск, ул. Шевченко, д. 66</t>
  </si>
  <si>
    <t>Г. Смоленск, ул. Шевченко, д. 69</t>
  </si>
  <si>
    <t>Г. Смоленск, ул. Щорса, д. 10</t>
  </si>
  <si>
    <t>Г. Смоленск, ул. Щорса, д. 12</t>
  </si>
  <si>
    <t>Итого по Волоковскому сельскому поселению Смоленского района Смоленской области</t>
  </si>
  <si>
    <t>Дер. Волоковая, ул. Центральная, д. 2</t>
  </si>
  <si>
    <t>Дер. Волоковая, ул. Центральная, д. 4</t>
  </si>
  <si>
    <t>Дер. Волоковая, ул. Центральная, д. 6</t>
  </si>
  <si>
    <t>Дер. Волоковая, ул. Центральная, д. 8</t>
  </si>
  <si>
    <t>Итого по Вязгинскому сельскому поселению Смоленского района Смоленской области</t>
  </si>
  <si>
    <t>Дер. Вязгино, ул. Дорожная, д. 4</t>
  </si>
  <si>
    <t>Дер. Вязгино, ул. Дорожная, д. 5</t>
  </si>
  <si>
    <t>Дер. Вязгино, ул. Дорожная, д. 6</t>
  </si>
  <si>
    <t>Дер. Вязгино, ул. Дорожная, д. 7</t>
  </si>
  <si>
    <t>Дер. Вязгино, ул. Дорожная, д. 8</t>
  </si>
  <si>
    <t>Итого по Дивасовскому сельскому поселению Смоленского района Смоленской области</t>
  </si>
  <si>
    <t>Дер. Дивасы, ул. Мичурина, д. 1</t>
  </si>
  <si>
    <t>Дер. Дивасы, ул. Мичурина, д. 2</t>
  </si>
  <si>
    <t>Дер. Дивасы, ул. Мичурина, д. 3</t>
  </si>
  <si>
    <t>Дер. Дивасы, ул. Мичурина, д. 4</t>
  </si>
  <si>
    <t>Дер. Дивасы, ул. Мичурина, д. 5</t>
  </si>
  <si>
    <t>С. Ольша, ул. Заозерная, д. 1</t>
  </si>
  <si>
    <t>С. Ольша, ул. Заозерная, д. 11</t>
  </si>
  <si>
    <t>С. Ольша, ул. Заозерная, д. 2</t>
  </si>
  <si>
    <t>Итого по Касплянскому сельскому поселению Смоленского района Смоленской области</t>
  </si>
  <si>
    <t>С. Каспля-2, ул. Энергетиков, д. 3</t>
  </si>
  <si>
    <t>Итого по Катынскому сельскому поселению Смоленского района Смоленской области</t>
  </si>
  <si>
    <t>С. Катынь, ул. Витебское шоссе, д. 6</t>
  </si>
  <si>
    <t>С. Катынь, ул. Витебское шоссе, д. 7</t>
  </si>
  <si>
    <t>Дер. Санаторий Борок, д. 1</t>
  </si>
  <si>
    <t>Пос. Авторемзавод, ул. Нижний поселок АРЗ, д. 27</t>
  </si>
  <si>
    <t>С. Катынь, ул. Витебское шоссе, д. 4</t>
  </si>
  <si>
    <t>С. Катынь, ул. Витебское шоссе, д. 5</t>
  </si>
  <si>
    <t>Пос. Авторемзавод, д. 5</t>
  </si>
  <si>
    <t>Пос. Авторемзавод, ул. Нижний поселок АРЗ, д. 26</t>
  </si>
  <si>
    <t>Пос. Авторемзавод, ул. Нижний поселок АРЗ, д. 4</t>
  </si>
  <si>
    <t>Пос. Авторемзавод, ул. Нижний поселок АРЗ, д. 5</t>
  </si>
  <si>
    <t>С. Катынь, ул. Витебское шоссе, д. 2</t>
  </si>
  <si>
    <t>С. Катынь, ул. Витебское шоссе, д. 3</t>
  </si>
  <si>
    <t>Итого по Козинскому сельскому поселению Смоленского района Смоленской области</t>
  </si>
  <si>
    <t>Дер. Богородицкое, ул. Викторова, д. 29</t>
  </si>
  <si>
    <t>Дер. Богородицкое, ул. Викторова, д. 30</t>
  </si>
  <si>
    <t>Итого по Корохоткинскому сельскому поселению Смоленского района Смоленской области</t>
  </si>
  <si>
    <t>Дер. Рогачево, ул. Центральная, д. 7</t>
  </si>
  <si>
    <t>Пос. Гедеоновка, д. 14</t>
  </si>
  <si>
    <t>Дер. Магалинщина, ул. Заречная, д. 11</t>
  </si>
  <si>
    <t>Дер. Магалинщина, ул. Заречная, д. 13</t>
  </si>
  <si>
    <t>Дер. Магалинщина, ул. Заречная, д. 3</t>
  </si>
  <si>
    <t>Дер. Магалинщина, ул. Заречная, д. 5</t>
  </si>
  <si>
    <t>Итого по Михновскому сельскому поселению Смоленского района Смоленской области</t>
  </si>
  <si>
    <t>Дер. Михновка, ул. Молодежная, д. 3</t>
  </si>
  <si>
    <t>Дер. Михновка, ул. Молодежная, д. 5</t>
  </si>
  <si>
    <t>Дер. Михновка, ул. Молодежная, д. 7</t>
  </si>
  <si>
    <t>Итого по Новосельскому сельскому поселению Смоленского района Смоленской области</t>
  </si>
  <si>
    <t>Дер. Верховье, ул. Поселковая, д. 2</t>
  </si>
  <si>
    <t>Итого по Печерскому сельскому поселению Смоленского района Смоленской области</t>
  </si>
  <si>
    <t>С. Печерск, ул. Автодорожная, д. 7</t>
  </si>
  <si>
    <t>С. Печерск, ул. Минская, д. 22</t>
  </si>
  <si>
    <t>Итого по Пригорскому сельскому поселению Смоленского района Смоленской области</t>
  </si>
  <si>
    <t>С. Пригорское, ул. Октябрьская, д. 1</t>
  </si>
  <si>
    <t>С. Пригорское, ул. Октябрьская, д. 3</t>
  </si>
  <si>
    <t>С. Пригорское, ул. Октябрьская, д. 5</t>
  </si>
  <si>
    <t>С. Пригорское, ул. Октябрьская, д. 7</t>
  </si>
  <si>
    <t>Итого по Пионерскому сельскому поселению Смоленского района Смоленской области</t>
  </si>
  <si>
    <t>Дер. Русилово, ул. Центральная, д. 3</t>
  </si>
  <si>
    <t>Дер. Русилово, ул. Центральная, д. 5</t>
  </si>
  <si>
    <t>Дер. Русилово, ул. Центральная, д. 7</t>
  </si>
  <si>
    <t>Дер. Русилово, ул. Центральная, д. 9</t>
  </si>
  <si>
    <t>Итого по Сметанинскому сельскому поселению Смоленского района Смоленской области</t>
  </si>
  <si>
    <t>Дер. Сметанино, ул. Ветеранов, д. 2</t>
  </si>
  <si>
    <t>Дер. Сметанино, ул. Ветеранов, д. 4</t>
  </si>
  <si>
    <t>Дер. Сметанино, ул. Ветеранов, д. 6</t>
  </si>
  <si>
    <t>Дер. Сметанино, ул. Озерная, д. 1</t>
  </si>
  <si>
    <t>Дер. Сметанино, ул. Озерная, д. 3</t>
  </si>
  <si>
    <t>Итого по Стабенскому сельскому поселению Смоленского района Смоленской области</t>
  </si>
  <si>
    <t>Дер. Жуково, ул. Мира, д. 51</t>
  </si>
  <si>
    <t>Дер. Жуково, ул. Мира, д. 54</t>
  </si>
  <si>
    <t>Дер. Жуково, ул. Мира, д. 55</t>
  </si>
  <si>
    <t>Дер. Жуково, ул. Мира, д. 57</t>
  </si>
  <si>
    <t>Дер. Жуково, ул. Мира, д. 58</t>
  </si>
  <si>
    <t>Дер. Жуково, ул. Мира, д. 59</t>
  </si>
  <si>
    <t>Дер. Зыколино, д. 28</t>
  </si>
  <si>
    <t>Итого по Талашкинскому сельскому поселению Смоленского района Смоленской области</t>
  </si>
  <si>
    <t>Дер. ДРСУ-5, д. 1</t>
  </si>
  <si>
    <t>Дер. ДРСУ-5, д. 2</t>
  </si>
  <si>
    <t>Дер. ДРСУ-5, д. 3</t>
  </si>
  <si>
    <t>Дер. ДРСУ-5, д. 4</t>
  </si>
  <si>
    <t>Дер. ДРСУ-5, д. 5</t>
  </si>
  <si>
    <t>Дер. ДРСУ-5, д. 7</t>
  </si>
  <si>
    <t>Дер. ДРСУ-5, д. 8</t>
  </si>
  <si>
    <t>С. Талашкино, ул. Ленина, д. 12а</t>
  </si>
  <si>
    <t>С. Талашкино, ул. Ленина, д. 14</t>
  </si>
  <si>
    <t>С. Талашкино, ул. Ленина, д. 17</t>
  </si>
  <si>
    <t>С. Талашкино, ул. Ленина, д. 18</t>
  </si>
  <si>
    <t>С. Талашкино, ул. Парковая, д. 4</t>
  </si>
  <si>
    <t>С. Талашкино, ул. Парковая, д. 8</t>
  </si>
  <si>
    <t>Итого по Хохловскому сельскому поселению Смоленского района Смоленской области</t>
  </si>
  <si>
    <t>Дер. Хохлово, ул. Мира, д. 10</t>
  </si>
  <si>
    <t>Дер. Хохлово, ул. Мира, д. 2</t>
  </si>
  <si>
    <t>Дер. Хохлово, ул. Мира, д. 4</t>
  </si>
  <si>
    <t>Дер. Хохлово, ул. Мира, д. 6</t>
  </si>
  <si>
    <t>Итого по Сычевскому сельскому поселению Смоленского района Смоленской области</t>
  </si>
  <si>
    <t>Г. Сычевка, ст. Сычевка, д. 2</t>
  </si>
  <si>
    <t>Г. Сычевка, ст. Сычевка, д. 4</t>
  </si>
  <si>
    <t>Г. Сычевка, ул. Большая Пролетарская, д. 4</t>
  </si>
  <si>
    <t>Г. Сычевка, ул. Большая Советская, д. 24</t>
  </si>
  <si>
    <t>Г. Сычевка, ул. Карла Маркса, д. 14</t>
  </si>
  <si>
    <t>Г. Сычевка, ул. Карла Маркса, д. 9</t>
  </si>
  <si>
    <t>Г. Сычевка, ул. Крыленко, д. 32</t>
  </si>
  <si>
    <t>Г. Сычевка, ул. Крыленко, д. 33</t>
  </si>
  <si>
    <t>Г. Сычевка, ул. Крыленко, д. 38</t>
  </si>
  <si>
    <t>Г. Сычевка, ул. Большая Пролетарская, д. 9</t>
  </si>
  <si>
    <t>Г. Сычевка, ул. Большая Советская, д. 21</t>
  </si>
  <si>
    <t>Г. Сычевка, ул. Карла Маркса, д. 5</t>
  </si>
  <si>
    <t>Г. Сычевка, ул. Комсомольская, д. 28</t>
  </si>
  <si>
    <t>Г. Сычевка, ул. Крыленко, д. 12</t>
  </si>
  <si>
    <t>Г. Сычевка, ул. Крыленко, д. 30</t>
  </si>
  <si>
    <t>Г. Сычевка, ул. Крыленко, д. 37</t>
  </si>
  <si>
    <t>Г. Сычевка, ул. Крыленко, д. 39</t>
  </si>
  <si>
    <t>Г. Сычевка, ул. Ломоносова, д. 16</t>
  </si>
  <si>
    <t>Г. Сычевка, ул. Винокурова, д. 10</t>
  </si>
  <si>
    <t>Г. Сычевка, ул. Винокурова, д. 12</t>
  </si>
  <si>
    <t>Г. Сычевка, ул. Винокурова, д. 2</t>
  </si>
  <si>
    <t>Г. Сычевка, ул. Винокурова, д. 4</t>
  </si>
  <si>
    <t>Г. Сычевка, ул. Винокурова, д. 6</t>
  </si>
  <si>
    <t>Г. Сычевка, ул. Винокурова, д. 8</t>
  </si>
  <si>
    <t>Г. Сычевка, ул. Карла Маркса, д. 47</t>
  </si>
  <si>
    <t>Г. Сычевка, ул. Пионерская, д. 29</t>
  </si>
  <si>
    <t>Г. Сычевка, ул. Свободная, д. 37</t>
  </si>
  <si>
    <t>Итого по Дугинскому сельскому поселению Смоленского района Смоленской области</t>
  </si>
  <si>
    <t>Дер. Дугино, ул. Парковая, д. 1</t>
  </si>
  <si>
    <t>Итого по Караваевскому сельскому поселению Смоленского района Смоленской области</t>
  </si>
  <si>
    <t>Дер. Вараксино, ул. Набережная, д. 3</t>
  </si>
  <si>
    <t>Итого по Мальцевскому сельскому поселению Смоленского района Смоленской области</t>
  </si>
  <si>
    <t>Дер. Мальцево, ул. Октябрьская, д. 10</t>
  </si>
  <si>
    <t>Дер. Мальцево, ул. Труда, д. 1</t>
  </si>
  <si>
    <t>Дер. Юшино, ул. Речная, д. 2</t>
  </si>
  <si>
    <t>Итого по Темкинскому сельскому поселению Темкинского района Смоленской области</t>
  </si>
  <si>
    <t>Итого по Мальцевскому сельскому поселению Сычевского района Смоленской области</t>
  </si>
  <si>
    <t>Итого по Сычевскому сельскому поселению Сычевского района Смоленской области</t>
  </si>
  <si>
    <t>С. Темкино, ул. Привокзальная, д. 6</t>
  </si>
  <si>
    <t>С. Темкино, ул. Советская, д. 20</t>
  </si>
  <si>
    <t>Итого по Медведевскому сельскому поселению Темкинского района Смоленской области</t>
  </si>
  <si>
    <t>Дер. Власово, ул. Юбилейная, д. 4</t>
  </si>
  <si>
    <t>Дер. Власово, ул. Юбилейная, д. 6</t>
  </si>
  <si>
    <t>Итого по Угранскому сельскому поселению Угранского района Смоленской области</t>
  </si>
  <si>
    <t>С. Угра, ул. Ленина, д. 34</t>
  </si>
  <si>
    <t>С. Угра, ул. Советская, д. 4</t>
  </si>
  <si>
    <t>С. Угра, ул. Ленина, д. 24</t>
  </si>
  <si>
    <t>С. Угра, ул. Ленина, д. 28</t>
  </si>
  <si>
    <t>С. Угра, ул. Железнодорожная, д. 16</t>
  </si>
  <si>
    <t>С. Угра, ул. Краснознамённая, д. 29</t>
  </si>
  <si>
    <t>С. Угра, ул. Краснознамённая, д. 32</t>
  </si>
  <si>
    <t>Итого по Вешковскому сельскому поселению Угранского района Смоленской области</t>
  </si>
  <si>
    <t>Дер. Вешки, ул. Елочки, д. 21</t>
  </si>
  <si>
    <t>Дер. Вешки, ул. Елочки, д. 23</t>
  </si>
  <si>
    <t>Дер. Вешки, ул. Южная, д. 4</t>
  </si>
  <si>
    <t>Итого по Михалевскому сельскому поселению Угранского района Смоленской области</t>
  </si>
  <si>
    <t>Ст. Волоста-Пятница, ул. Железнодорожная, д. 10</t>
  </si>
  <si>
    <t>Ст. Волоста-Пятница, ул. Железнодорожная, д. 5</t>
  </si>
  <si>
    <t>Итого по Хиславичскому городскому поселению Хиславичского района Смоленской области</t>
  </si>
  <si>
    <t>Пос. Хиславичи, ул. Шилкина, д. 5</t>
  </si>
  <si>
    <t>Пос. Хиславичи, ул. Шилкина, д. 7</t>
  </si>
  <si>
    <t>Итого по Холм-Жирковскому городскому поселению Холм-Жирковского района Смоленской области</t>
  </si>
  <si>
    <t>Пос. Холм-Жирковский, ул. Ленина, д. 6</t>
  </si>
  <si>
    <t>Пос. Холм-Жирковский, ул. Ленина, д. 8</t>
  </si>
  <si>
    <t xml:space="preserve">Пос. Холм-Жирковский, ул. Московская, д. 14 </t>
  </si>
  <si>
    <t>Итого по Первомайскому сельскому поселению Холм-Жирковского района Смоленской области</t>
  </si>
  <si>
    <t>С. Первомайский, ул. Советская, д. 4</t>
  </si>
  <si>
    <t>Итого по Ярцевскому городскому поселению Ярцевского района Смоленской области</t>
  </si>
  <si>
    <t>Г. Ярцево, ул. 1-й Смоленский проезд, д. 5</t>
  </si>
  <si>
    <t>Г. Ярцево, ул. Братьев Шаршановых, д. 47</t>
  </si>
  <si>
    <t>Г. Ярцево, ул. Гагарина, д. 23</t>
  </si>
  <si>
    <t>Г. Ярцево, ул. Ленинская, д. 1</t>
  </si>
  <si>
    <t>Г. Ярцево, ул. Ленинская, д. 7</t>
  </si>
  <si>
    <t>Г. Ярцево, ул. Луначарского, д. 4</t>
  </si>
  <si>
    <t>Г. Ярцево, ул. Луначарского, д. 6</t>
  </si>
  <si>
    <t>Г. Ярцево, ул. Первомайская, д. 23</t>
  </si>
  <si>
    <t>Г. Ярцево, ул. Советская, д. 18а</t>
  </si>
  <si>
    <t>Г. Ярцево, ул. Строителей, д. 10</t>
  </si>
  <si>
    <t>Г. Ярцево, ул. Чернышевского, д. 8</t>
  </si>
  <si>
    <t>Г. Ярцево, ул. Краснооктябрьская, д. 29а</t>
  </si>
  <si>
    <t>Г. Ярцево, ул. Краснооктябрьская, д. 30</t>
  </si>
  <si>
    <t>Г. Ярцево, ул. Краснооктябрьская, д. 33а</t>
  </si>
  <si>
    <t>Г. Ярцево, ул. Краснооктябрьская, д. 37</t>
  </si>
  <si>
    <t>Г. Ярцево, ул. Ленинская, д. 4</t>
  </si>
  <si>
    <t>Г. Ярцево, ул. Советская, д. 16</t>
  </si>
  <si>
    <t>Г. Ярцево, ул. Советская, д. 18</t>
  </si>
  <si>
    <t>Г. Ярцево, ул. Советская, д. 22/2</t>
  </si>
  <si>
    <t>Г. Ярцево, ул. Чернышевского, д. 9/8</t>
  </si>
  <si>
    <t>Г. Ярцево, ул. Шоссейная, д. 35</t>
  </si>
  <si>
    <t>Г. Ярцево, просп. Металлургов, д. 39/19</t>
  </si>
  <si>
    <t>Г. Ярцево, ул. 50 лет Октября, д. 5</t>
  </si>
  <si>
    <t>Г. Ярцево, ул. Карла Маркса, д. 13</t>
  </si>
  <si>
    <t>Г. Ярцево, ул. ЛММС, д. 1</t>
  </si>
  <si>
    <t>Г. Ярцево, ул. Ольховская, д. 17</t>
  </si>
  <si>
    <t>Г. Ярцево, ул. Ольховская, д. 19</t>
  </si>
  <si>
    <t>Г. Ярцево, ул. Советская, д. 19</t>
  </si>
  <si>
    <t>Г. Ярцево, ул. Советская, д. 21</t>
  </si>
  <si>
    <t>Г. Ярцево, ул. Чайковского, д. 1</t>
  </si>
  <si>
    <t>Г. Ярцево, ул. Чернышевского, д. 3</t>
  </si>
  <si>
    <t>Г. Ярцево, ул. Школьная, д. 9</t>
  </si>
  <si>
    <t>Г. Ярцево, ул. Шоссейная, д. 27</t>
  </si>
  <si>
    <t>Итого по Михейковскому сельскому поселению Ярцевского района Смоленской области</t>
  </si>
  <si>
    <t>Дер. Капыревщина, ул. Славы, д. 10</t>
  </si>
  <si>
    <t>Итого по Капыревщинскому сельскому поселению Ярцевского района Смоленской области</t>
  </si>
  <si>
    <t>Дер. Михейково, ул. Луговая, д. 11</t>
  </si>
  <si>
    <t>Дер. Михейково, ул. Юбилейная, д. 3</t>
  </si>
  <si>
    <t>Итого по Суетовскому сельскому поселению Ярцевского района Смоленской области</t>
  </si>
  <si>
    <t>Дер. Суетово, ул. Магистральная, д. 6</t>
  </si>
  <si>
    <t>Г. Велиж, ул. Ивановская, д. 1</t>
  </si>
  <si>
    <t>Г. Велиж, ул. Кропоткина, д. 13/10</t>
  </si>
  <si>
    <t>Г. Велиж, ул. Кропоткина, д. 23/13</t>
  </si>
  <si>
    <t>Г. Велиж, ул. Кропоткина, д. 33</t>
  </si>
  <si>
    <t>Г. Велиж, ул. Ленинградская, д. 89</t>
  </si>
  <si>
    <t>Г. Велиж, ул. Советская, д. 23/10</t>
  </si>
  <si>
    <t>Дер. Тюхменево, ул. Карьероуправления, д. 15</t>
  </si>
  <si>
    <t>439,7</t>
  </si>
  <si>
    <t>90,6</t>
  </si>
  <si>
    <t>448,2</t>
  </si>
  <si>
    <t>422,9</t>
  </si>
  <si>
    <t>Дер. Денисово, д. 1/1</t>
  </si>
  <si>
    <t>Г. Велиж, ул. 8 Марта, д. 5б</t>
  </si>
  <si>
    <t>Г. Велиж, ул. Володарского, д. 16</t>
  </si>
  <si>
    <t>Г. Велиж, ул. Володарского, д. 171</t>
  </si>
  <si>
    <t>Пос. Верхнеднепровский, пер. Днепровский, д. 6</t>
  </si>
  <si>
    <t>С. Алексино, ул. Центральная, д. 20</t>
  </si>
  <si>
    <t>С. Ворга, ул. Октябрьская, д. 7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</si>
  <si>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</si>
  <si>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</si>
  <si>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</si>
  <si>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</si>
  <si>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</si>
  <si>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</si>
  <si>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</si>
  <si>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</si>
  <si>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</si>
  <si>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</si>
  <si>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</si>
  <si>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</si>
  <si>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</si>
  <si>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</si>
  <si>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</si>
  <si>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</si>
  <si>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</si>
  <si>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</si>
  <si>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</si>
  <si>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</si>
  <si>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Виды услуг и (или) работ по капитальному ремонту общего имущества в многоквартирном доме, установленные статьей 6 областного закона 
от 31 октября 2013 года               № 114-з «О регулировании отдельных вопросов в сфере обеспечения своевременного проведения капитального ремонта общего имущества в многоквартирных домах, расположенных на территории Смоленской области»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</si>
  <si>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</si>
  <si>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</si>
  <si>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</si>
  <si>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</si>
  <si>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</si>
  <si>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</si>
  <si>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</si>
  <si>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</si>
  <si>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</si>
  <si>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</si>
  <si>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</si>
  <si>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</si>
  <si>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</si>
  <si>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</si>
  <si>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</si>
  <si>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</si>
  <si>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</si>
  <si>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</si>
  <si>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</si>
  <si>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</si>
  <si>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</si>
  <si>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</si>
  <si>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</si>
  <si>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</si>
  <si>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</si>
  <si>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</si>
  <si>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</si>
  <si>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</si>
  <si>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</si>
  <si>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</si>
  <si>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</si>
  <si>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</si>
  <si>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</si>
  <si>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</si>
  <si>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</si>
  <si>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</si>
  <si>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</si>
  <si>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</si>
  <si>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</si>
  <si>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</si>
  <si>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</si>
  <si>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</si>
  <si>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</si>
  <si>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</si>
  <si>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</si>
  <si>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</si>
  <si>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</si>
  <si>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72.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</si>
  <si>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</si>
  <si>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</si>
  <si>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</si>
  <si>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</si>
  <si>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</si>
  <si>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</si>
  <si>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</si>
  <si>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</si>
  <si>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</si>
  <si>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</si>
  <si>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</si>
  <si>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</si>
  <si>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</si>
  <si>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</si>
  <si>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</si>
  <si>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</si>
  <si>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</si>
  <si>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</si>
  <si>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</si>
  <si>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</si>
  <si>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</si>
  <si>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</si>
  <si>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</si>
  <si>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</si>
  <si>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</si>
  <si>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</si>
  <si>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</si>
  <si>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</si>
  <si>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</si>
  <si>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</si>
  <si>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</si>
  <si>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</si>
  <si>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</si>
  <si>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</si>
  <si>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</si>
  <si>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</si>
  <si>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</si>
  <si>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</si>
  <si>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</si>
  <si>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</si>
  <si>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</si>
  <si>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</si>
  <si>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</si>
  <si>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</si>
  <si>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</si>
  <si>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</si>
  <si>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</si>
  <si>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</si>
  <si>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</si>
  <si>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</si>
  <si>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</si>
  <si>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</si>
  <si>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</si>
  <si>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</si>
  <si>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</si>
  <si>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</si>
  <si>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</si>
  <si>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</si>
  <si>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</si>
  <si>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</si>
  <si>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</si>
  <si>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</si>
  <si>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</si>
  <si>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</si>
  <si>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</si>
  <si>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</si>
  <si>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</si>
  <si>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</si>
  <si>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</si>
  <si>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</si>
  <si>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</si>
  <si>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</si>
  <si>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</si>
  <si>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</si>
  <si>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</si>
  <si>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</si>
  <si>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</si>
  <si>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</si>
  <si>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</si>
  <si>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</si>
  <si>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</si>
  <si>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</si>
  <si>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</si>
  <si>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</si>
  <si>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</si>
  <si>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</si>
  <si>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</si>
  <si>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</si>
  <si>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</si>
  <si>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</si>
  <si>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</si>
  <si>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</si>
  <si>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</si>
  <si>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</si>
  <si>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</si>
  <si>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</si>
  <si>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</si>
  <si>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</si>
  <si>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</si>
  <si>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</si>
  <si>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</si>
  <si>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</si>
  <si>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</si>
  <si>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</si>
  <si>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</si>
  <si>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</si>
  <si>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</si>
  <si>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</si>
  <si>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</si>
  <si>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</si>
  <si>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</si>
  <si>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</si>
  <si>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</si>
  <si>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</si>
  <si>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</si>
  <si>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</si>
  <si>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</si>
  <si>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</si>
  <si>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</si>
  <si>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</si>
  <si>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</si>
  <si>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</si>
  <si>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</si>
  <si>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</si>
  <si>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</si>
  <si>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</si>
  <si>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</si>
  <si>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</si>
  <si>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</si>
  <si>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</si>
  <si>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</si>
  <si>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</si>
  <si>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</si>
  <si>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</si>
  <si>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</si>
  <si>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</si>
  <si>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</si>
  <si>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</si>
  <si>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</si>
  <si>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</si>
  <si>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</si>
  <si>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</si>
  <si>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</si>
  <si>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</si>
  <si>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</si>
  <si>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</si>
  <si>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</si>
  <si>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</si>
  <si>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</si>
  <si>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</si>
  <si>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</si>
  <si>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</si>
  <si>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</si>
  <si>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</si>
  <si>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</si>
  <si>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</si>
  <si>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</si>
  <si>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</si>
  <si>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</si>
  <si>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</si>
  <si>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</si>
  <si>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</si>
  <si>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</si>
  <si>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</si>
  <si>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</si>
  <si>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</si>
  <si>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</si>
  <si>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</si>
  <si>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</si>
  <si>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</si>
  <si>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584.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</si>
  <si>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</si>
  <si>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</si>
  <si>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</si>
  <si>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</si>
  <si>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</si>
  <si>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</si>
  <si>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</si>
  <si>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</si>
  <si>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</si>
  <si>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</si>
  <si>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</si>
  <si>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</si>
  <si>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</si>
  <si>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</si>
  <si>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</si>
  <si>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</si>
  <si>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</si>
  <si>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</si>
  <si>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</si>
  <si>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</si>
  <si>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</si>
  <si>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</si>
  <si>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</si>
  <si>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</si>
  <si>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</si>
  <si>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</si>
  <si>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</si>
  <si>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</si>
  <si>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</si>
  <si>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</si>
  <si>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</si>
  <si>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</si>
  <si>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</si>
  <si>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</si>
  <si>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</si>
  <si>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</si>
  <si>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</si>
  <si>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</si>
  <si>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</si>
  <si>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</si>
  <si>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</si>
  <si>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</si>
  <si>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</si>
  <si>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</si>
  <si>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</si>
  <si>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</si>
  <si>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</si>
  <si>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</si>
  <si>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</si>
  <si>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</si>
  <si>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</si>
  <si>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</si>
  <si>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</si>
  <si>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</si>
  <si>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</si>
  <si>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</si>
  <si>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</si>
  <si>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</si>
  <si>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</si>
  <si>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</si>
  <si>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</si>
  <si>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</si>
  <si>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</si>
  <si>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</si>
  <si>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</si>
  <si>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</si>
  <si>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</si>
  <si>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</si>
  <si>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</si>
  <si>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</si>
  <si>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</si>
  <si>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</si>
  <si>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</si>
  <si>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</si>
  <si>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</si>
  <si>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</si>
  <si>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</si>
  <si>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</si>
  <si>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</si>
  <si>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</si>
  <si>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</si>
  <si>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</si>
  <si>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</si>
  <si>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</si>
  <si>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</si>
  <si>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</si>
  <si>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</si>
  <si>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</si>
  <si>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</si>
  <si>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</si>
  <si>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</si>
  <si>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</si>
  <si>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</si>
  <si>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</si>
  <si>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</si>
  <si>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</si>
  <si>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</si>
  <si>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</si>
  <si>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</si>
  <si>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</si>
  <si>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</si>
  <si>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</si>
  <si>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</si>
  <si>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</si>
  <si>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</si>
  <si>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</si>
  <si>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</si>
  <si>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</si>
  <si>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</si>
  <si>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</si>
  <si>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</si>
  <si>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</si>
  <si>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</si>
  <si>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</si>
  <si>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</si>
  <si>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</si>
  <si>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</si>
  <si>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</si>
  <si>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</si>
  <si>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</si>
  <si>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</si>
  <si>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</si>
  <si>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</si>
  <si>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</si>
  <si>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</si>
  <si>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</si>
  <si>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</si>
  <si>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</si>
  <si>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</si>
  <si>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</si>
  <si>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</si>
  <si>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</si>
  <si>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</si>
  <si>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</si>
  <si>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</si>
  <si>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</si>
  <si>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</si>
  <si>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</si>
  <si>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</si>
  <si>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</si>
  <si>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</si>
  <si>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</si>
  <si>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</si>
  <si>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</si>
  <si>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</si>
  <si>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</si>
  <si>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</si>
  <si>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</si>
  <si>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</si>
  <si>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</si>
  <si>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</si>
  <si>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</si>
  <si>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</si>
  <si>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</si>
  <si>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</si>
  <si>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</si>
  <si>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</si>
  <si>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</si>
  <si>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</si>
  <si>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</si>
  <si>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</si>
  <si>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</si>
  <si>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</si>
  <si>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</si>
  <si>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</si>
  <si>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</si>
  <si>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</si>
  <si>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</si>
  <si>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</si>
  <si>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</si>
  <si>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</si>
  <si>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</si>
  <si>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</si>
  <si>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</si>
  <si>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</si>
  <si>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</si>
  <si>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</si>
  <si>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</si>
  <si>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</si>
  <si>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</si>
  <si>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</si>
  <si>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</si>
  <si>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</si>
  <si>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</si>
  <si>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</si>
  <si>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</si>
  <si>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</si>
  <si>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</si>
  <si>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</si>
  <si>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</si>
  <si>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</si>
  <si>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</si>
  <si>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</si>
  <si>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</si>
  <si>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</si>
  <si>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</si>
  <si>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</si>
  <si>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</si>
  <si>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</si>
  <si>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</si>
  <si>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</si>
  <si>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</si>
  <si>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</si>
  <si>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</si>
  <si>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</si>
  <si>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</si>
  <si>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</si>
  <si>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</si>
  <si>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</si>
  <si>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</si>
  <si>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</si>
  <si>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</si>
  <si>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</si>
  <si>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</si>
  <si>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</si>
  <si>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</si>
  <si>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</si>
  <si>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</si>
  <si>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</si>
  <si>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</si>
  <si>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</si>
  <si>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</si>
  <si>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</si>
  <si>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</si>
  <si>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</si>
  <si>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</si>
  <si>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</si>
  <si>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</si>
  <si>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</si>
  <si>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</si>
  <si>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</si>
  <si>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</si>
  <si>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</si>
  <si>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</si>
  <si>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</si>
  <si>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</si>
  <si>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</si>
  <si>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</si>
  <si>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</si>
  <si>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</si>
  <si>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</si>
  <si>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</si>
  <si>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</si>
  <si>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</si>
  <si>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</si>
  <si>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</si>
  <si>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</si>
  <si>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</si>
  <si>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</si>
  <si>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</si>
  <si>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</si>
  <si>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</si>
  <si>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</si>
  <si>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</si>
  <si>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</si>
  <si>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</si>
  <si>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</si>
  <si>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</si>
  <si>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</si>
  <si>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</si>
  <si>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</si>
  <si>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</si>
  <si>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</si>
  <si>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</si>
  <si>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</si>
  <si>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</si>
  <si>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</si>
  <si>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</si>
  <si>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</si>
  <si>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</si>
  <si>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</si>
  <si>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</si>
  <si>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</si>
  <si>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</si>
  <si>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</si>
  <si>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</si>
  <si>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</si>
  <si>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</si>
  <si>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</si>
  <si>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</si>
  <si>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</si>
  <si>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</si>
  <si>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</si>
  <si>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</si>
  <si>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</si>
  <si>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</si>
  <si>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</si>
  <si>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</si>
  <si>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</si>
  <si>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</si>
  <si>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</si>
  <si>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</si>
  <si>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</si>
  <si>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</si>
  <si>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</si>
  <si>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</si>
  <si>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</si>
  <si>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</si>
  <si>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</si>
  <si>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</si>
  <si>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</si>
  <si>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</si>
  <si>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</si>
  <si>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</si>
  <si>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</si>
  <si>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</si>
  <si>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</si>
  <si>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</si>
  <si>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</si>
  <si>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</si>
  <si>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</si>
  <si>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</si>
  <si>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</si>
  <si>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</si>
  <si>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</si>
  <si>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</si>
  <si>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</si>
  <si>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</si>
  <si>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</si>
  <si>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</si>
  <si>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</si>
  <si>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</si>
  <si>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</si>
  <si>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</si>
  <si>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</si>
  <si>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</si>
  <si>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</si>
  <si>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</si>
  <si>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</si>
  <si>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</si>
  <si>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</si>
  <si>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</si>
  <si>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</si>
  <si>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</si>
  <si>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</si>
  <si>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</si>
  <si>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</si>
  <si>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</si>
  <si>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</si>
  <si>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</si>
  <si>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</si>
  <si>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</si>
  <si>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</si>
  <si>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</si>
  <si>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</si>
  <si>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</si>
  <si>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</si>
  <si>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</si>
  <si>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</si>
  <si>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</si>
  <si>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</si>
  <si>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</si>
  <si>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</si>
  <si>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</si>
  <si>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</si>
  <si>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</si>
  <si>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</si>
  <si>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</si>
  <si>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</si>
  <si>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</si>
  <si>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</si>
  <si>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</si>
  <si>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</si>
  <si>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</si>
  <si>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</si>
  <si>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</si>
  <si>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</si>
  <si>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</si>
  <si>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</si>
  <si>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</si>
  <si>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</si>
  <si>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</si>
  <si>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</si>
  <si>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</si>
  <si>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</si>
  <si>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</si>
  <si>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</si>
  <si>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</si>
  <si>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</si>
  <si>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</si>
  <si>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</si>
  <si>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</si>
  <si>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</si>
  <si>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</si>
  <si>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</si>
  <si>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</si>
  <si>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</si>
  <si>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</si>
  <si>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</si>
  <si>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</si>
  <si>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</si>
  <si>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</si>
  <si>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</si>
  <si>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</si>
  <si>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</si>
  <si>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</si>
  <si>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</si>
  <si>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</si>
  <si>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</si>
  <si>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</si>
  <si>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</si>
  <si>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</si>
  <si>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</si>
  <si>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</si>
  <si>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</si>
  <si>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</si>
  <si>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</si>
  <si>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</si>
  <si>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</si>
  <si>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</si>
  <si>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</si>
  <si>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</si>
  <si>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</si>
  <si>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</si>
  <si>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</si>
  <si>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</si>
  <si>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</si>
  <si>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</si>
  <si>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</si>
  <si>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</si>
  <si>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</si>
  <si>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</si>
  <si>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</si>
  <si>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</si>
  <si>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</si>
  <si>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</si>
  <si>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</si>
  <si>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</si>
  <si>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</si>
  <si>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</si>
  <si>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</si>
  <si>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</si>
  <si>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</si>
  <si>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</si>
  <si>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</si>
  <si>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</si>
  <si>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</si>
  <si>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</si>
  <si>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</si>
  <si>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</si>
  <si>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</si>
  <si>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</si>
  <si>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</si>
  <si>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</si>
  <si>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</si>
  <si>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</si>
  <si>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</si>
  <si>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</si>
  <si>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</si>
  <si>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</si>
  <si>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</si>
  <si>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</si>
  <si>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</si>
  <si>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</si>
  <si>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</si>
  <si>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</si>
  <si>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</si>
  <si>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</si>
  <si>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</si>
  <si>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</si>
  <si>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</si>
  <si>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</si>
  <si>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</si>
  <si>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</si>
  <si>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</si>
  <si>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</si>
  <si>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</si>
  <si>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</si>
  <si>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</si>
  <si>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</si>
  <si>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</si>
  <si>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</si>
  <si>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</si>
  <si>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</si>
  <si>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</si>
  <si>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</si>
  <si>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</si>
  <si>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</si>
  <si>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</si>
  <si>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</si>
  <si>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</si>
  <si>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</si>
  <si>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</si>
  <si>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</si>
  <si>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</si>
  <si>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</si>
  <si>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</si>
  <si>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</si>
  <si>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</si>
  <si>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</si>
  <si>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</si>
  <si>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</si>
  <si>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</si>
  <si>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</si>
  <si>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</si>
  <si>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</si>
  <si>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</si>
  <si>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</si>
  <si>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</si>
  <si>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</si>
  <si>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</si>
  <si>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</si>
  <si>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</si>
  <si>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</si>
  <si>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</si>
  <si>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</si>
  <si>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</si>
  <si>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</si>
  <si>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</si>
  <si>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</si>
  <si>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</si>
  <si>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</si>
  <si>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</si>
  <si>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</si>
  <si>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</si>
  <si>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</si>
  <si>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</si>
  <si>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</si>
  <si>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</si>
  <si>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</si>
  <si>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</si>
  <si>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</si>
  <si>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</si>
  <si>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</si>
  <si>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</si>
  <si>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</si>
  <si>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</si>
  <si>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</si>
  <si>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</si>
  <si>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</si>
  <si>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</si>
  <si>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</si>
  <si>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</si>
  <si>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</si>
  <si>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</si>
  <si>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</si>
  <si>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</si>
  <si>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</si>
  <si>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</si>
  <si>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</si>
  <si>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</si>
  <si>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</si>
  <si>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</si>
  <si>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</si>
  <si>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</si>
  <si>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</si>
  <si>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</si>
  <si>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</si>
  <si>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</si>
  <si>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</si>
  <si>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</si>
  <si>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</si>
  <si>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</si>
  <si>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</si>
  <si>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</si>
  <si>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</si>
  <si>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</si>
  <si>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</si>
  <si>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</si>
  <si>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</si>
  <si>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</si>
  <si>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</si>
  <si>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</si>
  <si>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</si>
  <si>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</si>
  <si>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</si>
  <si>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</si>
  <si>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</si>
  <si>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</si>
  <si>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</si>
  <si>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</si>
  <si>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</si>
  <si>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</si>
  <si>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</si>
  <si>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</si>
  <si>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</si>
  <si>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</si>
  <si>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</si>
  <si>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</si>
  <si>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</si>
  <si>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</si>
  <si>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</si>
  <si>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</si>
  <si>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</si>
  <si>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</si>
  <si>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</si>
  <si>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71.</t>
  </si>
  <si>
    <t>73.</t>
  </si>
  <si>
    <t>299.</t>
  </si>
  <si>
    <t>300.</t>
  </si>
  <si>
    <t>301.</t>
  </si>
  <si>
    <t>302.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</si>
  <si>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</si>
  <si>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</si>
  <si>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</si>
  <si>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</si>
  <si>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</si>
  <si>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</si>
  <si>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</si>
  <si>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</si>
  <si>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</si>
  <si>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</si>
  <si>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</si>
  <si>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</si>
  <si>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</si>
  <si>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</si>
  <si>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</si>
  <si>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</si>
  <si>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</si>
  <si>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</si>
  <si>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</si>
  <si>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</si>
  <si>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</si>
  <si>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</si>
  <si>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</si>
  <si>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</si>
  <si>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</si>
  <si>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</si>
  <si>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</si>
  <si>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</si>
  <si>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</si>
  <si>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</si>
  <si>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</si>
  <si>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</si>
  <si>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</si>
  <si>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</si>
  <si>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</si>
  <si>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</si>
  <si>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</si>
  <si>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</si>
  <si>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</si>
  <si>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</si>
  <si>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</si>
  <si>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</si>
  <si>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</si>
  <si>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</si>
  <si>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</si>
  <si>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</si>
  <si>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</si>
  <si>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</si>
  <si>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</si>
  <si>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</si>
  <si>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</si>
  <si>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</si>
  <si>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</si>
  <si>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</si>
  <si>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</si>
  <si>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</si>
  <si>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</si>
  <si>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</si>
  <si>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</si>
  <si>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</si>
  <si>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</si>
  <si>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</si>
  <si>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</si>
  <si>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</si>
  <si>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</si>
  <si>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</si>
  <si>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</si>
  <si>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</si>
  <si>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</si>
  <si>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</si>
  <si>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</si>
  <si>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</si>
  <si>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</si>
  <si>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</si>
  <si>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</si>
  <si>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</si>
  <si>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</si>
  <si>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</si>
  <si>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</si>
  <si>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</si>
  <si>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</si>
  <si>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</si>
  <si>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</si>
  <si>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</si>
  <si>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</si>
  <si>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</si>
  <si>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</si>
  <si>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</si>
  <si>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</si>
  <si>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</si>
  <si>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</si>
  <si>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</si>
  <si>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</si>
  <si>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</si>
  <si>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</si>
  <si>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</si>
  <si>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</si>
  <si>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</si>
  <si>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</si>
  <si>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</si>
  <si>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</si>
  <si>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</si>
  <si>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</si>
  <si>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</si>
  <si>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</si>
  <si>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</si>
  <si>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</si>
  <si>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</si>
  <si>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</si>
  <si>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</si>
  <si>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</si>
  <si>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</si>
  <si>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</si>
  <si>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</si>
  <si>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</si>
  <si>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</si>
  <si>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</si>
  <si>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</si>
  <si>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</si>
  <si>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</si>
  <si>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</si>
  <si>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</si>
  <si>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</si>
  <si>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</si>
  <si>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</si>
  <si>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</si>
  <si>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</si>
  <si>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</si>
  <si>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</si>
  <si>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</si>
  <si>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</si>
  <si>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</si>
  <si>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</si>
  <si>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</si>
  <si>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</si>
  <si>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</si>
  <si>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</si>
  <si>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</si>
  <si>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</si>
  <si>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</si>
  <si>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</si>
  <si>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</si>
  <si>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</si>
  <si>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</si>
  <si>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</si>
  <si>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</si>
  <si>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</si>
  <si>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</si>
  <si>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</si>
  <si>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</si>
  <si>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</si>
  <si>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</si>
  <si>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</si>
  <si>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</si>
  <si>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</si>
  <si>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</si>
  <si>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</si>
  <si>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</si>
  <si>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</si>
  <si>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</si>
  <si>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</si>
  <si>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</si>
  <si>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</si>
  <si>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</si>
  <si>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</si>
  <si>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</si>
  <si>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</si>
  <si>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</si>
  <si>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</si>
  <si>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</si>
  <si>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</si>
  <si>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</si>
  <si>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</si>
  <si>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</si>
  <si>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</si>
  <si>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</si>
  <si>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</si>
  <si>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</si>
  <si>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</si>
  <si>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</si>
  <si>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</si>
  <si>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</si>
  <si>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</si>
  <si>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</si>
  <si>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</si>
  <si>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</si>
  <si>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</si>
  <si>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</si>
  <si>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</si>
  <si>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</si>
  <si>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</si>
  <si>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</si>
  <si>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</si>
  <si>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</si>
  <si>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</si>
  <si>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</si>
  <si>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</si>
  <si>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</si>
  <si>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Итого по Смоленской области на 2023-2025 годы</t>
  </si>
  <si>
    <t>Итого по муниципальному образованию Велижское городское поселение</t>
  </si>
  <si>
    <t>Итого по городу Смоленску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</si>
</sst>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5" fillId="0" borderId="0"/>
    <xf numFmtId="0" fontId="6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7" fillId="0" borderId="0"/>
    <xf numFmtId="164" fontId="1" fillId="0" borderId="0" applyFont="0" applyFill="0" applyBorder="0" applyAlignment="0" applyProtection="0"/>
    <xf numFmtId="0" fontId="8" fillId="0" borderId="0"/>
  </cellStyleXfs>
  <cellXfs count="52">
    <xf numFmtId="0" fontId="0" fillId="0" borderId="0" xfId="0"/>
    <xf numFmtId="4" fontId="4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 applyProtection="1">
      <alignment horizontal="left" vertical="center" wrapText="1"/>
      <protection hidden="1"/>
    </xf>
    <xf numFmtId="4" fontId="4" fillId="0" borderId="1" xfId="0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3" fillId="0" borderId="1" xfId="11" applyNumberFormat="1" applyFont="1" applyFill="1" applyBorder="1" applyAlignment="1" applyProtection="1">
      <alignment horizontal="left" vertical="center" wrapText="1"/>
      <protection locked="0"/>
    </xf>
    <xf numFmtId="1" fontId="3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left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6" xfId="0" applyNumberFormat="1" applyFont="1" applyFill="1" applyBorder="1" applyAlignment="1">
      <alignment horizontal="center" vertical="top" wrapText="1"/>
    </xf>
    <xf numFmtId="4" fontId="3" fillId="0" borderId="4" xfId="0" applyNumberFormat="1" applyFont="1" applyFill="1" applyBorder="1" applyAlignment="1">
      <alignment horizontal="center" vertical="top" wrapText="1"/>
    </xf>
  </cellXfs>
  <cellStyles count="12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1"/>
    <cellStyle name="Финансовый 2" xfId="1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57"/>
  <sheetViews>
    <sheetView tabSelected="1" view="pageBreakPreview" topLeftCell="A814" zoomScaleNormal="50" zoomScaleSheetLayoutView="100" zoomScalePageLayoutView="40" workbookViewId="0">
      <selection activeCell="C814" sqref="C814"/>
    </sheetView>
  </sheetViews>
  <sheetFormatPr defaultColWidth="9.140625" defaultRowHeight="15.75" x14ac:dyDescent="0.25"/>
  <cols>
    <col min="1" max="1" width="6.42578125" style="15" customWidth="1"/>
    <col min="2" max="2" width="54.7109375" style="9" customWidth="1"/>
    <col min="3" max="3" width="19.85546875" style="1" customWidth="1"/>
    <col min="4" max="4" width="19" style="2" customWidth="1"/>
    <col min="5" max="5" width="19.7109375" style="2" customWidth="1"/>
    <col min="6" max="10" width="17" style="2" customWidth="1"/>
    <col min="11" max="11" width="6.85546875" style="21" customWidth="1"/>
    <col min="12" max="12" width="16.42578125" style="2" customWidth="1"/>
    <col min="13" max="13" width="13.7109375" style="2" customWidth="1"/>
    <col min="14" max="14" width="19" style="2" customWidth="1"/>
    <col min="15" max="15" width="10.5703125" style="2" customWidth="1"/>
    <col min="16" max="16" width="16.42578125" style="2" customWidth="1"/>
    <col min="17" max="17" width="12.7109375" style="2" customWidth="1"/>
    <col min="18" max="18" width="18.42578125" style="2" customWidth="1"/>
    <col min="19" max="19" width="15.7109375" style="2" customWidth="1"/>
    <col min="20" max="20" width="27.140625" style="2" customWidth="1"/>
    <col min="21" max="21" width="15.7109375" style="3" customWidth="1"/>
    <col min="22" max="22" width="18" style="4" bestFit="1" customWidth="1"/>
    <col min="23" max="16384" width="9.140625" style="4"/>
  </cols>
  <sheetData>
    <row r="1" spans="1:22" ht="19.5" customHeight="1" x14ac:dyDescent="0.25">
      <c r="A1" s="47" t="s">
        <v>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12"/>
    </row>
    <row r="2" spans="1:22" ht="19.5" customHeight="1" x14ac:dyDescent="0.25">
      <c r="A2" s="30"/>
      <c r="B2" s="17"/>
      <c r="C2" s="16"/>
      <c r="D2" s="16"/>
      <c r="E2" s="16"/>
      <c r="F2" s="16"/>
      <c r="G2" s="16"/>
      <c r="H2" s="16"/>
      <c r="I2" s="16"/>
      <c r="J2" s="16"/>
      <c r="K2" s="31"/>
      <c r="L2" s="16"/>
      <c r="M2" s="16"/>
      <c r="N2" s="16"/>
      <c r="O2" s="16"/>
      <c r="P2" s="16"/>
      <c r="Q2" s="16"/>
      <c r="R2" s="16"/>
      <c r="S2" s="16"/>
      <c r="T2" s="16"/>
      <c r="U2" s="12"/>
    </row>
    <row r="3" spans="1:22" ht="268.89999999999998" customHeight="1" x14ac:dyDescent="0.25">
      <c r="A3" s="48" t="s">
        <v>12</v>
      </c>
      <c r="B3" s="49" t="s">
        <v>11</v>
      </c>
      <c r="C3" s="46" t="s">
        <v>9</v>
      </c>
      <c r="D3" s="46" t="s">
        <v>3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0" t="s">
        <v>1183</v>
      </c>
    </row>
    <row r="4" spans="1:22" ht="31.5" customHeight="1" x14ac:dyDescent="0.25">
      <c r="A4" s="48"/>
      <c r="B4" s="50"/>
      <c r="C4" s="46"/>
      <c r="D4" s="46" t="s">
        <v>24</v>
      </c>
      <c r="E4" s="46"/>
      <c r="F4" s="46"/>
      <c r="G4" s="46"/>
      <c r="H4" s="46"/>
      <c r="I4" s="46"/>
      <c r="J4" s="46"/>
      <c r="K4" s="46" t="s">
        <v>18</v>
      </c>
      <c r="L4" s="46"/>
      <c r="M4" s="46" t="s">
        <v>6</v>
      </c>
      <c r="N4" s="46"/>
      <c r="O4" s="46" t="s">
        <v>4</v>
      </c>
      <c r="P4" s="46"/>
      <c r="Q4" s="46" t="s">
        <v>7</v>
      </c>
      <c r="R4" s="46"/>
      <c r="S4" s="46" t="s">
        <v>10</v>
      </c>
      <c r="T4" s="46" t="s">
        <v>2</v>
      </c>
    </row>
    <row r="5" spans="1:22" ht="53.45" customHeight="1" x14ac:dyDescent="0.25">
      <c r="A5" s="48"/>
      <c r="B5" s="50"/>
      <c r="C5" s="46"/>
      <c r="D5" s="40" t="s">
        <v>23</v>
      </c>
      <c r="E5" s="40" t="s">
        <v>25</v>
      </c>
      <c r="F5" s="40" t="s">
        <v>26</v>
      </c>
      <c r="G5" s="40" t="s">
        <v>19</v>
      </c>
      <c r="H5" s="40" t="s">
        <v>20</v>
      </c>
      <c r="I5" s="40" t="s">
        <v>21</v>
      </c>
      <c r="J5" s="40" t="s">
        <v>22</v>
      </c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2" ht="27.6" customHeight="1" x14ac:dyDescent="0.25">
      <c r="A6" s="48"/>
      <c r="B6" s="51"/>
      <c r="C6" s="38" t="s">
        <v>5</v>
      </c>
      <c r="D6" s="38" t="s">
        <v>5</v>
      </c>
      <c r="E6" s="38" t="s">
        <v>5</v>
      </c>
      <c r="F6" s="38" t="s">
        <v>5</v>
      </c>
      <c r="G6" s="38" t="s">
        <v>5</v>
      </c>
      <c r="H6" s="38" t="s">
        <v>5</v>
      </c>
      <c r="I6" s="38" t="s">
        <v>5</v>
      </c>
      <c r="J6" s="38" t="s">
        <v>5</v>
      </c>
      <c r="K6" s="32" t="s">
        <v>8</v>
      </c>
      <c r="L6" s="38" t="s">
        <v>5</v>
      </c>
      <c r="M6" s="38" t="s">
        <v>13</v>
      </c>
      <c r="N6" s="38" t="s">
        <v>5</v>
      </c>
      <c r="O6" s="38" t="s">
        <v>13</v>
      </c>
      <c r="P6" s="38" t="s">
        <v>5</v>
      </c>
      <c r="Q6" s="38" t="s">
        <v>13</v>
      </c>
      <c r="R6" s="38" t="s">
        <v>5</v>
      </c>
      <c r="S6" s="38" t="s">
        <v>5</v>
      </c>
      <c r="T6" s="38" t="s">
        <v>5</v>
      </c>
    </row>
    <row r="7" spans="1:22" ht="23.45" customHeight="1" x14ac:dyDescent="0.2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2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39">
        <v>19</v>
      </c>
      <c r="T7" s="39">
        <v>20</v>
      </c>
    </row>
    <row r="8" spans="1:22" ht="24.95" customHeight="1" x14ac:dyDescent="0.25">
      <c r="A8" s="41" t="s">
        <v>2193</v>
      </c>
      <c r="B8" s="41"/>
      <c r="C8" s="1">
        <f t="shared" ref="C8:T8" si="0">C10+C432+C845</f>
        <v>6222234822.0699997</v>
      </c>
      <c r="D8" s="1">
        <f t="shared" si="0"/>
        <v>1823331468</v>
      </c>
      <c r="E8" s="1">
        <f t="shared" si="0"/>
        <v>492918832</v>
      </c>
      <c r="F8" s="1">
        <f t="shared" si="0"/>
        <v>777782642</v>
      </c>
      <c r="G8" s="1">
        <f t="shared" si="0"/>
        <v>199321741</v>
      </c>
      <c r="H8" s="1">
        <f t="shared" si="0"/>
        <v>166742636</v>
      </c>
      <c r="I8" s="1">
        <f t="shared" si="0"/>
        <v>187216041</v>
      </c>
      <c r="J8" s="1">
        <f t="shared" si="0"/>
        <v>0</v>
      </c>
      <c r="K8" s="33">
        <f t="shared" si="0"/>
        <v>21</v>
      </c>
      <c r="L8" s="1">
        <f t="shared" si="0"/>
        <v>57020000</v>
      </c>
      <c r="M8" s="1">
        <f t="shared" si="0"/>
        <v>434719.21499999997</v>
      </c>
      <c r="N8" s="1">
        <f t="shared" si="0"/>
        <v>2703038454</v>
      </c>
      <c r="O8" s="1">
        <f t="shared" si="0"/>
        <v>35391.03</v>
      </c>
      <c r="P8" s="1">
        <f t="shared" si="0"/>
        <v>42469236</v>
      </c>
      <c r="Q8" s="1">
        <f t="shared" si="0"/>
        <v>470719.14199999999</v>
      </c>
      <c r="R8" s="1">
        <f t="shared" si="0"/>
        <v>1509005874.4000001</v>
      </c>
      <c r="S8" s="1">
        <f t="shared" si="0"/>
        <v>27100000</v>
      </c>
      <c r="T8" s="1">
        <f t="shared" si="0"/>
        <v>68100000</v>
      </c>
    </row>
    <row r="9" spans="1:22" ht="24.95" customHeight="1" x14ac:dyDescent="0.25">
      <c r="A9" s="42" t="s">
        <v>29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spans="1:22" ht="24.95" customHeight="1" x14ac:dyDescent="0.25">
      <c r="A10" s="43" t="s">
        <v>30</v>
      </c>
      <c r="B10" s="43"/>
      <c r="C10" s="1">
        <f t="shared" ref="C10:T10" si="1">C11+C15+C31+C37+C40+C43+C47+C53+C56+C67+C71+C75+C78+C84+C86+C89+C101+C104+C106+C110+C114+C122+C124+C126+C128+C131+C134+C136+C138+C140+C145+C151+C155+C157+C161+C164+C185+C188+C194+C198+C200+C205+C208+C211+C231+C234+C236+C239+C241+C244+C247+C250+C1167+C363+C367+C370+C373+C376+C381+C389+C394+C404+C406+C408+C411+C414+C416+C418+C430</f>
        <v>2250456820.1700001</v>
      </c>
      <c r="D10" s="1">
        <f t="shared" si="1"/>
        <v>720798402.5</v>
      </c>
      <c r="E10" s="1">
        <f t="shared" si="1"/>
        <v>190783306</v>
      </c>
      <c r="F10" s="1">
        <f t="shared" si="1"/>
        <v>312216853</v>
      </c>
      <c r="G10" s="1">
        <f t="shared" si="1"/>
        <v>75957767.5</v>
      </c>
      <c r="H10" s="1">
        <f t="shared" si="1"/>
        <v>68418416</v>
      </c>
      <c r="I10" s="1">
        <f t="shared" si="1"/>
        <v>73422060</v>
      </c>
      <c r="J10" s="1">
        <f t="shared" si="1"/>
        <v>0</v>
      </c>
      <c r="K10" s="33">
        <f t="shared" si="1"/>
        <v>5</v>
      </c>
      <c r="L10" s="1">
        <f t="shared" si="1"/>
        <v>13500000</v>
      </c>
      <c r="M10" s="1">
        <f t="shared" si="1"/>
        <v>130792.255</v>
      </c>
      <c r="N10" s="1">
        <f t="shared" si="1"/>
        <v>836558348</v>
      </c>
      <c r="O10" s="1">
        <f t="shared" si="1"/>
        <v>10999.720000000001</v>
      </c>
      <c r="P10" s="1">
        <f t="shared" si="1"/>
        <v>13199664</v>
      </c>
      <c r="Q10" s="1">
        <f t="shared" si="1"/>
        <v>198458.08000000002</v>
      </c>
      <c r="R10" s="1">
        <f t="shared" si="1"/>
        <v>633575916</v>
      </c>
      <c r="S10" s="1">
        <f t="shared" si="1"/>
        <v>8400000</v>
      </c>
      <c r="T10" s="1">
        <f t="shared" si="1"/>
        <v>26900000</v>
      </c>
      <c r="U10" s="3" t="e">
        <f>D10+L10+N10+P10+R10+S10+#REF!+T10</f>
        <v>#REF!</v>
      </c>
    </row>
    <row r="11" spans="1:22" ht="45" customHeight="1" x14ac:dyDescent="0.25">
      <c r="A11" s="44" t="s">
        <v>2194</v>
      </c>
      <c r="B11" s="45"/>
      <c r="C11" s="1">
        <f>SUM(C12:C14)</f>
        <v>9795184</v>
      </c>
      <c r="D11" s="1">
        <f t="shared" ref="D11:T11" si="2">SUM(D12:D14)</f>
        <v>4881034</v>
      </c>
      <c r="E11" s="1">
        <f t="shared" si="2"/>
        <v>1556870</v>
      </c>
      <c r="F11" s="1">
        <f t="shared" si="2"/>
        <v>2274428</v>
      </c>
      <c r="G11" s="1">
        <f t="shared" si="2"/>
        <v>524868</v>
      </c>
      <c r="H11" s="1">
        <f t="shared" si="2"/>
        <v>0</v>
      </c>
      <c r="I11" s="1">
        <f t="shared" si="2"/>
        <v>524868</v>
      </c>
      <c r="J11" s="1">
        <f t="shared" si="2"/>
        <v>0</v>
      </c>
      <c r="K11" s="33">
        <f t="shared" si="2"/>
        <v>0</v>
      </c>
      <c r="L11" s="1">
        <f t="shared" si="2"/>
        <v>0</v>
      </c>
      <c r="M11" s="1">
        <f t="shared" si="2"/>
        <v>826</v>
      </c>
      <c r="N11" s="1">
        <f t="shared" si="2"/>
        <v>4714150</v>
      </c>
      <c r="O11" s="1">
        <f t="shared" si="2"/>
        <v>0</v>
      </c>
      <c r="P11" s="1">
        <f t="shared" si="2"/>
        <v>0</v>
      </c>
      <c r="Q11" s="1">
        <f t="shared" si="2"/>
        <v>0</v>
      </c>
      <c r="R11" s="1">
        <f t="shared" si="2"/>
        <v>0</v>
      </c>
      <c r="S11" s="1">
        <f t="shared" si="2"/>
        <v>0</v>
      </c>
      <c r="T11" s="1">
        <f t="shared" si="2"/>
        <v>200000</v>
      </c>
      <c r="U11" s="3" t="e">
        <f>C11+#REF!+#REF!</f>
        <v>#REF!</v>
      </c>
    </row>
    <row r="12" spans="1:22" ht="22.9" customHeight="1" x14ac:dyDescent="0.25">
      <c r="A12" s="29" t="s">
        <v>16</v>
      </c>
      <c r="B12" s="9" t="s">
        <v>1157</v>
      </c>
      <c r="C12" s="7">
        <f t="shared" ref="C12:C14" si="3">D12+L12+N12+P12+R12+S12+T12</f>
        <v>4648856</v>
      </c>
      <c r="D12" s="2">
        <f t="shared" ref="D12:D14" si="4">SUM(E12:J12)</f>
        <v>4548856</v>
      </c>
      <c r="E12" s="2">
        <f>1749.56*700</f>
        <v>1224692</v>
      </c>
      <c r="F12" s="2">
        <f>1749.56*1300</f>
        <v>2274428</v>
      </c>
      <c r="G12" s="2">
        <f>1749.56*300</f>
        <v>524868</v>
      </c>
      <c r="H12" s="2">
        <v>0</v>
      </c>
      <c r="I12" s="2">
        <f>1749.56*300</f>
        <v>524868</v>
      </c>
      <c r="J12" s="2">
        <v>0</v>
      </c>
      <c r="K12" s="21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100000</v>
      </c>
      <c r="U12" s="6" t="e">
        <f t="shared" ref="U12:U14" si="5">N12/M12</f>
        <v>#DIV/0!</v>
      </c>
    </row>
    <row r="13" spans="1:22" ht="22.9" customHeight="1" x14ac:dyDescent="0.25">
      <c r="A13" s="29" t="s">
        <v>17</v>
      </c>
      <c r="B13" s="9" t="s">
        <v>1158</v>
      </c>
      <c r="C13" s="7">
        <f t="shared" si="3"/>
        <v>3619978</v>
      </c>
      <c r="D13" s="2">
        <f t="shared" si="4"/>
        <v>332178</v>
      </c>
      <c r="E13" s="2">
        <f>474.54*700</f>
        <v>332178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1">
        <v>0</v>
      </c>
      <c r="L13" s="2">
        <v>0</v>
      </c>
      <c r="M13" s="2">
        <v>483</v>
      </c>
      <c r="N13" s="2">
        <f>M13*6600</f>
        <v>3187800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100000</v>
      </c>
      <c r="U13" s="6">
        <f t="shared" si="5"/>
        <v>6600</v>
      </c>
    </row>
    <row r="14" spans="1:22" ht="22.9" customHeight="1" x14ac:dyDescent="0.25">
      <c r="A14" s="29" t="s">
        <v>27</v>
      </c>
      <c r="B14" s="9" t="s">
        <v>1159</v>
      </c>
      <c r="C14" s="7">
        <f t="shared" si="3"/>
        <v>1526350</v>
      </c>
      <c r="D14" s="2">
        <f t="shared" si="4"/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1">
        <v>0</v>
      </c>
      <c r="L14" s="2">
        <v>0</v>
      </c>
      <c r="M14" s="2">
        <v>343</v>
      </c>
      <c r="N14" s="2">
        <f>M14*4450</f>
        <v>1526350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6">
        <f t="shared" si="5"/>
        <v>4450</v>
      </c>
    </row>
    <row r="15" spans="1:22" ht="40.15" customHeight="1" x14ac:dyDescent="0.25">
      <c r="A15" s="43" t="s">
        <v>0</v>
      </c>
      <c r="B15" s="43"/>
      <c r="C15" s="1">
        <f>SUM(C16:C30)</f>
        <v>147091214</v>
      </c>
      <c r="D15" s="1">
        <f t="shared" ref="D15:T15" si="6">SUM(D16:D30)</f>
        <v>66904458</v>
      </c>
      <c r="E15" s="1">
        <f t="shared" si="6"/>
        <v>16186765</v>
      </c>
      <c r="F15" s="1">
        <f t="shared" si="6"/>
        <v>30061135</v>
      </c>
      <c r="G15" s="1">
        <f t="shared" si="6"/>
        <v>6937185</v>
      </c>
      <c r="H15" s="1">
        <f t="shared" si="6"/>
        <v>6782188</v>
      </c>
      <c r="I15" s="1">
        <f t="shared" si="6"/>
        <v>6937185</v>
      </c>
      <c r="J15" s="1">
        <f t="shared" si="6"/>
        <v>0</v>
      </c>
      <c r="K15" s="33">
        <f t="shared" si="6"/>
        <v>0</v>
      </c>
      <c r="L15" s="1">
        <f t="shared" si="6"/>
        <v>0</v>
      </c>
      <c r="M15" s="1">
        <f t="shared" si="6"/>
        <v>8474.619999999999</v>
      </c>
      <c r="N15" s="1">
        <f t="shared" si="6"/>
        <v>52647292</v>
      </c>
      <c r="O15" s="1">
        <f t="shared" si="6"/>
        <v>1469.7</v>
      </c>
      <c r="P15" s="1">
        <f t="shared" si="6"/>
        <v>1763640</v>
      </c>
      <c r="Q15" s="1">
        <f t="shared" si="6"/>
        <v>7414.3200000000006</v>
      </c>
      <c r="R15" s="1">
        <f t="shared" si="6"/>
        <v>23725824</v>
      </c>
      <c r="S15" s="1">
        <f t="shared" si="6"/>
        <v>1050000</v>
      </c>
      <c r="T15" s="1">
        <f t="shared" si="6"/>
        <v>1000000</v>
      </c>
      <c r="U15" s="3" t="e">
        <f>C15+#REF!+#REF!</f>
        <v>#REF!</v>
      </c>
    </row>
    <row r="16" spans="1:22" ht="22.9" customHeight="1" x14ac:dyDescent="0.25">
      <c r="A16" s="15" t="s">
        <v>1163</v>
      </c>
      <c r="B16" s="9" t="s">
        <v>34</v>
      </c>
      <c r="C16" s="7">
        <f t="shared" ref="C16:C30" si="7">D16+L16+N16+P16+R16+S16+T16</f>
        <v>6799600</v>
      </c>
      <c r="D16" s="2">
        <f t="shared" ref="D16:D30" si="8">SUM(E16:J16)</f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34">
        <v>0</v>
      </c>
      <c r="L16" s="18">
        <v>0</v>
      </c>
      <c r="M16" s="18">
        <v>1528</v>
      </c>
      <c r="N16" s="2">
        <f>M16*4450</f>
        <v>6799600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6">
        <f>N16/M16</f>
        <v>4450</v>
      </c>
      <c r="V16" s="3"/>
    </row>
    <row r="17" spans="1:22" ht="22.9" customHeight="1" x14ac:dyDescent="0.25">
      <c r="A17" s="15" t="s">
        <v>1164</v>
      </c>
      <c r="B17" s="9" t="s">
        <v>35</v>
      </c>
      <c r="C17" s="7">
        <f t="shared" si="7"/>
        <v>14511040</v>
      </c>
      <c r="D17" s="2">
        <f t="shared" si="8"/>
        <v>14411040</v>
      </c>
      <c r="E17" s="2">
        <f>4803.68*700</f>
        <v>3362576</v>
      </c>
      <c r="F17" s="2">
        <f>4803.68*1300</f>
        <v>6244784</v>
      </c>
      <c r="G17" s="2">
        <f>4803.68*300</f>
        <v>1441104</v>
      </c>
      <c r="H17" s="2">
        <f>4803.68*400</f>
        <v>1921472</v>
      </c>
      <c r="I17" s="2">
        <f>4803.68*300</f>
        <v>1441104</v>
      </c>
      <c r="J17" s="18">
        <v>0</v>
      </c>
      <c r="K17" s="34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100000</v>
      </c>
      <c r="U17" s="6" t="e">
        <f t="shared" ref="U17:U80" si="9">N17/M17</f>
        <v>#DIV/0!</v>
      </c>
      <c r="V17" s="3"/>
    </row>
    <row r="18" spans="1:22" ht="22.9" customHeight="1" x14ac:dyDescent="0.25">
      <c r="A18" s="15" t="s">
        <v>1165</v>
      </c>
      <c r="B18" s="9" t="s">
        <v>36</v>
      </c>
      <c r="C18" s="7">
        <f t="shared" si="7"/>
        <v>4752000</v>
      </c>
      <c r="D18" s="2">
        <f t="shared" si="8"/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34">
        <v>0</v>
      </c>
      <c r="L18" s="18">
        <v>0</v>
      </c>
      <c r="M18" s="18">
        <v>720</v>
      </c>
      <c r="N18" s="2">
        <f t="shared" ref="N18:N21" si="10">M18*6600</f>
        <v>4752000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6">
        <f t="shared" si="9"/>
        <v>6600</v>
      </c>
      <c r="V18" s="3"/>
    </row>
    <row r="19" spans="1:22" ht="22.9" customHeight="1" x14ac:dyDescent="0.25">
      <c r="A19" s="15" t="s">
        <v>1166</v>
      </c>
      <c r="B19" s="9" t="s">
        <v>37</v>
      </c>
      <c r="C19" s="7">
        <f t="shared" si="7"/>
        <v>33266044</v>
      </c>
      <c r="D19" s="2">
        <f t="shared" si="8"/>
        <v>25662300</v>
      </c>
      <c r="E19" s="2">
        <f>8554.1*700</f>
        <v>5987870</v>
      </c>
      <c r="F19" s="2">
        <f>8554.1*1300</f>
        <v>11120330</v>
      </c>
      <c r="G19" s="2">
        <f>8554.1*300</f>
        <v>2566230</v>
      </c>
      <c r="H19" s="2">
        <f>8554.1*400</f>
        <v>3421640</v>
      </c>
      <c r="I19" s="2">
        <f>8554.1*300</f>
        <v>2566230</v>
      </c>
      <c r="J19" s="18">
        <v>0</v>
      </c>
      <c r="K19" s="34">
        <v>0</v>
      </c>
      <c r="L19" s="18">
        <v>0</v>
      </c>
      <c r="M19" s="18">
        <v>528.08000000000004</v>
      </c>
      <c r="N19" s="2">
        <f t="shared" si="10"/>
        <v>3485328.0000000005</v>
      </c>
      <c r="O19" s="18">
        <v>0</v>
      </c>
      <c r="P19" s="18">
        <v>0</v>
      </c>
      <c r="Q19" s="18">
        <v>1208.8800000000001</v>
      </c>
      <c r="R19" s="18">
        <f>Q19*3200</f>
        <v>3868416.0000000005</v>
      </c>
      <c r="S19" s="18">
        <v>150000</v>
      </c>
      <c r="T19" s="18">
        <v>100000</v>
      </c>
      <c r="U19" s="6">
        <f t="shared" si="9"/>
        <v>6600</v>
      </c>
      <c r="V19" s="3"/>
    </row>
    <row r="20" spans="1:22" ht="22.9" customHeight="1" x14ac:dyDescent="0.25">
      <c r="A20" s="15" t="s">
        <v>1167</v>
      </c>
      <c r="B20" s="9" t="s">
        <v>38</v>
      </c>
      <c r="C20" s="7">
        <f t="shared" si="7"/>
        <v>16942276</v>
      </c>
      <c r="D20" s="2">
        <f t="shared" si="8"/>
        <v>7639740</v>
      </c>
      <c r="E20" s="2">
        <f>2546.58*700</f>
        <v>1782606</v>
      </c>
      <c r="F20" s="2">
        <f>2546.58*1300</f>
        <v>3310554</v>
      </c>
      <c r="G20" s="2">
        <f>2546.58*300</f>
        <v>763974</v>
      </c>
      <c r="H20" s="2">
        <f>2546.58*400</f>
        <v>1018632</v>
      </c>
      <c r="I20" s="2">
        <f>2546.58*300</f>
        <v>763974</v>
      </c>
      <c r="J20" s="18">
        <v>0</v>
      </c>
      <c r="K20" s="34">
        <v>0</v>
      </c>
      <c r="L20" s="18">
        <v>0</v>
      </c>
      <c r="M20" s="18">
        <v>540</v>
      </c>
      <c r="N20" s="2">
        <f t="shared" si="10"/>
        <v>3564000</v>
      </c>
      <c r="O20" s="18">
        <v>439.7</v>
      </c>
      <c r="P20" s="18">
        <f>O20*1200</f>
        <v>527640</v>
      </c>
      <c r="Q20" s="18">
        <v>1550.28</v>
      </c>
      <c r="R20" s="18">
        <f t="shared" ref="R20:R21" si="11">Q20*3200</f>
        <v>4960896</v>
      </c>
      <c r="S20" s="18">
        <v>150000</v>
      </c>
      <c r="T20" s="18">
        <v>100000</v>
      </c>
      <c r="U20" s="6">
        <f t="shared" si="9"/>
        <v>6600</v>
      </c>
      <c r="V20" s="3"/>
    </row>
    <row r="21" spans="1:22" ht="22.9" customHeight="1" x14ac:dyDescent="0.25">
      <c r="A21" s="15" t="s">
        <v>1168</v>
      </c>
      <c r="B21" s="9" t="s">
        <v>39</v>
      </c>
      <c r="C21" s="7">
        <f t="shared" si="7"/>
        <v>13534576</v>
      </c>
      <c r="D21" s="2">
        <f t="shared" si="8"/>
        <v>4658576</v>
      </c>
      <c r="E21" s="2">
        <f>1791.76*700</f>
        <v>1254232</v>
      </c>
      <c r="F21" s="2">
        <f>1791.76*1300</f>
        <v>2329288</v>
      </c>
      <c r="G21" s="2">
        <f>1791.76*300</f>
        <v>537528</v>
      </c>
      <c r="H21" s="18">
        <v>0</v>
      </c>
      <c r="I21" s="2">
        <f>1791.76*300</f>
        <v>537528</v>
      </c>
      <c r="J21" s="18">
        <v>0</v>
      </c>
      <c r="K21" s="34">
        <v>0</v>
      </c>
      <c r="L21" s="18">
        <v>0</v>
      </c>
      <c r="M21" s="18">
        <v>450</v>
      </c>
      <c r="N21" s="2">
        <f t="shared" si="10"/>
        <v>2970000</v>
      </c>
      <c r="O21" s="18">
        <v>980</v>
      </c>
      <c r="P21" s="18">
        <f>O21*1200</f>
        <v>1176000</v>
      </c>
      <c r="Q21" s="18">
        <v>1400</v>
      </c>
      <c r="R21" s="18">
        <f t="shared" si="11"/>
        <v>4480000</v>
      </c>
      <c r="S21" s="18">
        <v>150000</v>
      </c>
      <c r="T21" s="18">
        <v>100000</v>
      </c>
      <c r="U21" s="6">
        <f t="shared" si="9"/>
        <v>6600</v>
      </c>
      <c r="V21" s="3"/>
    </row>
    <row r="22" spans="1:22" ht="22.9" customHeight="1" x14ac:dyDescent="0.25">
      <c r="A22" s="15" t="s">
        <v>1169</v>
      </c>
      <c r="B22" s="9" t="s">
        <v>40</v>
      </c>
      <c r="C22" s="7">
        <f t="shared" si="7"/>
        <v>2571560</v>
      </c>
      <c r="D22" s="2">
        <f t="shared" ref="D22" si="12">SUM(E22:J22)</f>
        <v>2471560</v>
      </c>
      <c r="E22" s="2">
        <f>950.6*700</f>
        <v>665420</v>
      </c>
      <c r="F22" s="2">
        <f>950.6*1300</f>
        <v>1235780</v>
      </c>
      <c r="G22" s="2">
        <f>950.6*300</f>
        <v>285180</v>
      </c>
      <c r="H22" s="18">
        <v>0</v>
      </c>
      <c r="I22" s="2">
        <f>950.6*300</f>
        <v>285180</v>
      </c>
      <c r="J22" s="19">
        <v>0</v>
      </c>
      <c r="K22" s="34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100000</v>
      </c>
      <c r="U22" s="6" t="e">
        <f t="shared" si="9"/>
        <v>#DIV/0!</v>
      </c>
      <c r="V22" s="3"/>
    </row>
    <row r="23" spans="1:22" ht="22.9" customHeight="1" x14ac:dyDescent="0.25">
      <c r="A23" s="15" t="s">
        <v>1170</v>
      </c>
      <c r="B23" s="9" t="s">
        <v>41</v>
      </c>
      <c r="C23" s="7">
        <f t="shared" si="7"/>
        <v>1018242</v>
      </c>
      <c r="D23" s="2">
        <f t="shared" ref="D23:D25" si="13">SUM(E23:J23)</f>
        <v>918242</v>
      </c>
      <c r="E23" s="2">
        <f>353.17*700</f>
        <v>247219</v>
      </c>
      <c r="F23" s="2">
        <f>353.17*1300</f>
        <v>459121</v>
      </c>
      <c r="G23" s="2">
        <f>353.17*300</f>
        <v>105951</v>
      </c>
      <c r="H23" s="18">
        <v>0</v>
      </c>
      <c r="I23" s="2">
        <f>353.17*300</f>
        <v>105951</v>
      </c>
      <c r="J23" s="18">
        <v>0</v>
      </c>
      <c r="K23" s="34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100000</v>
      </c>
      <c r="U23" s="6" t="e">
        <f t="shared" si="9"/>
        <v>#DIV/0!</v>
      </c>
      <c r="V23" s="3"/>
    </row>
    <row r="24" spans="1:22" ht="22.9" customHeight="1" x14ac:dyDescent="0.25">
      <c r="A24" s="15" t="s">
        <v>1171</v>
      </c>
      <c r="B24" s="9" t="s">
        <v>42</v>
      </c>
      <c r="C24" s="7">
        <f t="shared" si="7"/>
        <v>7814058</v>
      </c>
      <c r="D24" s="2">
        <f t="shared" si="13"/>
        <v>3442946</v>
      </c>
      <c r="E24" s="2">
        <f>1324.21*700</f>
        <v>926947</v>
      </c>
      <c r="F24" s="2">
        <f>1324.21*1300</f>
        <v>1721473</v>
      </c>
      <c r="G24" s="2">
        <f>1324.21*300</f>
        <v>397263</v>
      </c>
      <c r="H24" s="18">
        <v>0</v>
      </c>
      <c r="I24" s="2">
        <f>1324.21*300</f>
        <v>397263</v>
      </c>
      <c r="J24" s="18">
        <v>0</v>
      </c>
      <c r="K24" s="34">
        <v>0</v>
      </c>
      <c r="L24" s="18">
        <v>0</v>
      </c>
      <c r="M24" s="18">
        <v>493.4</v>
      </c>
      <c r="N24" s="2">
        <f t="shared" ref="N24:N29" si="14">M24*6600</f>
        <v>3256440</v>
      </c>
      <c r="O24" s="18">
        <v>50</v>
      </c>
      <c r="P24" s="18">
        <f>O24*1200</f>
        <v>60000</v>
      </c>
      <c r="Q24" s="18">
        <v>251.46</v>
      </c>
      <c r="R24" s="18">
        <f t="shared" ref="R24:R25" si="15">Q24*3200</f>
        <v>804672</v>
      </c>
      <c r="S24" s="18">
        <v>150000</v>
      </c>
      <c r="T24" s="18">
        <v>100000</v>
      </c>
      <c r="U24" s="6">
        <f t="shared" si="9"/>
        <v>6600</v>
      </c>
      <c r="V24" s="3"/>
    </row>
    <row r="25" spans="1:22" ht="22.9" customHeight="1" x14ac:dyDescent="0.25">
      <c r="A25" s="15" t="s">
        <v>1172</v>
      </c>
      <c r="B25" s="9" t="s">
        <v>28</v>
      </c>
      <c r="C25" s="7">
        <f t="shared" si="7"/>
        <v>14989084</v>
      </c>
      <c r="D25" s="2">
        <f t="shared" si="13"/>
        <v>4546724</v>
      </c>
      <c r="E25" s="2">
        <f>1748.74*700</f>
        <v>1224118</v>
      </c>
      <c r="F25" s="2">
        <f>1748.74*1300</f>
        <v>2273362</v>
      </c>
      <c r="G25" s="2">
        <f>1748.74*300</f>
        <v>524622</v>
      </c>
      <c r="H25" s="18">
        <v>0</v>
      </c>
      <c r="I25" s="2">
        <f>1748.74*300</f>
        <v>524622</v>
      </c>
      <c r="J25" s="18">
        <v>0</v>
      </c>
      <c r="K25" s="34">
        <v>0</v>
      </c>
      <c r="L25" s="18">
        <v>0</v>
      </c>
      <c r="M25" s="18">
        <v>574.6</v>
      </c>
      <c r="N25" s="2">
        <f t="shared" si="14"/>
        <v>3792360</v>
      </c>
      <c r="O25" s="18">
        <v>0</v>
      </c>
      <c r="P25" s="18">
        <v>0</v>
      </c>
      <c r="Q25" s="18">
        <v>2000</v>
      </c>
      <c r="R25" s="18">
        <f t="shared" si="15"/>
        <v>6400000</v>
      </c>
      <c r="S25" s="18">
        <v>150000</v>
      </c>
      <c r="T25" s="18">
        <v>100000</v>
      </c>
      <c r="U25" s="6">
        <f t="shared" si="9"/>
        <v>6600</v>
      </c>
      <c r="V25" s="3"/>
    </row>
    <row r="26" spans="1:22" ht="22.9" customHeight="1" x14ac:dyDescent="0.25">
      <c r="A26" s="15" t="s">
        <v>1173</v>
      </c>
      <c r="B26" s="9" t="s">
        <v>43</v>
      </c>
      <c r="C26" s="7">
        <f t="shared" si="7"/>
        <v>6404244</v>
      </c>
      <c r="D26" s="2">
        <f t="shared" si="8"/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34">
        <v>0</v>
      </c>
      <c r="L26" s="18">
        <v>0</v>
      </c>
      <c r="M26" s="18">
        <v>970.34</v>
      </c>
      <c r="N26" s="2">
        <f t="shared" si="14"/>
        <v>6404244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6">
        <f t="shared" si="9"/>
        <v>6600</v>
      </c>
      <c r="V26" s="3"/>
    </row>
    <row r="27" spans="1:22" ht="22.9" customHeight="1" x14ac:dyDescent="0.25">
      <c r="A27" s="15" t="s">
        <v>1174</v>
      </c>
      <c r="B27" s="9" t="s">
        <v>44</v>
      </c>
      <c r="C27" s="7">
        <f t="shared" si="7"/>
        <v>5886260</v>
      </c>
      <c r="D27" s="2">
        <f t="shared" si="8"/>
        <v>1510020</v>
      </c>
      <c r="E27" s="2">
        <f>503.34*700</f>
        <v>352338</v>
      </c>
      <c r="F27" s="2">
        <f>503.34*1300</f>
        <v>654342</v>
      </c>
      <c r="G27" s="2">
        <f>503.34*300</f>
        <v>151002</v>
      </c>
      <c r="H27" s="2">
        <f>503.34*400</f>
        <v>201336</v>
      </c>
      <c r="I27" s="2">
        <f>503.34*300</f>
        <v>151002</v>
      </c>
      <c r="J27" s="18">
        <v>0</v>
      </c>
      <c r="K27" s="34">
        <v>0</v>
      </c>
      <c r="L27" s="18">
        <v>0</v>
      </c>
      <c r="M27" s="18">
        <v>399.2</v>
      </c>
      <c r="N27" s="2">
        <f t="shared" si="14"/>
        <v>2634720</v>
      </c>
      <c r="O27" s="18">
        <v>0</v>
      </c>
      <c r="P27" s="18">
        <v>0</v>
      </c>
      <c r="Q27" s="18">
        <v>466.1</v>
      </c>
      <c r="R27" s="18">
        <f t="shared" ref="R27:R28" si="16">Q27*3200</f>
        <v>1491520</v>
      </c>
      <c r="S27" s="18">
        <v>150000</v>
      </c>
      <c r="T27" s="18">
        <v>100000</v>
      </c>
      <c r="U27" s="6">
        <f t="shared" si="9"/>
        <v>6600</v>
      </c>
      <c r="V27" s="3"/>
    </row>
    <row r="28" spans="1:22" ht="22.9" customHeight="1" x14ac:dyDescent="0.25">
      <c r="A28" s="15" t="s">
        <v>1175</v>
      </c>
      <c r="B28" s="9" t="s">
        <v>45</v>
      </c>
      <c r="C28" s="7">
        <f t="shared" si="7"/>
        <v>6982930</v>
      </c>
      <c r="D28" s="2">
        <f t="shared" si="8"/>
        <v>1643310</v>
      </c>
      <c r="E28" s="2">
        <f>547.77*700</f>
        <v>383439</v>
      </c>
      <c r="F28" s="2">
        <f>547.77*1300</f>
        <v>712101</v>
      </c>
      <c r="G28" s="2">
        <f>547.77*300</f>
        <v>164331</v>
      </c>
      <c r="H28" s="2">
        <f>547.77*400</f>
        <v>219108</v>
      </c>
      <c r="I28" s="2">
        <f>547.77*300</f>
        <v>164331</v>
      </c>
      <c r="J28" s="18">
        <v>0</v>
      </c>
      <c r="K28" s="34">
        <v>0</v>
      </c>
      <c r="L28" s="18">
        <v>0</v>
      </c>
      <c r="M28" s="18">
        <v>510.5</v>
      </c>
      <c r="N28" s="2">
        <f t="shared" si="14"/>
        <v>3369300</v>
      </c>
      <c r="O28" s="18">
        <v>0</v>
      </c>
      <c r="P28" s="18">
        <v>0</v>
      </c>
      <c r="Q28" s="18">
        <v>537.6</v>
      </c>
      <c r="R28" s="18">
        <f t="shared" si="16"/>
        <v>1720320</v>
      </c>
      <c r="S28" s="18">
        <v>150000</v>
      </c>
      <c r="T28" s="18">
        <v>100000</v>
      </c>
      <c r="U28" s="6">
        <f t="shared" si="9"/>
        <v>6600</v>
      </c>
      <c r="V28" s="3"/>
    </row>
    <row r="29" spans="1:22" ht="22.9" customHeight="1" x14ac:dyDescent="0.25">
      <c r="A29" s="15" t="s">
        <v>1176</v>
      </c>
      <c r="B29" s="9" t="s">
        <v>46</v>
      </c>
      <c r="C29" s="7">
        <f t="shared" si="7"/>
        <v>3369300</v>
      </c>
      <c r="D29" s="2">
        <f t="shared" si="8"/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34">
        <v>0</v>
      </c>
      <c r="L29" s="18">
        <v>0</v>
      </c>
      <c r="M29" s="18">
        <v>510.5</v>
      </c>
      <c r="N29" s="2">
        <f t="shared" si="14"/>
        <v>3369300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6">
        <f t="shared" si="9"/>
        <v>6600</v>
      </c>
      <c r="V29" s="3"/>
    </row>
    <row r="30" spans="1:22" ht="22.9" customHeight="1" x14ac:dyDescent="0.25">
      <c r="A30" s="15" t="s">
        <v>1177</v>
      </c>
      <c r="B30" s="9" t="s">
        <v>47</v>
      </c>
      <c r="C30" s="7">
        <f t="shared" si="7"/>
        <v>8250000</v>
      </c>
      <c r="D30" s="2">
        <f t="shared" si="8"/>
        <v>0</v>
      </c>
      <c r="E30" s="19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34">
        <v>0</v>
      </c>
      <c r="L30" s="18">
        <v>0</v>
      </c>
      <c r="M30" s="18">
        <v>1250</v>
      </c>
      <c r="N30" s="2">
        <f>M30*6600</f>
        <v>8250000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6">
        <f t="shared" si="9"/>
        <v>6600</v>
      </c>
    </row>
    <row r="31" spans="1:22" ht="40.15" customHeight="1" x14ac:dyDescent="0.25">
      <c r="A31" s="43" t="s">
        <v>92</v>
      </c>
      <c r="B31" s="43"/>
      <c r="C31" s="1">
        <f>SUM(C32:C36)</f>
        <v>22429350</v>
      </c>
      <c r="D31" s="1">
        <f t="shared" ref="D31:T31" si="17">SUM(D32:D36)</f>
        <v>986700</v>
      </c>
      <c r="E31" s="1">
        <f t="shared" si="17"/>
        <v>741300</v>
      </c>
      <c r="F31" s="1">
        <f t="shared" si="17"/>
        <v>0</v>
      </c>
      <c r="G31" s="1">
        <f t="shared" si="17"/>
        <v>122700</v>
      </c>
      <c r="H31" s="1">
        <f t="shared" si="17"/>
        <v>0</v>
      </c>
      <c r="I31" s="1">
        <f t="shared" si="17"/>
        <v>122700</v>
      </c>
      <c r="J31" s="1">
        <f t="shared" si="17"/>
        <v>0</v>
      </c>
      <c r="K31" s="33">
        <f t="shared" si="17"/>
        <v>0</v>
      </c>
      <c r="L31" s="1">
        <f t="shared" si="17"/>
        <v>0</v>
      </c>
      <c r="M31" s="1">
        <f t="shared" si="17"/>
        <v>3358</v>
      </c>
      <c r="N31" s="1">
        <f t="shared" si="17"/>
        <v>18462650</v>
      </c>
      <c r="O31" s="1">
        <f t="shared" si="17"/>
        <v>0</v>
      </c>
      <c r="P31" s="1">
        <f t="shared" si="17"/>
        <v>0</v>
      </c>
      <c r="Q31" s="1">
        <f t="shared" si="17"/>
        <v>775</v>
      </c>
      <c r="R31" s="1">
        <f t="shared" si="17"/>
        <v>2480000</v>
      </c>
      <c r="S31" s="1">
        <f t="shared" si="17"/>
        <v>300000</v>
      </c>
      <c r="T31" s="1">
        <f t="shared" si="17"/>
        <v>200000</v>
      </c>
      <c r="U31" s="3" t="e">
        <f>C31+#REF!+#REF!</f>
        <v>#REF!</v>
      </c>
    </row>
    <row r="32" spans="1:22" ht="22.9" customHeight="1" x14ac:dyDescent="0.25">
      <c r="A32" s="15" t="s">
        <v>1178</v>
      </c>
      <c r="B32" s="9" t="s">
        <v>78</v>
      </c>
      <c r="C32" s="7">
        <f t="shared" ref="C32:C36" si="18">D32+L32+N32+P32+R32+S32+T32</f>
        <v>5973000</v>
      </c>
      <c r="D32" s="2">
        <f t="shared" ref="D32:D36" si="19">SUM(E32:J32)</f>
        <v>455000</v>
      </c>
      <c r="E32" s="2">
        <f>650*700</f>
        <v>455000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34">
        <v>0</v>
      </c>
      <c r="L32" s="18">
        <v>0</v>
      </c>
      <c r="M32" s="18">
        <v>580</v>
      </c>
      <c r="N32" s="2">
        <f t="shared" ref="N32:N34" si="20">M32*6600</f>
        <v>3828000</v>
      </c>
      <c r="O32" s="18">
        <v>0</v>
      </c>
      <c r="P32" s="18">
        <v>0</v>
      </c>
      <c r="Q32" s="18">
        <v>450</v>
      </c>
      <c r="R32" s="18">
        <f t="shared" ref="R32:R33" si="21">Q32*3200</f>
        <v>1440000</v>
      </c>
      <c r="S32" s="18">
        <v>150000</v>
      </c>
      <c r="T32" s="18">
        <v>100000</v>
      </c>
      <c r="U32" s="6">
        <f t="shared" si="9"/>
        <v>6600</v>
      </c>
      <c r="V32" s="3"/>
    </row>
    <row r="33" spans="1:24" ht="22.9" customHeight="1" x14ac:dyDescent="0.25">
      <c r="A33" s="15" t="s">
        <v>1179</v>
      </c>
      <c r="B33" s="9" t="s">
        <v>79</v>
      </c>
      <c r="C33" s="7">
        <f t="shared" si="18"/>
        <v>4065700</v>
      </c>
      <c r="D33" s="2">
        <f t="shared" si="19"/>
        <v>531700</v>
      </c>
      <c r="E33" s="2">
        <f>409*700</f>
        <v>286300</v>
      </c>
      <c r="F33" s="18">
        <v>0</v>
      </c>
      <c r="G33" s="2">
        <f>409*300</f>
        <v>122700</v>
      </c>
      <c r="H33" s="18">
        <v>0</v>
      </c>
      <c r="I33" s="2">
        <f>409*300</f>
        <v>122700</v>
      </c>
      <c r="J33" s="18">
        <v>0</v>
      </c>
      <c r="K33" s="34">
        <v>0</v>
      </c>
      <c r="L33" s="18">
        <v>0</v>
      </c>
      <c r="M33" s="18">
        <v>340</v>
      </c>
      <c r="N33" s="2">
        <f t="shared" si="20"/>
        <v>2244000</v>
      </c>
      <c r="O33" s="18">
        <v>0</v>
      </c>
      <c r="P33" s="18">
        <v>0</v>
      </c>
      <c r="Q33" s="18">
        <v>325</v>
      </c>
      <c r="R33" s="18">
        <f t="shared" si="21"/>
        <v>1040000</v>
      </c>
      <c r="S33" s="18">
        <v>150000</v>
      </c>
      <c r="T33" s="18">
        <v>100000</v>
      </c>
      <c r="U33" s="6">
        <f t="shared" si="9"/>
        <v>6600</v>
      </c>
      <c r="V33" s="3"/>
    </row>
    <row r="34" spans="1:24" ht="22.9" customHeight="1" x14ac:dyDescent="0.25">
      <c r="A34" s="15" t="s">
        <v>1180</v>
      </c>
      <c r="B34" s="9" t="s">
        <v>80</v>
      </c>
      <c r="C34" s="7">
        <f t="shared" si="18"/>
        <v>4732200</v>
      </c>
      <c r="D34" s="2">
        <f t="shared" si="19"/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34">
        <v>0</v>
      </c>
      <c r="L34" s="18">
        <v>0</v>
      </c>
      <c r="M34" s="18">
        <v>717</v>
      </c>
      <c r="N34" s="2">
        <f t="shared" si="20"/>
        <v>4732200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6">
        <f t="shared" si="9"/>
        <v>6600</v>
      </c>
      <c r="V34" s="3"/>
    </row>
    <row r="35" spans="1:24" ht="22.9" customHeight="1" x14ac:dyDescent="0.25">
      <c r="A35" s="15" t="s">
        <v>1181</v>
      </c>
      <c r="B35" s="9" t="s">
        <v>81</v>
      </c>
      <c r="C35" s="7">
        <f t="shared" si="18"/>
        <v>3822550</v>
      </c>
      <c r="D35" s="2">
        <f t="shared" si="19"/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34">
        <v>0</v>
      </c>
      <c r="L35" s="18">
        <v>0</v>
      </c>
      <c r="M35" s="18">
        <v>859</v>
      </c>
      <c r="N35" s="2">
        <f>M35*4450</f>
        <v>3822550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6">
        <f t="shared" si="9"/>
        <v>4450</v>
      </c>
      <c r="V35" s="3"/>
    </row>
    <row r="36" spans="1:24" ht="22.9" customHeight="1" x14ac:dyDescent="0.25">
      <c r="A36" s="15" t="s">
        <v>1182</v>
      </c>
      <c r="B36" s="9" t="s">
        <v>82</v>
      </c>
      <c r="C36" s="7">
        <f t="shared" si="18"/>
        <v>3835900</v>
      </c>
      <c r="D36" s="2">
        <f t="shared" si="19"/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34">
        <v>0</v>
      </c>
      <c r="L36" s="18">
        <v>0</v>
      </c>
      <c r="M36" s="18">
        <v>862</v>
      </c>
      <c r="N36" s="2">
        <f>M36*4450</f>
        <v>3835900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6">
        <f t="shared" si="9"/>
        <v>4450</v>
      </c>
      <c r="V36" s="3"/>
    </row>
    <row r="37" spans="1:24" ht="40.15" customHeight="1" x14ac:dyDescent="0.25">
      <c r="A37" s="43" t="s">
        <v>91</v>
      </c>
      <c r="B37" s="43"/>
      <c r="C37" s="1">
        <f>SUM(C38:C39)</f>
        <v>1365268</v>
      </c>
      <c r="D37" s="1">
        <f t="shared" ref="D37:T37" si="22">SUM(D38:D39)</f>
        <v>1045268</v>
      </c>
      <c r="E37" s="1">
        <f t="shared" si="22"/>
        <v>1045268</v>
      </c>
      <c r="F37" s="1">
        <f t="shared" si="22"/>
        <v>0</v>
      </c>
      <c r="G37" s="1">
        <f t="shared" si="22"/>
        <v>0</v>
      </c>
      <c r="H37" s="1">
        <f t="shared" si="22"/>
        <v>0</v>
      </c>
      <c r="I37" s="1">
        <f t="shared" si="22"/>
        <v>0</v>
      </c>
      <c r="J37" s="1">
        <f t="shared" si="22"/>
        <v>0</v>
      </c>
      <c r="K37" s="33">
        <f t="shared" si="22"/>
        <v>0</v>
      </c>
      <c r="L37" s="1">
        <f t="shared" si="22"/>
        <v>0</v>
      </c>
      <c r="M37" s="1">
        <f t="shared" si="22"/>
        <v>0</v>
      </c>
      <c r="N37" s="1">
        <f t="shared" si="22"/>
        <v>0</v>
      </c>
      <c r="O37" s="1">
        <f t="shared" si="22"/>
        <v>100</v>
      </c>
      <c r="P37" s="1">
        <f t="shared" si="22"/>
        <v>120000</v>
      </c>
      <c r="Q37" s="1">
        <f t="shared" si="22"/>
        <v>0</v>
      </c>
      <c r="R37" s="1">
        <f t="shared" si="22"/>
        <v>0</v>
      </c>
      <c r="S37" s="1">
        <f t="shared" si="22"/>
        <v>0</v>
      </c>
      <c r="T37" s="1">
        <f t="shared" si="22"/>
        <v>200000</v>
      </c>
      <c r="U37" s="3" t="e">
        <f>C37+#REF!+#REF!</f>
        <v>#REF!</v>
      </c>
    </row>
    <row r="38" spans="1:24" ht="22.9" customHeight="1" x14ac:dyDescent="0.25">
      <c r="A38" s="36" t="s">
        <v>1184</v>
      </c>
      <c r="B38" s="9" t="s">
        <v>93</v>
      </c>
      <c r="C38" s="1">
        <f t="shared" ref="C38:C39" si="23">D38+L38+N38+P38+R38+S38+T38</f>
        <v>554884</v>
      </c>
      <c r="D38" s="2">
        <f t="shared" ref="D38:D39" si="24">SUM(E38:J38)</f>
        <v>394884</v>
      </c>
      <c r="E38" s="2">
        <f>564.12*700</f>
        <v>394884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34">
        <v>0</v>
      </c>
      <c r="L38" s="18">
        <v>0</v>
      </c>
      <c r="M38" s="18">
        <v>0</v>
      </c>
      <c r="N38" s="18">
        <v>0</v>
      </c>
      <c r="O38" s="18">
        <v>50</v>
      </c>
      <c r="P38" s="18">
        <f>O38*1200</f>
        <v>60000</v>
      </c>
      <c r="Q38" s="18">
        <v>0</v>
      </c>
      <c r="R38" s="18">
        <v>0</v>
      </c>
      <c r="S38" s="18">
        <v>0</v>
      </c>
      <c r="T38" s="18">
        <v>100000</v>
      </c>
      <c r="U38" s="6" t="e">
        <f t="shared" si="9"/>
        <v>#DIV/0!</v>
      </c>
      <c r="V38" s="3"/>
    </row>
    <row r="39" spans="1:24" ht="22.9" customHeight="1" x14ac:dyDescent="0.25">
      <c r="A39" s="36" t="s">
        <v>1185</v>
      </c>
      <c r="B39" s="9" t="s">
        <v>94</v>
      </c>
      <c r="C39" s="1">
        <f t="shared" si="23"/>
        <v>810384</v>
      </c>
      <c r="D39" s="2">
        <f t="shared" si="24"/>
        <v>650384</v>
      </c>
      <c r="E39" s="2">
        <f>929.12*700</f>
        <v>650384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34">
        <v>0</v>
      </c>
      <c r="L39" s="18">
        <v>0</v>
      </c>
      <c r="M39" s="18">
        <v>0</v>
      </c>
      <c r="N39" s="18">
        <v>0</v>
      </c>
      <c r="O39" s="18">
        <v>50</v>
      </c>
      <c r="P39" s="18">
        <f>O39*1200</f>
        <v>60000</v>
      </c>
      <c r="Q39" s="18">
        <v>0</v>
      </c>
      <c r="R39" s="18">
        <v>0</v>
      </c>
      <c r="S39" s="18">
        <v>0</v>
      </c>
      <c r="T39" s="18">
        <v>100000</v>
      </c>
      <c r="U39" s="6" t="e">
        <f t="shared" si="9"/>
        <v>#DIV/0!</v>
      </c>
      <c r="V39" s="3"/>
    </row>
    <row r="40" spans="1:24" ht="45" customHeight="1" x14ac:dyDescent="0.25">
      <c r="A40" s="43" t="s">
        <v>97</v>
      </c>
      <c r="B40" s="43"/>
      <c r="C40" s="1">
        <f>SUM(C41:C42)</f>
        <v>9276014</v>
      </c>
      <c r="D40" s="1">
        <f t="shared" ref="D40:T40" si="25">SUM(D41:D42)</f>
        <v>1798200</v>
      </c>
      <c r="E40" s="1">
        <f t="shared" si="25"/>
        <v>629370</v>
      </c>
      <c r="F40" s="1">
        <f t="shared" si="25"/>
        <v>1168830</v>
      </c>
      <c r="G40" s="1">
        <f t="shared" si="25"/>
        <v>0</v>
      </c>
      <c r="H40" s="1">
        <f t="shared" si="25"/>
        <v>0</v>
      </c>
      <c r="I40" s="1">
        <f t="shared" si="25"/>
        <v>0</v>
      </c>
      <c r="J40" s="1">
        <f t="shared" si="25"/>
        <v>0</v>
      </c>
      <c r="K40" s="33">
        <f t="shared" si="25"/>
        <v>0</v>
      </c>
      <c r="L40" s="1">
        <f t="shared" si="25"/>
        <v>0</v>
      </c>
      <c r="M40" s="1">
        <f t="shared" si="25"/>
        <v>682.99</v>
      </c>
      <c r="N40" s="1">
        <f t="shared" si="25"/>
        <v>4507734</v>
      </c>
      <c r="O40" s="1">
        <f t="shared" si="25"/>
        <v>0</v>
      </c>
      <c r="P40" s="1">
        <f t="shared" si="25"/>
        <v>0</v>
      </c>
      <c r="Q40" s="1">
        <f t="shared" si="25"/>
        <v>771.9</v>
      </c>
      <c r="R40" s="1">
        <f t="shared" si="25"/>
        <v>2470080</v>
      </c>
      <c r="S40" s="1">
        <f t="shared" si="25"/>
        <v>300000</v>
      </c>
      <c r="T40" s="1">
        <f t="shared" si="25"/>
        <v>200000</v>
      </c>
      <c r="U40" s="3" t="e">
        <f>C40+#REF!+#REF!</f>
        <v>#REF!</v>
      </c>
    </row>
    <row r="41" spans="1:24" ht="22.9" customHeight="1" x14ac:dyDescent="0.25">
      <c r="A41" s="36" t="s">
        <v>1186</v>
      </c>
      <c r="B41" s="9" t="s">
        <v>98</v>
      </c>
      <c r="C41" s="1">
        <f t="shared" ref="C41:C42" si="26">D41+L41+N41+P41+R41+S41+T41</f>
        <v>4588700</v>
      </c>
      <c r="D41" s="2">
        <f t="shared" ref="D41:D42" si="27">SUM(E41:J41)</f>
        <v>896400</v>
      </c>
      <c r="E41" s="2">
        <f>448.2*700</f>
        <v>313740</v>
      </c>
      <c r="F41" s="2">
        <f>448.2*1300</f>
        <v>582660</v>
      </c>
      <c r="G41" s="18">
        <v>0</v>
      </c>
      <c r="H41" s="18">
        <v>0</v>
      </c>
      <c r="I41" s="18">
        <v>0</v>
      </c>
      <c r="J41" s="19">
        <v>0</v>
      </c>
      <c r="K41" s="22">
        <v>0</v>
      </c>
      <c r="L41" s="19">
        <v>0</v>
      </c>
      <c r="M41" s="19">
        <v>334.7</v>
      </c>
      <c r="N41" s="2">
        <f t="shared" ref="N41:N42" si="28">M41*6600</f>
        <v>2209020</v>
      </c>
      <c r="O41" s="19">
        <v>0</v>
      </c>
      <c r="P41" s="19">
        <v>0</v>
      </c>
      <c r="Q41" s="19">
        <v>385.4</v>
      </c>
      <c r="R41" s="18">
        <f t="shared" ref="R41:R42" si="29">Q41*3200</f>
        <v>1233280</v>
      </c>
      <c r="S41" s="18">
        <v>150000</v>
      </c>
      <c r="T41" s="18">
        <v>100000</v>
      </c>
      <c r="U41" s="6">
        <f t="shared" si="9"/>
        <v>6600</v>
      </c>
      <c r="V41" s="1"/>
      <c r="W41" s="3"/>
    </row>
    <row r="42" spans="1:24" ht="22.9" customHeight="1" x14ac:dyDescent="0.25">
      <c r="A42" s="36" t="s">
        <v>1187</v>
      </c>
      <c r="B42" s="9" t="s">
        <v>99</v>
      </c>
      <c r="C42" s="1">
        <f t="shared" si="26"/>
        <v>4687314</v>
      </c>
      <c r="D42" s="2">
        <f t="shared" si="27"/>
        <v>901800</v>
      </c>
      <c r="E42" s="2">
        <f>450.9*700</f>
        <v>315630</v>
      </c>
      <c r="F42" s="2">
        <f>450.9*1300</f>
        <v>586170</v>
      </c>
      <c r="G42" s="18">
        <v>0</v>
      </c>
      <c r="H42" s="18">
        <v>0</v>
      </c>
      <c r="I42" s="18">
        <v>0</v>
      </c>
      <c r="J42" s="19">
        <v>0</v>
      </c>
      <c r="K42" s="22">
        <v>0</v>
      </c>
      <c r="L42" s="19">
        <v>0</v>
      </c>
      <c r="M42" s="19">
        <v>348.29</v>
      </c>
      <c r="N42" s="2">
        <f t="shared" si="28"/>
        <v>2298714</v>
      </c>
      <c r="O42" s="19">
        <v>0</v>
      </c>
      <c r="P42" s="19">
        <v>0</v>
      </c>
      <c r="Q42" s="19">
        <v>386.5</v>
      </c>
      <c r="R42" s="18">
        <f t="shared" si="29"/>
        <v>1236800</v>
      </c>
      <c r="S42" s="18">
        <v>150000</v>
      </c>
      <c r="T42" s="18">
        <v>100000</v>
      </c>
      <c r="U42" s="6">
        <f t="shared" si="9"/>
        <v>6600</v>
      </c>
      <c r="V42" s="1"/>
      <c r="W42" s="3"/>
    </row>
    <row r="43" spans="1:24" ht="45" customHeight="1" x14ac:dyDescent="0.25">
      <c r="A43" s="43" t="s">
        <v>103</v>
      </c>
      <c r="B43" s="43"/>
      <c r="C43" s="1">
        <f>SUM(C44:C46)</f>
        <v>14936800</v>
      </c>
      <c r="D43" s="1">
        <f t="shared" ref="D43:T43" si="30">SUM(D44:D46)</f>
        <v>2638000</v>
      </c>
      <c r="E43" s="1">
        <f t="shared" si="30"/>
        <v>615300</v>
      </c>
      <c r="F43" s="1">
        <f t="shared" si="30"/>
        <v>1142700</v>
      </c>
      <c r="G43" s="1">
        <f t="shared" si="30"/>
        <v>264000</v>
      </c>
      <c r="H43" s="1">
        <f t="shared" si="30"/>
        <v>352000</v>
      </c>
      <c r="I43" s="1">
        <f t="shared" si="30"/>
        <v>264000</v>
      </c>
      <c r="J43" s="1">
        <f t="shared" si="30"/>
        <v>0</v>
      </c>
      <c r="K43" s="33">
        <f t="shared" si="30"/>
        <v>0</v>
      </c>
      <c r="L43" s="1">
        <f t="shared" si="30"/>
        <v>0</v>
      </c>
      <c r="M43" s="1">
        <f t="shared" si="30"/>
        <v>1296</v>
      </c>
      <c r="N43" s="1">
        <f t="shared" si="30"/>
        <v>8553600</v>
      </c>
      <c r="O43" s="1">
        <f t="shared" si="30"/>
        <v>0</v>
      </c>
      <c r="P43" s="1">
        <f t="shared" si="30"/>
        <v>0</v>
      </c>
      <c r="Q43" s="1">
        <f t="shared" si="30"/>
        <v>936</v>
      </c>
      <c r="R43" s="1">
        <f t="shared" si="30"/>
        <v>2995200</v>
      </c>
      <c r="S43" s="1">
        <f t="shared" si="30"/>
        <v>450000</v>
      </c>
      <c r="T43" s="1">
        <f t="shared" si="30"/>
        <v>300000</v>
      </c>
      <c r="U43" s="3" t="e">
        <f>C43+#REF!+#REF!</f>
        <v>#REF!</v>
      </c>
    </row>
    <row r="44" spans="1:24" ht="22.9" customHeight="1" x14ac:dyDescent="0.25">
      <c r="A44" s="36" t="s">
        <v>1188</v>
      </c>
      <c r="B44" s="9" t="s">
        <v>104</v>
      </c>
      <c r="C44" s="1">
        <f t="shared" ref="C44:C46" si="31">D44+L44+N44+P44+R44+S44+T44</f>
        <v>250000</v>
      </c>
      <c r="D44" s="2">
        <f t="shared" ref="D44:D46" si="32">SUM(E44:J44)</f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34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150000</v>
      </c>
      <c r="T44" s="18">
        <v>100000</v>
      </c>
      <c r="U44" s="6" t="e">
        <f t="shared" si="9"/>
        <v>#DIV/0!</v>
      </c>
      <c r="V44" s="1"/>
      <c r="W44" s="1"/>
      <c r="X44" s="3"/>
    </row>
    <row r="45" spans="1:24" ht="22.9" customHeight="1" x14ac:dyDescent="0.25">
      <c r="A45" s="36" t="s">
        <v>1189</v>
      </c>
      <c r="B45" s="9" t="s">
        <v>105</v>
      </c>
      <c r="C45" s="1">
        <f t="shared" si="31"/>
        <v>7344700</v>
      </c>
      <c r="D45" s="2">
        <f t="shared" si="32"/>
        <v>1320300</v>
      </c>
      <c r="E45" s="2">
        <f>440.1*700</f>
        <v>308070</v>
      </c>
      <c r="F45" s="2">
        <f>440.1*1300</f>
        <v>572130</v>
      </c>
      <c r="G45" s="2">
        <f>440.1*300</f>
        <v>132030</v>
      </c>
      <c r="H45" s="2">
        <f>440.1*400</f>
        <v>176040</v>
      </c>
      <c r="I45" s="2">
        <f>440.1*300</f>
        <v>132030</v>
      </c>
      <c r="J45" s="18">
        <v>0</v>
      </c>
      <c r="K45" s="34">
        <v>0</v>
      </c>
      <c r="L45" s="18">
        <v>0</v>
      </c>
      <c r="M45" s="18">
        <v>648</v>
      </c>
      <c r="N45" s="2">
        <f t="shared" ref="N45:N46" si="33">M45*6600</f>
        <v>4276800</v>
      </c>
      <c r="O45" s="18">
        <v>0</v>
      </c>
      <c r="P45" s="18">
        <v>0</v>
      </c>
      <c r="Q45" s="18">
        <v>468</v>
      </c>
      <c r="R45" s="18">
        <f t="shared" ref="R45:R46" si="34">Q45*3200</f>
        <v>1497600</v>
      </c>
      <c r="S45" s="18">
        <v>150000</v>
      </c>
      <c r="T45" s="18">
        <v>100000</v>
      </c>
      <c r="U45" s="6">
        <f t="shared" si="9"/>
        <v>6600</v>
      </c>
      <c r="V45" s="1"/>
      <c r="W45" s="1"/>
      <c r="X45" s="3"/>
    </row>
    <row r="46" spans="1:24" ht="22.9" customHeight="1" x14ac:dyDescent="0.25">
      <c r="A46" s="36" t="s">
        <v>1190</v>
      </c>
      <c r="B46" s="9" t="s">
        <v>106</v>
      </c>
      <c r="C46" s="1">
        <f t="shared" si="31"/>
        <v>7342100</v>
      </c>
      <c r="D46" s="2">
        <f t="shared" si="32"/>
        <v>1317700</v>
      </c>
      <c r="E46" s="2">
        <f>438.9*700</f>
        <v>307230</v>
      </c>
      <c r="F46" s="2">
        <f>438.9*1300</f>
        <v>570570</v>
      </c>
      <c r="G46" s="2">
        <f>439.9*300</f>
        <v>131970</v>
      </c>
      <c r="H46" s="2">
        <f>439.9*400</f>
        <v>175960</v>
      </c>
      <c r="I46" s="2">
        <f>439.9*300</f>
        <v>131970</v>
      </c>
      <c r="J46" s="18">
        <v>0</v>
      </c>
      <c r="K46" s="34">
        <v>0</v>
      </c>
      <c r="L46" s="18">
        <v>0</v>
      </c>
      <c r="M46" s="18">
        <v>648</v>
      </c>
      <c r="N46" s="2">
        <f t="shared" si="33"/>
        <v>4276800</v>
      </c>
      <c r="O46" s="18">
        <v>0</v>
      </c>
      <c r="P46" s="18">
        <v>0</v>
      </c>
      <c r="Q46" s="18">
        <v>468</v>
      </c>
      <c r="R46" s="18">
        <f t="shared" si="34"/>
        <v>1497600</v>
      </c>
      <c r="S46" s="18">
        <v>150000</v>
      </c>
      <c r="T46" s="18">
        <v>100000</v>
      </c>
      <c r="U46" s="6">
        <f t="shared" si="9"/>
        <v>6600</v>
      </c>
      <c r="V46" s="1"/>
      <c r="W46" s="1"/>
      <c r="X46" s="3"/>
    </row>
    <row r="47" spans="1:24" ht="45" customHeight="1" x14ac:dyDescent="0.25">
      <c r="A47" s="43" t="s">
        <v>113</v>
      </c>
      <c r="B47" s="43"/>
      <c r="C47" s="1">
        <f>SUM(C48:C52)</f>
        <v>27414403</v>
      </c>
      <c r="D47" s="1">
        <f t="shared" ref="D47:T47" si="35">SUM(D48:D52)</f>
        <v>3050703</v>
      </c>
      <c r="E47" s="1">
        <f t="shared" si="35"/>
        <v>2184903</v>
      </c>
      <c r="F47" s="1">
        <f t="shared" si="35"/>
        <v>0</v>
      </c>
      <c r="G47" s="1">
        <f t="shared" si="35"/>
        <v>432900</v>
      </c>
      <c r="H47" s="1">
        <f t="shared" si="35"/>
        <v>0</v>
      </c>
      <c r="I47" s="1">
        <f t="shared" si="35"/>
        <v>432900</v>
      </c>
      <c r="J47" s="1">
        <f t="shared" si="35"/>
        <v>0</v>
      </c>
      <c r="K47" s="33">
        <f t="shared" si="35"/>
        <v>0</v>
      </c>
      <c r="L47" s="1">
        <f t="shared" si="35"/>
        <v>0</v>
      </c>
      <c r="M47" s="1">
        <f t="shared" si="35"/>
        <v>2404</v>
      </c>
      <c r="N47" s="1">
        <f t="shared" si="35"/>
        <v>14511900</v>
      </c>
      <c r="O47" s="1">
        <f t="shared" si="35"/>
        <v>0</v>
      </c>
      <c r="P47" s="1">
        <f t="shared" si="35"/>
        <v>0</v>
      </c>
      <c r="Q47" s="1">
        <f t="shared" si="35"/>
        <v>2686</v>
      </c>
      <c r="R47" s="1">
        <f t="shared" si="35"/>
        <v>8595200</v>
      </c>
      <c r="S47" s="1">
        <f t="shared" si="35"/>
        <v>750000</v>
      </c>
      <c r="T47" s="1">
        <f t="shared" si="35"/>
        <v>500000</v>
      </c>
      <c r="U47" s="3" t="e">
        <f>C47+#REF!+#REF!</f>
        <v>#REF!</v>
      </c>
    </row>
    <row r="48" spans="1:24" ht="22.9" customHeight="1" x14ac:dyDescent="0.25">
      <c r="A48" s="29" t="s">
        <v>1191</v>
      </c>
      <c r="B48" s="9" t="s">
        <v>1151</v>
      </c>
      <c r="C48" s="1">
        <f t="shared" ref="C48" si="36">D48+L48+N48+P48+R48+S48+T48+U48</f>
        <v>5151913</v>
      </c>
      <c r="D48" s="2">
        <f>SUM(E48:J48)</f>
        <v>372113</v>
      </c>
      <c r="E48" s="2">
        <f>531.59*700</f>
        <v>372113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1">
        <v>0</v>
      </c>
      <c r="L48" s="2">
        <v>0</v>
      </c>
      <c r="M48" s="2">
        <v>440</v>
      </c>
      <c r="N48" s="2">
        <f>M48*6600</f>
        <v>2904000</v>
      </c>
      <c r="O48" s="2">
        <v>0</v>
      </c>
      <c r="P48" s="2">
        <v>0</v>
      </c>
      <c r="Q48" s="2">
        <v>506</v>
      </c>
      <c r="R48" s="18">
        <f t="shared" ref="R48:R52" si="37">Q48*3200</f>
        <v>1619200</v>
      </c>
      <c r="S48" s="18">
        <v>150000</v>
      </c>
      <c r="T48" s="18">
        <v>100000</v>
      </c>
      <c r="U48" s="6">
        <f t="shared" si="9"/>
        <v>6600</v>
      </c>
      <c r="V48" s="3">
        <f>N48/M48</f>
        <v>6600</v>
      </c>
    </row>
    <row r="49" spans="1:26" ht="22.9" customHeight="1" x14ac:dyDescent="0.25">
      <c r="A49" s="36" t="s">
        <v>1192</v>
      </c>
      <c r="B49" s="9" t="s">
        <v>114</v>
      </c>
      <c r="C49" s="1">
        <f t="shared" ref="C49:C52" si="38">D49+L49+N49+P49+R49+S49+T49</f>
        <v>6208190</v>
      </c>
      <c r="D49" s="2">
        <f t="shared" ref="D49:D52" si="39">SUM(E49:J49)</f>
        <v>802690</v>
      </c>
      <c r="E49" s="2">
        <f>1146.7*700</f>
        <v>802690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2">
        <v>0</v>
      </c>
      <c r="L49" s="19">
        <v>0</v>
      </c>
      <c r="M49" s="19">
        <v>630</v>
      </c>
      <c r="N49" s="2">
        <f>M49*4450</f>
        <v>2803500</v>
      </c>
      <c r="O49" s="19"/>
      <c r="P49" s="19"/>
      <c r="Q49" s="19">
        <v>735</v>
      </c>
      <c r="R49" s="18">
        <f t="shared" si="37"/>
        <v>2352000</v>
      </c>
      <c r="S49" s="18">
        <v>150000</v>
      </c>
      <c r="T49" s="18">
        <v>100000</v>
      </c>
      <c r="U49" s="6">
        <f t="shared" si="9"/>
        <v>4450</v>
      </c>
      <c r="V49" s="1"/>
      <c r="W49" s="1"/>
      <c r="X49" s="3"/>
    </row>
    <row r="50" spans="1:26" ht="22.9" customHeight="1" x14ac:dyDescent="0.25">
      <c r="A50" s="36" t="s">
        <v>1193</v>
      </c>
      <c r="B50" s="9" t="s">
        <v>115</v>
      </c>
      <c r="C50" s="1">
        <f t="shared" si="38"/>
        <v>5859700</v>
      </c>
      <c r="D50" s="2">
        <f t="shared" si="39"/>
        <v>817700</v>
      </c>
      <c r="E50" s="2">
        <f>629*700</f>
        <v>440300</v>
      </c>
      <c r="F50" s="2">
        <v>0</v>
      </c>
      <c r="G50" s="2">
        <f>629*300</f>
        <v>188700</v>
      </c>
      <c r="H50" s="2">
        <v>0</v>
      </c>
      <c r="I50" s="2">
        <f>629*300</f>
        <v>188700</v>
      </c>
      <c r="J50" s="2">
        <v>0</v>
      </c>
      <c r="K50" s="34">
        <v>0</v>
      </c>
      <c r="L50" s="18">
        <v>0</v>
      </c>
      <c r="M50" s="18">
        <v>440</v>
      </c>
      <c r="N50" s="2">
        <f t="shared" ref="N50:N57" si="40">M50*6600</f>
        <v>2904000</v>
      </c>
      <c r="O50" s="18">
        <v>0</v>
      </c>
      <c r="P50" s="18">
        <v>0</v>
      </c>
      <c r="Q50" s="18">
        <v>590</v>
      </c>
      <c r="R50" s="18">
        <f t="shared" si="37"/>
        <v>1888000</v>
      </c>
      <c r="S50" s="18">
        <v>150000</v>
      </c>
      <c r="T50" s="18">
        <v>100000</v>
      </c>
      <c r="U50" s="6">
        <f t="shared" si="9"/>
        <v>6600</v>
      </c>
      <c r="V50" s="1"/>
      <c r="W50" s="1"/>
      <c r="X50" s="1"/>
      <c r="Y50" s="3"/>
    </row>
    <row r="51" spans="1:26" ht="22.9" customHeight="1" x14ac:dyDescent="0.25">
      <c r="A51" s="36" t="s">
        <v>1194</v>
      </c>
      <c r="B51" s="9" t="s">
        <v>116</v>
      </c>
      <c r="C51" s="1">
        <f t="shared" si="38"/>
        <v>5094600</v>
      </c>
      <c r="D51" s="2">
        <f t="shared" si="39"/>
        <v>527800</v>
      </c>
      <c r="E51" s="2">
        <f>406*700</f>
        <v>284200</v>
      </c>
      <c r="F51" s="2">
        <v>0</v>
      </c>
      <c r="G51" s="2">
        <f>406*300</f>
        <v>121800</v>
      </c>
      <c r="H51" s="2">
        <v>0</v>
      </c>
      <c r="I51" s="2">
        <f>406*300</f>
        <v>121800</v>
      </c>
      <c r="J51" s="2">
        <v>0</v>
      </c>
      <c r="K51" s="34">
        <v>0</v>
      </c>
      <c r="L51" s="18">
        <v>0</v>
      </c>
      <c r="M51" s="18">
        <v>448</v>
      </c>
      <c r="N51" s="2">
        <f t="shared" si="40"/>
        <v>2956800</v>
      </c>
      <c r="O51" s="18">
        <v>0</v>
      </c>
      <c r="P51" s="18">
        <v>0</v>
      </c>
      <c r="Q51" s="18">
        <v>425</v>
      </c>
      <c r="R51" s="18">
        <f t="shared" si="37"/>
        <v>1360000</v>
      </c>
      <c r="S51" s="18">
        <v>150000</v>
      </c>
      <c r="T51" s="18">
        <v>100000</v>
      </c>
      <c r="U51" s="6">
        <f t="shared" si="9"/>
        <v>6600</v>
      </c>
      <c r="V51" s="1"/>
      <c r="W51" s="1"/>
      <c r="X51" s="1"/>
      <c r="Y51" s="3"/>
    </row>
    <row r="52" spans="1:26" ht="22.9" customHeight="1" x14ac:dyDescent="0.25">
      <c r="A52" s="36" t="s">
        <v>1195</v>
      </c>
      <c r="B52" s="9" t="s">
        <v>117</v>
      </c>
      <c r="C52" s="1">
        <f t="shared" si="38"/>
        <v>5100000</v>
      </c>
      <c r="D52" s="2">
        <f t="shared" si="39"/>
        <v>530400</v>
      </c>
      <c r="E52" s="2">
        <f>408*700</f>
        <v>285600</v>
      </c>
      <c r="F52" s="2">
        <v>0</v>
      </c>
      <c r="G52" s="2">
        <f>408*300</f>
        <v>122400</v>
      </c>
      <c r="H52" s="2">
        <v>0</v>
      </c>
      <c r="I52" s="2">
        <f>408*300</f>
        <v>122400</v>
      </c>
      <c r="J52" s="2">
        <v>0</v>
      </c>
      <c r="K52" s="34">
        <v>0</v>
      </c>
      <c r="L52" s="18">
        <v>0</v>
      </c>
      <c r="M52" s="18">
        <v>446</v>
      </c>
      <c r="N52" s="2">
        <f t="shared" si="40"/>
        <v>2943600</v>
      </c>
      <c r="O52" s="18">
        <v>0</v>
      </c>
      <c r="P52" s="18">
        <v>0</v>
      </c>
      <c r="Q52" s="18">
        <v>430</v>
      </c>
      <c r="R52" s="18">
        <f t="shared" si="37"/>
        <v>1376000</v>
      </c>
      <c r="S52" s="18">
        <v>150000</v>
      </c>
      <c r="T52" s="18">
        <v>100000</v>
      </c>
      <c r="U52" s="6">
        <f t="shared" si="9"/>
        <v>6600</v>
      </c>
      <c r="V52" s="1"/>
      <c r="W52" s="1"/>
      <c r="X52" s="3"/>
    </row>
    <row r="53" spans="1:26" ht="45" customHeight="1" x14ac:dyDescent="0.25">
      <c r="A53" s="43" t="s">
        <v>124</v>
      </c>
      <c r="B53" s="43"/>
      <c r="C53" s="1">
        <f>SUM(C54:C55)</f>
        <v>13205600</v>
      </c>
      <c r="D53" s="1">
        <f t="shared" ref="D53:T53" si="41">SUM(D54:D55)</f>
        <v>898800</v>
      </c>
      <c r="E53" s="1">
        <f t="shared" si="41"/>
        <v>898800</v>
      </c>
      <c r="F53" s="1">
        <f t="shared" si="41"/>
        <v>0</v>
      </c>
      <c r="G53" s="1">
        <f t="shared" si="41"/>
        <v>0</v>
      </c>
      <c r="H53" s="1">
        <f t="shared" si="41"/>
        <v>0</v>
      </c>
      <c r="I53" s="1">
        <f t="shared" si="41"/>
        <v>0</v>
      </c>
      <c r="J53" s="1">
        <f t="shared" si="41"/>
        <v>0</v>
      </c>
      <c r="K53" s="33">
        <f t="shared" si="41"/>
        <v>0</v>
      </c>
      <c r="L53" s="1">
        <f t="shared" si="41"/>
        <v>0</v>
      </c>
      <c r="M53" s="1">
        <f t="shared" si="41"/>
        <v>1050</v>
      </c>
      <c r="N53" s="1">
        <f t="shared" si="41"/>
        <v>6930000</v>
      </c>
      <c r="O53" s="1">
        <f t="shared" si="41"/>
        <v>0</v>
      </c>
      <c r="P53" s="1">
        <f t="shared" si="41"/>
        <v>0</v>
      </c>
      <c r="Q53" s="1">
        <f t="shared" si="41"/>
        <v>1524</v>
      </c>
      <c r="R53" s="1">
        <f t="shared" si="41"/>
        <v>4876800</v>
      </c>
      <c r="S53" s="1">
        <f t="shared" si="41"/>
        <v>300000</v>
      </c>
      <c r="T53" s="1">
        <f t="shared" si="41"/>
        <v>200000</v>
      </c>
      <c r="U53" s="3" t="e">
        <f>C53+#REF!+#REF!</f>
        <v>#REF!</v>
      </c>
    </row>
    <row r="54" spans="1:26" ht="22.9" customHeight="1" x14ac:dyDescent="0.25">
      <c r="A54" s="36" t="s">
        <v>1196</v>
      </c>
      <c r="B54" s="9" t="s">
        <v>125</v>
      </c>
      <c r="C54" s="1">
        <f t="shared" ref="C54:C55" si="42">D54+L54+N54+P54+R54+S54+T54</f>
        <v>9262600</v>
      </c>
      <c r="D54" s="2">
        <f t="shared" ref="D54:D55" si="43">SUM(E54:J54)</f>
        <v>625800</v>
      </c>
      <c r="E54" s="2">
        <f>894*700</f>
        <v>625800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34">
        <v>0</v>
      </c>
      <c r="L54" s="18">
        <v>0</v>
      </c>
      <c r="M54" s="18">
        <v>750</v>
      </c>
      <c r="N54" s="2">
        <f t="shared" si="40"/>
        <v>4950000</v>
      </c>
      <c r="O54" s="18">
        <v>0</v>
      </c>
      <c r="P54" s="18">
        <v>0</v>
      </c>
      <c r="Q54" s="18">
        <v>1074</v>
      </c>
      <c r="R54" s="18">
        <f t="shared" ref="R54:R55" si="44">Q54*3200</f>
        <v>3436800</v>
      </c>
      <c r="S54" s="18">
        <v>150000</v>
      </c>
      <c r="T54" s="18">
        <v>100000</v>
      </c>
      <c r="U54" s="6">
        <f t="shared" si="9"/>
        <v>6600</v>
      </c>
      <c r="V54" s="1"/>
      <c r="W54" s="1"/>
      <c r="X54" s="1"/>
      <c r="Y54" s="3"/>
    </row>
    <row r="55" spans="1:26" ht="22.9" customHeight="1" x14ac:dyDescent="0.25">
      <c r="A55" s="36" t="s">
        <v>1197</v>
      </c>
      <c r="B55" s="9" t="s">
        <v>126</v>
      </c>
      <c r="C55" s="1">
        <f t="shared" si="42"/>
        <v>3943000</v>
      </c>
      <c r="D55" s="2">
        <f t="shared" si="43"/>
        <v>273000</v>
      </c>
      <c r="E55" s="2">
        <f>390*700</f>
        <v>273000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34">
        <v>0</v>
      </c>
      <c r="L55" s="18">
        <v>0</v>
      </c>
      <c r="M55" s="18">
        <v>300</v>
      </c>
      <c r="N55" s="2">
        <f t="shared" si="40"/>
        <v>1980000</v>
      </c>
      <c r="O55" s="18">
        <v>0</v>
      </c>
      <c r="P55" s="18">
        <v>0</v>
      </c>
      <c r="Q55" s="18">
        <v>450</v>
      </c>
      <c r="R55" s="18">
        <f t="shared" si="44"/>
        <v>1440000</v>
      </c>
      <c r="S55" s="18">
        <v>150000</v>
      </c>
      <c r="T55" s="18">
        <v>100000</v>
      </c>
      <c r="U55" s="6">
        <f t="shared" si="9"/>
        <v>6600</v>
      </c>
      <c r="V55" s="1"/>
      <c r="W55" s="1"/>
      <c r="X55" s="1"/>
      <c r="Y55" s="1"/>
      <c r="Z55" s="3"/>
    </row>
    <row r="56" spans="1:26" ht="45" customHeight="1" x14ac:dyDescent="0.25">
      <c r="A56" s="43" t="s">
        <v>131</v>
      </c>
      <c r="B56" s="43"/>
      <c r="C56" s="1">
        <f>SUM(C57:C66)</f>
        <v>57214348</v>
      </c>
      <c r="D56" s="1">
        <f t="shared" ref="D56:T56" si="45">SUM(D57:D66)</f>
        <v>23192140</v>
      </c>
      <c r="E56" s="1">
        <f t="shared" si="45"/>
        <v>5830958</v>
      </c>
      <c r="F56" s="1">
        <f t="shared" si="45"/>
        <v>9812842</v>
      </c>
      <c r="G56" s="1">
        <f t="shared" si="45"/>
        <v>2264502</v>
      </c>
      <c r="H56" s="1">
        <f t="shared" si="45"/>
        <v>3019336</v>
      </c>
      <c r="I56" s="1">
        <f t="shared" si="45"/>
        <v>2264502</v>
      </c>
      <c r="J56" s="1">
        <f t="shared" si="45"/>
        <v>0</v>
      </c>
      <c r="K56" s="33">
        <f t="shared" si="45"/>
        <v>0</v>
      </c>
      <c r="L56" s="1">
        <f t="shared" si="45"/>
        <v>0</v>
      </c>
      <c r="M56" s="1">
        <f t="shared" si="45"/>
        <v>1785.6</v>
      </c>
      <c r="N56" s="1">
        <f t="shared" si="45"/>
        <v>11784960</v>
      </c>
      <c r="O56" s="1">
        <f t="shared" si="45"/>
        <v>0</v>
      </c>
      <c r="P56" s="1">
        <f t="shared" si="45"/>
        <v>0</v>
      </c>
      <c r="Q56" s="1">
        <f t="shared" si="45"/>
        <v>6636.6399999999994</v>
      </c>
      <c r="R56" s="1">
        <f t="shared" si="45"/>
        <v>21237248</v>
      </c>
      <c r="S56" s="1">
        <f t="shared" si="45"/>
        <v>0</v>
      </c>
      <c r="T56" s="1">
        <f t="shared" si="45"/>
        <v>1000000</v>
      </c>
      <c r="U56" s="3" t="e">
        <f>C56+#REF!+#REF!</f>
        <v>#REF!</v>
      </c>
    </row>
    <row r="57" spans="1:26" ht="22.9" customHeight="1" x14ac:dyDescent="0.25">
      <c r="A57" s="36" t="s">
        <v>1198</v>
      </c>
      <c r="B57" s="9" t="s">
        <v>132</v>
      </c>
      <c r="C57" s="1">
        <f t="shared" ref="C57:C66" si="46">D57+L57+N57+P57+R57+S57+T57</f>
        <v>3805450</v>
      </c>
      <c r="D57" s="2">
        <f t="shared" ref="D57:D66" si="47">SUM(E57:J57)</f>
        <v>247029.99999999997</v>
      </c>
      <c r="E57" s="2">
        <f>352.9*700</f>
        <v>247029.99999999997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1">
        <v>0</v>
      </c>
      <c r="L57" s="2">
        <v>0</v>
      </c>
      <c r="M57" s="2">
        <v>352.9</v>
      </c>
      <c r="N57" s="2">
        <f t="shared" si="40"/>
        <v>2329140</v>
      </c>
      <c r="O57" s="2">
        <v>0</v>
      </c>
      <c r="P57" s="2">
        <v>0</v>
      </c>
      <c r="Q57" s="2">
        <v>352.9</v>
      </c>
      <c r="R57" s="18">
        <f t="shared" ref="R57:R62" si="48">Q57*3200</f>
        <v>1129280</v>
      </c>
      <c r="S57" s="2">
        <v>0</v>
      </c>
      <c r="T57" s="18">
        <v>100000</v>
      </c>
      <c r="U57" s="6">
        <f t="shared" si="9"/>
        <v>6600</v>
      </c>
      <c r="V57" s="1"/>
      <c r="W57" s="1"/>
      <c r="X57" s="1"/>
      <c r="Y57" s="3"/>
    </row>
    <row r="58" spans="1:26" ht="22.9" customHeight="1" x14ac:dyDescent="0.25">
      <c r="A58" s="36" t="s">
        <v>1199</v>
      </c>
      <c r="B58" s="9" t="s">
        <v>133</v>
      </c>
      <c r="C58" s="1">
        <f t="shared" si="46"/>
        <v>3648280</v>
      </c>
      <c r="D58" s="2">
        <f t="shared" si="47"/>
        <v>1716600.0000000002</v>
      </c>
      <c r="E58" s="2">
        <f>572.2*700</f>
        <v>400540.00000000006</v>
      </c>
      <c r="F58" s="2">
        <f>572.2*1300</f>
        <v>743860.00000000012</v>
      </c>
      <c r="G58" s="2">
        <f>572.2*300</f>
        <v>171660</v>
      </c>
      <c r="H58" s="2">
        <f>572.2*400</f>
        <v>228880.00000000003</v>
      </c>
      <c r="I58" s="2">
        <f>572.2*300</f>
        <v>171660</v>
      </c>
      <c r="J58" s="2">
        <v>0</v>
      </c>
      <c r="K58" s="21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572.4</v>
      </c>
      <c r="R58" s="18">
        <f t="shared" si="48"/>
        <v>1831680</v>
      </c>
      <c r="S58" s="2">
        <v>0</v>
      </c>
      <c r="T58" s="18">
        <v>100000</v>
      </c>
      <c r="U58" s="6" t="e">
        <f t="shared" si="9"/>
        <v>#DIV/0!</v>
      </c>
      <c r="V58" s="1"/>
      <c r="W58" s="1"/>
      <c r="X58" s="1"/>
      <c r="Y58" s="3"/>
    </row>
    <row r="59" spans="1:26" ht="22.9" customHeight="1" x14ac:dyDescent="0.25">
      <c r="A59" s="36" t="s">
        <v>1200</v>
      </c>
      <c r="B59" s="9" t="s">
        <v>134</v>
      </c>
      <c r="C59" s="1">
        <f t="shared" si="46"/>
        <v>3785900</v>
      </c>
      <c r="D59" s="2">
        <f t="shared" si="47"/>
        <v>1783500</v>
      </c>
      <c r="E59" s="2">
        <f>594.5*700</f>
        <v>416150</v>
      </c>
      <c r="F59" s="2">
        <f>594.5*1300</f>
        <v>772850</v>
      </c>
      <c r="G59" s="2">
        <f>594.5*300</f>
        <v>178350</v>
      </c>
      <c r="H59" s="2">
        <f>594.5*400</f>
        <v>237800</v>
      </c>
      <c r="I59" s="2">
        <f>594.5*300</f>
        <v>178350</v>
      </c>
      <c r="J59" s="2">
        <v>0</v>
      </c>
      <c r="K59" s="21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594.5</v>
      </c>
      <c r="R59" s="18">
        <f t="shared" si="48"/>
        <v>1902400</v>
      </c>
      <c r="S59" s="2">
        <v>0</v>
      </c>
      <c r="T59" s="18">
        <v>100000</v>
      </c>
      <c r="U59" s="6" t="e">
        <f t="shared" si="9"/>
        <v>#DIV/0!</v>
      </c>
      <c r="V59" s="1"/>
      <c r="W59" s="1"/>
      <c r="X59" s="1"/>
      <c r="Y59" s="3"/>
    </row>
    <row r="60" spans="1:26" ht="22.9" customHeight="1" x14ac:dyDescent="0.25">
      <c r="A60" s="36" t="s">
        <v>1201</v>
      </c>
      <c r="B60" s="9" t="s">
        <v>135</v>
      </c>
      <c r="C60" s="1">
        <f t="shared" si="46"/>
        <v>3563940.0000000005</v>
      </c>
      <c r="D60" s="2">
        <f t="shared" si="47"/>
        <v>1676100.0000000002</v>
      </c>
      <c r="E60" s="2">
        <f>558.7*700</f>
        <v>391090.00000000006</v>
      </c>
      <c r="F60" s="2">
        <f>558.7*1300</f>
        <v>726310.00000000012</v>
      </c>
      <c r="G60" s="2">
        <f>558.7*300</f>
        <v>167610</v>
      </c>
      <c r="H60" s="2">
        <f>558.7*400</f>
        <v>223480.00000000003</v>
      </c>
      <c r="I60" s="2">
        <f>558.7*300</f>
        <v>167610</v>
      </c>
      <c r="J60" s="2">
        <v>0</v>
      </c>
      <c r="K60" s="21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558.70000000000005</v>
      </c>
      <c r="R60" s="18">
        <f t="shared" si="48"/>
        <v>1787840.0000000002</v>
      </c>
      <c r="S60" s="2">
        <v>0</v>
      </c>
      <c r="T60" s="18">
        <v>100000</v>
      </c>
      <c r="U60" s="6" t="e">
        <f t="shared" si="9"/>
        <v>#DIV/0!</v>
      </c>
      <c r="V60" s="1"/>
      <c r="W60" s="1"/>
      <c r="X60" s="1"/>
      <c r="Y60" s="3"/>
    </row>
    <row r="61" spans="1:26" ht="22.9" customHeight="1" x14ac:dyDescent="0.25">
      <c r="A61" s="36" t="s">
        <v>1202</v>
      </c>
      <c r="B61" s="9" t="s">
        <v>136</v>
      </c>
      <c r="C61" s="1">
        <f t="shared" si="46"/>
        <v>3624080</v>
      </c>
      <c r="D61" s="2">
        <f t="shared" si="47"/>
        <v>1705200</v>
      </c>
      <c r="E61" s="2">
        <f>568.4*700</f>
        <v>397880</v>
      </c>
      <c r="F61" s="2">
        <f>568.4*1300</f>
        <v>738920</v>
      </c>
      <c r="G61" s="2">
        <f>568.4*300</f>
        <v>170520</v>
      </c>
      <c r="H61" s="2">
        <f>568.4*400</f>
        <v>227360</v>
      </c>
      <c r="I61" s="2">
        <f>568.4*300</f>
        <v>170520</v>
      </c>
      <c r="J61" s="2">
        <v>0</v>
      </c>
      <c r="K61" s="21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568.4</v>
      </c>
      <c r="R61" s="18">
        <f t="shared" si="48"/>
        <v>1818880</v>
      </c>
      <c r="S61" s="2">
        <v>0</v>
      </c>
      <c r="T61" s="18">
        <v>100000</v>
      </c>
      <c r="U61" s="6" t="e">
        <f t="shared" si="9"/>
        <v>#DIV/0!</v>
      </c>
      <c r="V61" s="1"/>
      <c r="W61" s="1"/>
      <c r="X61" s="1"/>
      <c r="Y61" s="3"/>
    </row>
    <row r="62" spans="1:26" ht="22.9" customHeight="1" x14ac:dyDescent="0.25">
      <c r="A62" s="36" t="s">
        <v>1203</v>
      </c>
      <c r="B62" s="9" t="s">
        <v>137</v>
      </c>
      <c r="C62" s="1">
        <f t="shared" si="46"/>
        <v>4601350</v>
      </c>
      <c r="D62" s="2">
        <f t="shared" si="47"/>
        <v>300090</v>
      </c>
      <c r="E62" s="2">
        <f>428.7*700</f>
        <v>300090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1">
        <v>0</v>
      </c>
      <c r="L62" s="2">
        <v>0</v>
      </c>
      <c r="M62" s="2">
        <v>428.7</v>
      </c>
      <c r="N62" s="2">
        <f t="shared" ref="N62" si="49">M62*6600</f>
        <v>2829420</v>
      </c>
      <c r="O62" s="2">
        <v>0</v>
      </c>
      <c r="P62" s="2">
        <v>0</v>
      </c>
      <c r="Q62" s="2">
        <v>428.7</v>
      </c>
      <c r="R62" s="18">
        <f t="shared" si="48"/>
        <v>1371840</v>
      </c>
      <c r="S62" s="2">
        <v>0</v>
      </c>
      <c r="T62" s="18">
        <v>100000</v>
      </c>
      <c r="U62" s="6">
        <f t="shared" si="9"/>
        <v>6600</v>
      </c>
      <c r="V62" s="1"/>
      <c r="W62" s="1"/>
      <c r="X62" s="1"/>
      <c r="Y62" s="3"/>
    </row>
    <row r="63" spans="1:26" ht="22.9" customHeight="1" x14ac:dyDescent="0.25">
      <c r="A63" s="36" t="s">
        <v>1204</v>
      </c>
      <c r="B63" s="9" t="s">
        <v>138</v>
      </c>
      <c r="C63" s="1">
        <f t="shared" si="46"/>
        <v>985900</v>
      </c>
      <c r="D63" s="2">
        <f t="shared" si="47"/>
        <v>885900</v>
      </c>
      <c r="E63" s="2">
        <f>295.3*700</f>
        <v>206710</v>
      </c>
      <c r="F63" s="2">
        <f>295.3*1300</f>
        <v>383890</v>
      </c>
      <c r="G63" s="2">
        <f>295.3*300</f>
        <v>88590</v>
      </c>
      <c r="H63" s="2">
        <f>295.3*400</f>
        <v>118120</v>
      </c>
      <c r="I63" s="2">
        <f>295.3*300</f>
        <v>88590</v>
      </c>
      <c r="J63" s="2">
        <v>0</v>
      </c>
      <c r="K63" s="21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18">
        <v>100000</v>
      </c>
      <c r="U63" s="6" t="e">
        <f t="shared" si="9"/>
        <v>#DIV/0!</v>
      </c>
      <c r="V63" s="1"/>
      <c r="W63" s="1"/>
      <c r="X63" s="1"/>
      <c r="Y63" s="3"/>
    </row>
    <row r="64" spans="1:26" ht="22.9" customHeight="1" x14ac:dyDescent="0.25">
      <c r="A64" s="36" t="s">
        <v>1205</v>
      </c>
      <c r="B64" s="9" t="s">
        <v>139</v>
      </c>
      <c r="C64" s="1">
        <f t="shared" si="46"/>
        <v>4294600</v>
      </c>
      <c r="D64" s="2">
        <f t="shared" si="47"/>
        <v>4194600</v>
      </c>
      <c r="E64" s="2">
        <f>1398.2*700</f>
        <v>978740</v>
      </c>
      <c r="F64" s="2">
        <f>1398.2*1300</f>
        <v>1817660</v>
      </c>
      <c r="G64" s="2">
        <f>1398.2*300</f>
        <v>419460</v>
      </c>
      <c r="H64" s="2">
        <f>1398.2*400</f>
        <v>559280</v>
      </c>
      <c r="I64" s="2">
        <f>1398.2*300</f>
        <v>419460</v>
      </c>
      <c r="J64" s="2">
        <v>0</v>
      </c>
      <c r="K64" s="21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18">
        <v>100000</v>
      </c>
      <c r="U64" s="6" t="e">
        <f t="shared" si="9"/>
        <v>#DIV/0!</v>
      </c>
      <c r="V64" s="1"/>
      <c r="W64" s="1"/>
      <c r="X64" s="1"/>
      <c r="Y64" s="3"/>
    </row>
    <row r="65" spans="1:26" ht="22.9" customHeight="1" x14ac:dyDescent="0.25">
      <c r="A65" s="36" t="s">
        <v>1206</v>
      </c>
      <c r="B65" s="9" t="s">
        <v>140</v>
      </c>
      <c r="C65" s="1">
        <f t="shared" si="46"/>
        <v>6525600</v>
      </c>
      <c r="D65" s="2">
        <f t="shared" si="47"/>
        <v>1506000</v>
      </c>
      <c r="E65" s="2">
        <f>502*700</f>
        <v>351400</v>
      </c>
      <c r="F65" s="2">
        <f>502*1300</f>
        <v>652600</v>
      </c>
      <c r="G65" s="2">
        <f>502*300</f>
        <v>150600</v>
      </c>
      <c r="H65" s="2">
        <f>502*400</f>
        <v>200800</v>
      </c>
      <c r="I65" s="2">
        <f>502*300</f>
        <v>150600</v>
      </c>
      <c r="J65" s="2">
        <v>0</v>
      </c>
      <c r="K65" s="21">
        <v>0</v>
      </c>
      <c r="L65" s="2">
        <v>0</v>
      </c>
      <c r="M65" s="2">
        <v>502</v>
      </c>
      <c r="N65" s="2">
        <f t="shared" ref="N65:N66" si="50">M65*6600</f>
        <v>3313200</v>
      </c>
      <c r="O65" s="2">
        <v>0</v>
      </c>
      <c r="P65" s="2">
        <v>0</v>
      </c>
      <c r="Q65" s="2">
        <v>502</v>
      </c>
      <c r="R65" s="18">
        <f t="shared" ref="R65:R66" si="51">Q65*3200</f>
        <v>1606400</v>
      </c>
      <c r="S65" s="2">
        <v>0</v>
      </c>
      <c r="T65" s="18">
        <v>100000</v>
      </c>
      <c r="U65" s="6">
        <f t="shared" si="9"/>
        <v>6600</v>
      </c>
      <c r="V65" s="1"/>
      <c r="W65" s="1"/>
      <c r="X65" s="1"/>
      <c r="Y65" s="3"/>
    </row>
    <row r="66" spans="1:26" ht="22.9" customHeight="1" x14ac:dyDescent="0.25">
      <c r="A66" s="36" t="s">
        <v>1207</v>
      </c>
      <c r="B66" s="9" t="s">
        <v>141</v>
      </c>
      <c r="C66" s="1">
        <f t="shared" si="46"/>
        <v>22379248</v>
      </c>
      <c r="D66" s="2">
        <f t="shared" si="47"/>
        <v>9177120</v>
      </c>
      <c r="E66" s="2">
        <f>3059.04*700</f>
        <v>2141328</v>
      </c>
      <c r="F66" s="2">
        <f>3059.04*1300</f>
        <v>3976752</v>
      </c>
      <c r="G66" s="2">
        <f>3059.04*300</f>
        <v>917712</v>
      </c>
      <c r="H66" s="2">
        <f>3059.04*400</f>
        <v>1223616</v>
      </c>
      <c r="I66" s="2">
        <f>3059.04*300</f>
        <v>917712</v>
      </c>
      <c r="J66" s="2">
        <v>0</v>
      </c>
      <c r="K66" s="21">
        <v>0</v>
      </c>
      <c r="L66" s="2">
        <v>0</v>
      </c>
      <c r="M66" s="2">
        <v>502</v>
      </c>
      <c r="N66" s="2">
        <f t="shared" si="50"/>
        <v>3313200</v>
      </c>
      <c r="O66" s="2">
        <v>0</v>
      </c>
      <c r="P66" s="2">
        <v>0</v>
      </c>
      <c r="Q66" s="2">
        <v>3059.04</v>
      </c>
      <c r="R66" s="18">
        <f t="shared" si="51"/>
        <v>9788928</v>
      </c>
      <c r="S66" s="2">
        <v>0</v>
      </c>
      <c r="T66" s="18">
        <v>100000</v>
      </c>
      <c r="U66" s="6">
        <f t="shared" si="9"/>
        <v>6600</v>
      </c>
      <c r="V66" s="1"/>
      <c r="W66" s="1"/>
      <c r="X66" s="1"/>
      <c r="Y66" s="1"/>
      <c r="Z66" s="3"/>
    </row>
    <row r="67" spans="1:26" ht="40.15" customHeight="1" x14ac:dyDescent="0.25">
      <c r="A67" s="43" t="s">
        <v>162</v>
      </c>
      <c r="B67" s="43"/>
      <c r="C67" s="1">
        <f>SUM(C68:C70)</f>
        <v>8314250</v>
      </c>
      <c r="D67" s="1">
        <f t="shared" ref="D67:T67" si="52">SUM(D68:D70)</f>
        <v>3675390</v>
      </c>
      <c r="E67" s="1">
        <f t="shared" si="52"/>
        <v>857430</v>
      </c>
      <c r="F67" s="1">
        <f t="shared" si="52"/>
        <v>1592760</v>
      </c>
      <c r="G67" s="1">
        <f t="shared" si="52"/>
        <v>367560</v>
      </c>
      <c r="H67" s="1">
        <f t="shared" si="52"/>
        <v>490080</v>
      </c>
      <c r="I67" s="1">
        <f t="shared" si="52"/>
        <v>367560</v>
      </c>
      <c r="J67" s="1">
        <f t="shared" si="52"/>
        <v>0</v>
      </c>
      <c r="K67" s="33">
        <f t="shared" si="52"/>
        <v>0</v>
      </c>
      <c r="L67" s="1">
        <f t="shared" si="52"/>
        <v>0</v>
      </c>
      <c r="M67" s="1">
        <f t="shared" si="52"/>
        <v>390.7</v>
      </c>
      <c r="N67" s="1">
        <f t="shared" si="52"/>
        <v>2578620</v>
      </c>
      <c r="O67" s="1">
        <f t="shared" si="52"/>
        <v>50</v>
      </c>
      <c r="P67" s="1">
        <f t="shared" si="52"/>
        <v>60000</v>
      </c>
      <c r="Q67" s="1">
        <f t="shared" si="52"/>
        <v>390.7</v>
      </c>
      <c r="R67" s="1">
        <f t="shared" si="52"/>
        <v>1250240</v>
      </c>
      <c r="S67" s="1">
        <f t="shared" si="52"/>
        <v>450000</v>
      </c>
      <c r="T67" s="1">
        <f t="shared" si="52"/>
        <v>300000</v>
      </c>
      <c r="U67" s="3" t="e">
        <f>C67+#REF!+#REF!</f>
        <v>#REF!</v>
      </c>
    </row>
    <row r="68" spans="1:26" ht="22.9" customHeight="1" x14ac:dyDescent="0.25">
      <c r="A68" s="36" t="s">
        <v>1208</v>
      </c>
      <c r="B68" s="9" t="s">
        <v>163</v>
      </c>
      <c r="C68" s="1">
        <f t="shared" ref="C68" si="53">D68+L68+N68+P68+R68+S68+T68</f>
        <v>1510300</v>
      </c>
      <c r="D68" s="2">
        <f t="shared" ref="D68" si="54">SUM(E68:J68)</f>
        <v>1260300</v>
      </c>
      <c r="E68" s="2">
        <f>420.1*700</f>
        <v>294070</v>
      </c>
      <c r="F68" s="2">
        <f>420.1*1300</f>
        <v>546130</v>
      </c>
      <c r="G68" s="2">
        <f>420.1*300</f>
        <v>126030</v>
      </c>
      <c r="H68" s="2">
        <f>420.1*400</f>
        <v>168040</v>
      </c>
      <c r="I68" s="2">
        <f>420.1*300</f>
        <v>126030</v>
      </c>
      <c r="J68" s="2">
        <v>0</v>
      </c>
      <c r="K68" s="21">
        <v>0</v>
      </c>
      <c r="L68" s="2">
        <v>0</v>
      </c>
      <c r="M68" s="2">
        <v>0</v>
      </c>
      <c r="N68" s="2">
        <f t="shared" ref="N68" si="55">M68*6600</f>
        <v>0</v>
      </c>
      <c r="O68" s="2">
        <v>0</v>
      </c>
      <c r="P68" s="2">
        <v>0</v>
      </c>
      <c r="Q68" s="2">
        <v>0</v>
      </c>
      <c r="R68" s="18">
        <f t="shared" ref="R68" si="56">Q68*3200</f>
        <v>0</v>
      </c>
      <c r="S68" s="2">
        <v>150000</v>
      </c>
      <c r="T68" s="18">
        <v>100000</v>
      </c>
      <c r="U68" s="6" t="e">
        <f t="shared" si="9"/>
        <v>#DIV/0!</v>
      </c>
      <c r="V68" s="1"/>
      <c r="W68" s="1"/>
      <c r="X68" s="1"/>
      <c r="Y68" s="3"/>
    </row>
    <row r="69" spans="1:26" ht="22.9" customHeight="1" x14ac:dyDescent="0.25">
      <c r="A69" s="36" t="s">
        <v>1209</v>
      </c>
      <c r="B69" s="9" t="s">
        <v>164</v>
      </c>
      <c r="C69" s="1">
        <f t="shared" ref="C69" si="57">D69+L69+N69+P69+R69+S69+T69</f>
        <v>1492990</v>
      </c>
      <c r="D69" s="2">
        <f t="shared" ref="D69" si="58">SUM(E69:J69)</f>
        <v>1242990</v>
      </c>
      <c r="E69" s="2">
        <f>414.1*700</f>
        <v>289870</v>
      </c>
      <c r="F69" s="2">
        <f>414.4*1300</f>
        <v>538720</v>
      </c>
      <c r="G69" s="2">
        <f>414.4*300</f>
        <v>124320</v>
      </c>
      <c r="H69" s="2">
        <f>414.4*400</f>
        <v>165760</v>
      </c>
      <c r="I69" s="2">
        <f>414.4*300</f>
        <v>124320</v>
      </c>
      <c r="J69" s="2">
        <v>0</v>
      </c>
      <c r="K69" s="21">
        <v>0</v>
      </c>
      <c r="L69" s="2">
        <v>0</v>
      </c>
      <c r="M69" s="2">
        <v>0</v>
      </c>
      <c r="N69" s="2">
        <f t="shared" ref="N69:N70" si="59">M69*6600</f>
        <v>0</v>
      </c>
      <c r="O69" s="2">
        <v>0</v>
      </c>
      <c r="P69" s="2">
        <v>0</v>
      </c>
      <c r="Q69" s="2">
        <v>0</v>
      </c>
      <c r="R69" s="18">
        <f t="shared" ref="R69:R70" si="60">Q69*3200</f>
        <v>0</v>
      </c>
      <c r="S69" s="2">
        <v>150000</v>
      </c>
      <c r="T69" s="18">
        <v>100000</v>
      </c>
      <c r="U69" s="6" t="e">
        <f t="shared" si="9"/>
        <v>#DIV/0!</v>
      </c>
      <c r="V69" s="1"/>
      <c r="W69" s="1"/>
      <c r="X69" s="1"/>
      <c r="Y69" s="3"/>
    </row>
    <row r="70" spans="1:26" ht="22.9" customHeight="1" x14ac:dyDescent="0.25">
      <c r="A70" s="36" t="s">
        <v>1210</v>
      </c>
      <c r="B70" s="9" t="s">
        <v>165</v>
      </c>
      <c r="C70" s="1">
        <f t="shared" ref="C70" si="61">D70+L70+N70+P70+R70+S70+T70</f>
        <v>5310960</v>
      </c>
      <c r="D70" s="2">
        <f t="shared" ref="D70" si="62">SUM(E70:J70)</f>
        <v>1172100</v>
      </c>
      <c r="E70" s="2">
        <f>390.7*700</f>
        <v>273490</v>
      </c>
      <c r="F70" s="2">
        <f>390.7*1300</f>
        <v>507910</v>
      </c>
      <c r="G70" s="2">
        <f>390.7*300</f>
        <v>117210</v>
      </c>
      <c r="H70" s="2">
        <f>390.7*400</f>
        <v>156280</v>
      </c>
      <c r="I70" s="2">
        <f>390.7*300</f>
        <v>117210</v>
      </c>
      <c r="J70" s="2">
        <v>0</v>
      </c>
      <c r="K70" s="33"/>
      <c r="L70" s="1"/>
      <c r="M70" s="2">
        <v>390.7</v>
      </c>
      <c r="N70" s="2">
        <f t="shared" si="59"/>
        <v>2578620</v>
      </c>
      <c r="O70" s="2">
        <v>50</v>
      </c>
      <c r="P70" s="2">
        <f>O70*1200</f>
        <v>60000</v>
      </c>
      <c r="Q70" s="2">
        <v>390.7</v>
      </c>
      <c r="R70" s="2">
        <f t="shared" si="60"/>
        <v>1250240</v>
      </c>
      <c r="S70" s="2">
        <v>150000</v>
      </c>
      <c r="T70" s="18">
        <v>100000</v>
      </c>
      <c r="U70" s="6">
        <f t="shared" si="9"/>
        <v>6600</v>
      </c>
      <c r="V70" s="1"/>
      <c r="W70" s="1"/>
      <c r="X70" s="1"/>
      <c r="Y70" s="3"/>
    </row>
    <row r="71" spans="1:26" ht="45" customHeight="1" x14ac:dyDescent="0.25">
      <c r="A71" s="43" t="s">
        <v>172</v>
      </c>
      <c r="B71" s="43"/>
      <c r="C71" s="1">
        <f>SUM(C72:C74)</f>
        <v>7597500</v>
      </c>
      <c r="D71" s="1">
        <f t="shared" ref="D71:T71" si="63">SUM(D72:D74)</f>
        <v>4553700</v>
      </c>
      <c r="E71" s="1">
        <f t="shared" si="63"/>
        <v>1062530</v>
      </c>
      <c r="F71" s="1">
        <f t="shared" si="63"/>
        <v>1973270</v>
      </c>
      <c r="G71" s="1">
        <f t="shared" si="63"/>
        <v>455370</v>
      </c>
      <c r="H71" s="1">
        <f t="shared" si="63"/>
        <v>607160</v>
      </c>
      <c r="I71" s="1">
        <f t="shared" si="63"/>
        <v>455370</v>
      </c>
      <c r="J71" s="1">
        <f t="shared" si="63"/>
        <v>0</v>
      </c>
      <c r="K71" s="33">
        <f t="shared" si="63"/>
        <v>0</v>
      </c>
      <c r="L71" s="1">
        <f t="shared" si="63"/>
        <v>0</v>
      </c>
      <c r="M71" s="1">
        <f t="shared" si="63"/>
        <v>393</v>
      </c>
      <c r="N71" s="1">
        <f t="shared" si="63"/>
        <v>2593800</v>
      </c>
      <c r="O71" s="1">
        <f t="shared" si="63"/>
        <v>0</v>
      </c>
      <c r="P71" s="1">
        <f t="shared" si="63"/>
        <v>0</v>
      </c>
      <c r="Q71" s="1">
        <f t="shared" si="63"/>
        <v>0</v>
      </c>
      <c r="R71" s="1">
        <f t="shared" si="63"/>
        <v>0</v>
      </c>
      <c r="S71" s="1">
        <f t="shared" si="63"/>
        <v>150000</v>
      </c>
      <c r="T71" s="1">
        <f t="shared" si="63"/>
        <v>300000</v>
      </c>
      <c r="U71" s="3" t="e">
        <f>C71+#REF!+#REF!</f>
        <v>#REF!</v>
      </c>
    </row>
    <row r="72" spans="1:26" ht="22.9" customHeight="1" x14ac:dyDescent="0.25">
      <c r="A72" s="36" t="s">
        <v>1211</v>
      </c>
      <c r="B72" s="9" t="s">
        <v>173</v>
      </c>
      <c r="C72" s="1">
        <f t="shared" ref="C72" si="64">D72+L72+N72+P72+R72+S72+T72</f>
        <v>4022800</v>
      </c>
      <c r="D72" s="2">
        <f t="shared" ref="D72" si="65">SUM(E72:J72)</f>
        <v>1179000</v>
      </c>
      <c r="E72" s="2">
        <f>393*700</f>
        <v>275100</v>
      </c>
      <c r="F72" s="2">
        <f>393*1300</f>
        <v>510900</v>
      </c>
      <c r="G72" s="2">
        <f>393*300</f>
        <v>117900</v>
      </c>
      <c r="H72" s="2">
        <f>393*400</f>
        <v>157200</v>
      </c>
      <c r="I72" s="2">
        <f>393*300</f>
        <v>117900</v>
      </c>
      <c r="J72" s="2">
        <v>0</v>
      </c>
      <c r="K72" s="21">
        <v>0</v>
      </c>
      <c r="L72" s="2">
        <v>0</v>
      </c>
      <c r="M72" s="2">
        <v>393</v>
      </c>
      <c r="N72" s="2">
        <f t="shared" ref="N72" si="66">M72*6600</f>
        <v>2593800</v>
      </c>
      <c r="O72" s="2">
        <v>0</v>
      </c>
      <c r="P72" s="2">
        <v>0</v>
      </c>
      <c r="Q72" s="2">
        <v>0</v>
      </c>
      <c r="R72" s="2">
        <v>0</v>
      </c>
      <c r="S72" s="2">
        <v>150000</v>
      </c>
      <c r="T72" s="18">
        <v>100000</v>
      </c>
      <c r="U72" s="6">
        <f t="shared" si="9"/>
        <v>6600</v>
      </c>
      <c r="V72" s="1"/>
      <c r="W72" s="1"/>
      <c r="X72" s="1"/>
      <c r="Y72" s="3"/>
    </row>
    <row r="73" spans="1:26" ht="22.9" customHeight="1" x14ac:dyDescent="0.25">
      <c r="A73" s="36" t="s">
        <v>1212</v>
      </c>
      <c r="B73" s="9" t="s">
        <v>174</v>
      </c>
      <c r="C73" s="1">
        <f t="shared" ref="C73" si="67">D73+L73+N73+P73+R73+S73+T73</f>
        <v>1781200</v>
      </c>
      <c r="D73" s="2">
        <f t="shared" ref="D73" si="68">SUM(E73:J73)</f>
        <v>1681200</v>
      </c>
      <c r="E73" s="2">
        <f>560.4*700</f>
        <v>392280</v>
      </c>
      <c r="F73" s="2">
        <f>560.4*1300</f>
        <v>728520</v>
      </c>
      <c r="G73" s="2">
        <f>560.4*300</f>
        <v>168120</v>
      </c>
      <c r="H73" s="2">
        <f>560.4*400</f>
        <v>224160</v>
      </c>
      <c r="I73" s="2">
        <f>560.4*300</f>
        <v>168120</v>
      </c>
      <c r="J73" s="2">
        <v>0</v>
      </c>
      <c r="K73" s="21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18">
        <f t="shared" ref="S73:S74" si="69">R73*3200</f>
        <v>0</v>
      </c>
      <c r="T73" s="18">
        <v>100000</v>
      </c>
      <c r="U73" s="6" t="e">
        <f t="shared" si="9"/>
        <v>#DIV/0!</v>
      </c>
      <c r="V73" s="1"/>
      <c r="W73" s="1"/>
      <c r="X73" s="1"/>
      <c r="Y73" s="3"/>
    </row>
    <row r="74" spans="1:26" ht="22.9" customHeight="1" x14ac:dyDescent="0.25">
      <c r="A74" s="36" t="s">
        <v>1213</v>
      </c>
      <c r="B74" s="9" t="s">
        <v>175</v>
      </c>
      <c r="C74" s="1">
        <f t="shared" ref="C74" si="70">D74+L74+N74+P74+R74+S74+T74</f>
        <v>1793500</v>
      </c>
      <c r="D74" s="2">
        <f t="shared" ref="D74" si="71">SUM(E74:J74)</f>
        <v>1693500</v>
      </c>
      <c r="E74" s="2">
        <f>564.5*700</f>
        <v>395150</v>
      </c>
      <c r="F74" s="2">
        <f>564.5*1300</f>
        <v>733850</v>
      </c>
      <c r="G74" s="2">
        <f>564.5*300</f>
        <v>169350</v>
      </c>
      <c r="H74" s="2">
        <f>564.5*400</f>
        <v>225800</v>
      </c>
      <c r="I74" s="2">
        <f>564.5*300</f>
        <v>169350</v>
      </c>
      <c r="J74" s="2">
        <v>0</v>
      </c>
      <c r="K74" s="21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18">
        <f t="shared" si="69"/>
        <v>0</v>
      </c>
      <c r="T74" s="18">
        <v>100000</v>
      </c>
      <c r="U74" s="6" t="e">
        <f t="shared" si="9"/>
        <v>#DIV/0!</v>
      </c>
      <c r="V74" s="1"/>
      <c r="W74" s="1"/>
      <c r="X74" s="1"/>
      <c r="Y74" s="3"/>
    </row>
    <row r="75" spans="1:26" ht="45" customHeight="1" x14ac:dyDescent="0.25">
      <c r="A75" s="43" t="s">
        <v>181</v>
      </c>
      <c r="B75" s="43"/>
      <c r="C75" s="1">
        <f>SUM(C76:C77)</f>
        <v>6368128</v>
      </c>
      <c r="D75" s="1">
        <f t="shared" ref="D75:T75" si="72">SUM(D76:D77)</f>
        <v>0</v>
      </c>
      <c r="E75" s="1">
        <f t="shared" si="72"/>
        <v>0</v>
      </c>
      <c r="F75" s="1">
        <f t="shared" si="72"/>
        <v>0</v>
      </c>
      <c r="G75" s="1">
        <f t="shared" si="72"/>
        <v>0</v>
      </c>
      <c r="H75" s="1">
        <f t="shared" si="72"/>
        <v>0</v>
      </c>
      <c r="I75" s="1">
        <f t="shared" si="72"/>
        <v>0</v>
      </c>
      <c r="J75" s="1">
        <f t="shared" si="72"/>
        <v>0</v>
      </c>
      <c r="K75" s="33">
        <f t="shared" si="72"/>
        <v>0</v>
      </c>
      <c r="L75" s="1">
        <f t="shared" si="72"/>
        <v>0</v>
      </c>
      <c r="M75" s="1">
        <f t="shared" si="72"/>
        <v>0</v>
      </c>
      <c r="N75" s="1">
        <f t="shared" si="72"/>
        <v>0</v>
      </c>
      <c r="O75" s="1">
        <f t="shared" si="72"/>
        <v>200</v>
      </c>
      <c r="P75" s="1">
        <f t="shared" si="72"/>
        <v>240000</v>
      </c>
      <c r="Q75" s="1">
        <f t="shared" si="72"/>
        <v>1915.04</v>
      </c>
      <c r="R75" s="1">
        <f t="shared" si="72"/>
        <v>6128128</v>
      </c>
      <c r="S75" s="1">
        <f t="shared" si="72"/>
        <v>0</v>
      </c>
      <c r="T75" s="1">
        <f t="shared" si="72"/>
        <v>0</v>
      </c>
      <c r="U75" s="3" t="e">
        <f>C75+#REF!+#REF!</f>
        <v>#REF!</v>
      </c>
    </row>
    <row r="76" spans="1:26" ht="22.9" customHeight="1" x14ac:dyDescent="0.25">
      <c r="A76" s="36" t="s">
        <v>1214</v>
      </c>
      <c r="B76" s="9" t="s">
        <v>182</v>
      </c>
      <c r="C76" s="1">
        <f t="shared" ref="C76:C77" si="73">D76+L76+N76+P76+R76+S76+T76</f>
        <v>3184064</v>
      </c>
      <c r="D76" s="2">
        <f t="shared" ref="D76:D77" si="74">SUM(E76:J76)</f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1">
        <v>0</v>
      </c>
      <c r="L76" s="2">
        <v>0</v>
      </c>
      <c r="M76" s="2">
        <v>0</v>
      </c>
      <c r="N76" s="2">
        <v>0</v>
      </c>
      <c r="O76" s="2">
        <v>100</v>
      </c>
      <c r="P76" s="2">
        <f>O76*1200</f>
        <v>120000</v>
      </c>
      <c r="Q76" s="2">
        <v>957.52</v>
      </c>
      <c r="R76" s="18">
        <f t="shared" ref="R76" si="75">Q76*3200</f>
        <v>3064064</v>
      </c>
      <c r="T76" s="2">
        <v>0</v>
      </c>
      <c r="U76" s="6" t="e">
        <f t="shared" si="9"/>
        <v>#DIV/0!</v>
      </c>
      <c r="V76" s="1"/>
      <c r="W76" s="1"/>
      <c r="X76" s="1"/>
      <c r="Y76" s="3"/>
    </row>
    <row r="77" spans="1:26" ht="22.9" customHeight="1" x14ac:dyDescent="0.25">
      <c r="A77" s="36" t="s">
        <v>1215</v>
      </c>
      <c r="B77" s="9" t="s">
        <v>183</v>
      </c>
      <c r="C77" s="1">
        <f t="shared" si="73"/>
        <v>3184064</v>
      </c>
      <c r="D77" s="2">
        <f t="shared" si="74"/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1">
        <v>0</v>
      </c>
      <c r="L77" s="2">
        <v>0</v>
      </c>
      <c r="M77" s="2">
        <v>0</v>
      </c>
      <c r="N77" s="2">
        <v>0</v>
      </c>
      <c r="O77" s="2">
        <v>100</v>
      </c>
      <c r="P77" s="2">
        <f>O77*1200</f>
        <v>120000</v>
      </c>
      <c r="Q77" s="2">
        <v>957.52</v>
      </c>
      <c r="R77" s="18">
        <f t="shared" ref="R77:R87" si="76">Q77*3200</f>
        <v>3064064</v>
      </c>
      <c r="T77" s="2">
        <v>0</v>
      </c>
      <c r="U77" s="6" t="e">
        <f t="shared" si="9"/>
        <v>#DIV/0!</v>
      </c>
      <c r="V77" s="1"/>
      <c r="W77" s="1"/>
      <c r="X77" s="1"/>
      <c r="Y77" s="3"/>
    </row>
    <row r="78" spans="1:26" ht="45" customHeight="1" x14ac:dyDescent="0.25">
      <c r="A78" s="43" t="s">
        <v>190</v>
      </c>
      <c r="B78" s="43"/>
      <c r="C78" s="1">
        <f>SUM(C79:C83)</f>
        <v>14362894</v>
      </c>
      <c r="D78" s="1">
        <f t="shared" ref="D78:T78" si="77">SUM(D79:D83)</f>
        <v>2342994</v>
      </c>
      <c r="E78" s="1">
        <f t="shared" si="77"/>
        <v>1289316</v>
      </c>
      <c r="F78" s="1">
        <f t="shared" si="77"/>
        <v>0</v>
      </c>
      <c r="G78" s="1">
        <f t="shared" si="77"/>
        <v>501114</v>
      </c>
      <c r="H78" s="1">
        <f t="shared" si="77"/>
        <v>0</v>
      </c>
      <c r="I78" s="1">
        <f t="shared" si="77"/>
        <v>552564</v>
      </c>
      <c r="J78" s="1">
        <f t="shared" si="77"/>
        <v>0</v>
      </c>
      <c r="K78" s="33">
        <f t="shared" si="77"/>
        <v>0</v>
      </c>
      <c r="L78" s="1">
        <f t="shared" si="77"/>
        <v>0</v>
      </c>
      <c r="M78" s="1">
        <f t="shared" si="77"/>
        <v>577.90000000000009</v>
      </c>
      <c r="N78" s="1">
        <f t="shared" si="77"/>
        <v>3814140</v>
      </c>
      <c r="O78" s="1">
        <f t="shared" si="77"/>
        <v>200</v>
      </c>
      <c r="P78" s="1">
        <f t="shared" si="77"/>
        <v>240000</v>
      </c>
      <c r="Q78" s="1">
        <f t="shared" si="77"/>
        <v>2364.2999999999997</v>
      </c>
      <c r="R78" s="1">
        <f t="shared" si="77"/>
        <v>7565760</v>
      </c>
      <c r="S78" s="1">
        <f t="shared" si="77"/>
        <v>0</v>
      </c>
      <c r="T78" s="1">
        <f t="shared" si="77"/>
        <v>400000</v>
      </c>
      <c r="U78" s="3" t="e">
        <f>C78+#REF!+#REF!</f>
        <v>#REF!</v>
      </c>
    </row>
    <row r="79" spans="1:26" ht="22.9" customHeight="1" x14ac:dyDescent="0.25">
      <c r="A79" s="36" t="s">
        <v>1216</v>
      </c>
      <c r="B79" s="3" t="s">
        <v>191</v>
      </c>
      <c r="C79" s="1">
        <f t="shared" ref="C79:C83" si="78">D79+L79+N79+P79+R79+S79+T79</f>
        <v>2812800</v>
      </c>
      <c r="D79" s="2">
        <f t="shared" ref="D79:D83" si="79">SUM(E79:J79)</f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1">
        <v>0</v>
      </c>
      <c r="L79" s="2">
        <v>0</v>
      </c>
      <c r="M79" s="2">
        <v>0</v>
      </c>
      <c r="N79" s="2">
        <v>0</v>
      </c>
      <c r="O79" s="2">
        <v>100</v>
      </c>
      <c r="P79" s="2">
        <f>O79*1200</f>
        <v>120000</v>
      </c>
      <c r="Q79" s="2">
        <v>841.5</v>
      </c>
      <c r="R79" s="18">
        <f t="shared" si="76"/>
        <v>2692800</v>
      </c>
      <c r="S79" s="2">
        <v>0</v>
      </c>
      <c r="T79" s="2">
        <v>0</v>
      </c>
      <c r="U79" s="6" t="e">
        <f t="shared" si="9"/>
        <v>#DIV/0!</v>
      </c>
      <c r="V79" s="1"/>
      <c r="W79" s="1"/>
      <c r="X79" s="1"/>
      <c r="Y79" s="1"/>
      <c r="Z79" s="3"/>
    </row>
    <row r="80" spans="1:26" ht="22.9" customHeight="1" x14ac:dyDescent="0.25">
      <c r="A80" s="36" t="s">
        <v>1217</v>
      </c>
      <c r="B80" s="3" t="s">
        <v>192</v>
      </c>
      <c r="C80" s="1">
        <f t="shared" si="78"/>
        <v>2068054</v>
      </c>
      <c r="D80" s="2">
        <f t="shared" si="79"/>
        <v>641654</v>
      </c>
      <c r="E80" s="2">
        <f>493.58*700</f>
        <v>345506</v>
      </c>
      <c r="F80" s="2">
        <v>0</v>
      </c>
      <c r="G80" s="2">
        <f>493.58*300</f>
        <v>148074</v>
      </c>
      <c r="H80" s="2">
        <v>0</v>
      </c>
      <c r="I80" s="2">
        <f>493.58*300</f>
        <v>148074</v>
      </c>
      <c r="J80" s="2">
        <v>0</v>
      </c>
      <c r="K80" s="21">
        <v>0</v>
      </c>
      <c r="L80" s="2">
        <v>0</v>
      </c>
      <c r="M80" s="2">
        <v>0</v>
      </c>
      <c r="N80" s="2">
        <v>0</v>
      </c>
      <c r="O80" s="2">
        <v>100</v>
      </c>
      <c r="P80" s="2">
        <f>O80*1200</f>
        <v>120000</v>
      </c>
      <c r="Q80" s="2">
        <v>377</v>
      </c>
      <c r="R80" s="18">
        <f t="shared" si="76"/>
        <v>1206400</v>
      </c>
      <c r="S80" s="2">
        <v>0</v>
      </c>
      <c r="T80" s="18">
        <v>100000</v>
      </c>
      <c r="U80" s="6" t="e">
        <f t="shared" si="9"/>
        <v>#DIV/0!</v>
      </c>
      <c r="V80" s="1"/>
      <c r="W80" s="1"/>
      <c r="X80" s="1"/>
      <c r="Y80" s="1"/>
      <c r="Z80" s="3"/>
    </row>
    <row r="81" spans="1:26" ht="22.9" customHeight="1" x14ac:dyDescent="0.25">
      <c r="A81" s="36" t="s">
        <v>1218</v>
      </c>
      <c r="B81" s="3" t="s">
        <v>193</v>
      </c>
      <c r="C81" s="1">
        <f t="shared" si="78"/>
        <v>1823800</v>
      </c>
      <c r="D81" s="2">
        <f t="shared" si="79"/>
        <v>509080</v>
      </c>
      <c r="E81" s="2">
        <f>391.6*700</f>
        <v>274120</v>
      </c>
      <c r="F81" s="2">
        <v>0</v>
      </c>
      <c r="G81" s="2">
        <f>391.6*300</f>
        <v>117480</v>
      </c>
      <c r="H81" s="2">
        <v>0</v>
      </c>
      <c r="I81" s="2">
        <f>391.6*300</f>
        <v>117480</v>
      </c>
      <c r="J81" s="2">
        <v>0</v>
      </c>
      <c r="K81" s="21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379.6</v>
      </c>
      <c r="R81" s="18">
        <f t="shared" si="76"/>
        <v>1214720</v>
      </c>
      <c r="S81" s="2">
        <v>0</v>
      </c>
      <c r="T81" s="18">
        <v>100000</v>
      </c>
      <c r="U81" s="6" t="e">
        <f t="shared" ref="U81:U83" si="80">N81/M81</f>
        <v>#DIV/0!</v>
      </c>
      <c r="V81" s="1"/>
      <c r="W81" s="1"/>
      <c r="X81" s="1"/>
      <c r="Y81" s="1"/>
      <c r="Z81" s="3"/>
    </row>
    <row r="82" spans="1:26" ht="22.9" customHeight="1" x14ac:dyDescent="0.25">
      <c r="A82" s="36" t="s">
        <v>1219</v>
      </c>
      <c r="B82" s="3" t="s">
        <v>194</v>
      </c>
      <c r="C82" s="1">
        <f t="shared" si="78"/>
        <v>3710080</v>
      </c>
      <c r="D82" s="2">
        <f t="shared" si="79"/>
        <v>509860</v>
      </c>
      <c r="E82" s="2">
        <f>392.2*700</f>
        <v>274540</v>
      </c>
      <c r="F82" s="2">
        <v>0</v>
      </c>
      <c r="G82" s="2">
        <f>392.2*300</f>
        <v>117660</v>
      </c>
      <c r="H82" s="2">
        <v>0</v>
      </c>
      <c r="I82" s="2">
        <f>392.2*300</f>
        <v>117660</v>
      </c>
      <c r="J82" s="2">
        <v>0</v>
      </c>
      <c r="K82" s="21">
        <v>0</v>
      </c>
      <c r="L82" s="2">
        <v>0</v>
      </c>
      <c r="M82" s="2">
        <v>285.10000000000002</v>
      </c>
      <c r="N82" s="2">
        <f t="shared" ref="N82:N83" si="81">M82*6600</f>
        <v>1881660.0000000002</v>
      </c>
      <c r="O82" s="2">
        <v>0</v>
      </c>
      <c r="P82" s="2">
        <v>0</v>
      </c>
      <c r="Q82" s="2">
        <v>380.8</v>
      </c>
      <c r="R82" s="18">
        <f t="shared" si="76"/>
        <v>1218560</v>
      </c>
      <c r="S82" s="2">
        <v>0</v>
      </c>
      <c r="T82" s="18">
        <v>100000</v>
      </c>
      <c r="U82" s="6">
        <f t="shared" si="80"/>
        <v>6600</v>
      </c>
      <c r="V82" s="1"/>
      <c r="W82" s="1"/>
      <c r="X82" s="1"/>
      <c r="Y82" s="1"/>
      <c r="Z82" s="3"/>
    </row>
    <row r="83" spans="1:26" ht="22.9" customHeight="1" x14ac:dyDescent="0.25">
      <c r="A83" s="36" t="s">
        <v>1220</v>
      </c>
      <c r="B83" s="3" t="s">
        <v>195</v>
      </c>
      <c r="C83" s="1">
        <f t="shared" si="78"/>
        <v>3948160</v>
      </c>
      <c r="D83" s="2">
        <f t="shared" si="79"/>
        <v>682400</v>
      </c>
      <c r="E83" s="2">
        <f t="shared" ref="E83" si="82">564.5*700</f>
        <v>395150</v>
      </c>
      <c r="F83" s="2">
        <v>0</v>
      </c>
      <c r="G83" s="2">
        <f t="shared" ref="G83" si="83">393*300</f>
        <v>117900</v>
      </c>
      <c r="H83" s="2">
        <v>0</v>
      </c>
      <c r="I83" s="2">
        <f t="shared" ref="I83" si="84">564.5*300</f>
        <v>169350</v>
      </c>
      <c r="J83" s="2">
        <v>0</v>
      </c>
      <c r="K83" s="21">
        <v>0</v>
      </c>
      <c r="L83" s="2">
        <v>0</v>
      </c>
      <c r="M83" s="2">
        <v>292.8</v>
      </c>
      <c r="N83" s="2">
        <f t="shared" si="81"/>
        <v>1932480</v>
      </c>
      <c r="O83" s="2">
        <v>0</v>
      </c>
      <c r="P83" s="2">
        <v>0</v>
      </c>
      <c r="Q83" s="2">
        <v>385.4</v>
      </c>
      <c r="R83" s="18">
        <f t="shared" si="76"/>
        <v>1233280</v>
      </c>
      <c r="S83" s="2">
        <v>0</v>
      </c>
      <c r="T83" s="18">
        <v>100000</v>
      </c>
      <c r="U83" s="6">
        <f t="shared" si="80"/>
        <v>6600</v>
      </c>
      <c r="V83" s="1"/>
      <c r="W83" s="1"/>
      <c r="X83" s="1"/>
      <c r="Y83" s="1"/>
      <c r="Z83" s="3"/>
    </row>
    <row r="84" spans="1:26" ht="45" customHeight="1" x14ac:dyDescent="0.25">
      <c r="A84" s="43" t="s">
        <v>206</v>
      </c>
      <c r="B84" s="43"/>
      <c r="C84" s="1">
        <f>SUM(C85)</f>
        <v>2574000</v>
      </c>
      <c r="D84" s="1">
        <f t="shared" ref="D84:T84" si="85">SUM(D85)</f>
        <v>874000</v>
      </c>
      <c r="E84" s="1">
        <f t="shared" si="85"/>
        <v>0</v>
      </c>
      <c r="F84" s="1">
        <f t="shared" si="85"/>
        <v>494000</v>
      </c>
      <c r="G84" s="1">
        <f t="shared" si="85"/>
        <v>114000</v>
      </c>
      <c r="H84" s="1">
        <f t="shared" si="85"/>
        <v>152000</v>
      </c>
      <c r="I84" s="1">
        <f t="shared" si="85"/>
        <v>114000</v>
      </c>
      <c r="J84" s="1">
        <f t="shared" si="85"/>
        <v>0</v>
      </c>
      <c r="K84" s="33">
        <f t="shared" si="85"/>
        <v>0</v>
      </c>
      <c r="L84" s="1">
        <f t="shared" si="85"/>
        <v>0</v>
      </c>
      <c r="M84" s="1">
        <f t="shared" si="85"/>
        <v>0</v>
      </c>
      <c r="N84" s="1">
        <f t="shared" si="85"/>
        <v>0</v>
      </c>
      <c r="O84" s="1">
        <f t="shared" si="85"/>
        <v>0</v>
      </c>
      <c r="P84" s="1">
        <f t="shared" si="85"/>
        <v>0</v>
      </c>
      <c r="Q84" s="1">
        <f t="shared" si="85"/>
        <v>500</v>
      </c>
      <c r="R84" s="1">
        <f t="shared" si="85"/>
        <v>1600000</v>
      </c>
      <c r="S84" s="1">
        <f t="shared" si="85"/>
        <v>0</v>
      </c>
      <c r="T84" s="1">
        <f t="shared" si="85"/>
        <v>100000</v>
      </c>
      <c r="U84" s="3" t="e">
        <f>C84+#REF!+#REF!</f>
        <v>#REF!</v>
      </c>
    </row>
    <row r="85" spans="1:26" ht="22.9" customHeight="1" x14ac:dyDescent="0.25">
      <c r="A85" s="36" t="s">
        <v>1221</v>
      </c>
      <c r="B85" s="9" t="s">
        <v>207</v>
      </c>
      <c r="C85" s="1">
        <f t="shared" ref="C85" si="86">D85+L85+N85+P85+R85+S85+T85</f>
        <v>2574000</v>
      </c>
      <c r="D85" s="2">
        <f t="shared" ref="D85" si="87">SUM(E85:J85)</f>
        <v>874000</v>
      </c>
      <c r="E85" s="8">
        <v>0</v>
      </c>
      <c r="F85" s="2">
        <f>380*1300</f>
        <v>494000</v>
      </c>
      <c r="G85" s="2">
        <f>380*300</f>
        <v>114000</v>
      </c>
      <c r="H85" s="2">
        <f>380*400</f>
        <v>152000</v>
      </c>
      <c r="I85" s="2">
        <f>380*300</f>
        <v>114000</v>
      </c>
      <c r="J85" s="2">
        <v>0</v>
      </c>
      <c r="K85" s="21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500</v>
      </c>
      <c r="R85" s="18">
        <f t="shared" si="76"/>
        <v>1600000</v>
      </c>
      <c r="S85" s="2">
        <v>0</v>
      </c>
      <c r="T85" s="18">
        <v>100000</v>
      </c>
      <c r="U85" s="6" t="e">
        <f t="shared" ref="U85" si="88">N85/M85</f>
        <v>#DIV/0!</v>
      </c>
      <c r="V85" s="1"/>
      <c r="W85" s="1"/>
      <c r="X85" s="1"/>
      <c r="Y85" s="1"/>
      <c r="Z85" s="3"/>
    </row>
    <row r="86" spans="1:26" ht="45" customHeight="1" x14ac:dyDescent="0.25">
      <c r="A86" s="43" t="s">
        <v>210</v>
      </c>
      <c r="B86" s="43"/>
      <c r="C86" s="1">
        <f>SUM(C87:C88)</f>
        <v>13486120</v>
      </c>
      <c r="D86" s="1">
        <f t="shared" ref="D86:T86" si="89">SUM(D87:D88)</f>
        <v>4669500</v>
      </c>
      <c r="E86" s="1">
        <f t="shared" si="89"/>
        <v>1089550</v>
      </c>
      <c r="F86" s="1">
        <f t="shared" si="89"/>
        <v>2023450</v>
      </c>
      <c r="G86" s="1">
        <f t="shared" si="89"/>
        <v>466950</v>
      </c>
      <c r="H86" s="1">
        <f t="shared" si="89"/>
        <v>622600</v>
      </c>
      <c r="I86" s="1">
        <f t="shared" si="89"/>
        <v>466950</v>
      </c>
      <c r="J86" s="1">
        <f t="shared" si="89"/>
        <v>0</v>
      </c>
      <c r="K86" s="33">
        <f t="shared" si="89"/>
        <v>0</v>
      </c>
      <c r="L86" s="1">
        <f t="shared" si="89"/>
        <v>0</v>
      </c>
      <c r="M86" s="1">
        <f t="shared" si="89"/>
        <v>996.7</v>
      </c>
      <c r="N86" s="1">
        <f t="shared" si="89"/>
        <v>6578220</v>
      </c>
      <c r="O86" s="1">
        <f t="shared" si="89"/>
        <v>0</v>
      </c>
      <c r="P86" s="1">
        <f t="shared" si="89"/>
        <v>0</v>
      </c>
      <c r="Q86" s="1">
        <f t="shared" si="89"/>
        <v>637</v>
      </c>
      <c r="R86" s="1">
        <f t="shared" si="89"/>
        <v>2038400</v>
      </c>
      <c r="S86" s="1">
        <f t="shared" si="89"/>
        <v>0</v>
      </c>
      <c r="T86" s="1">
        <f t="shared" si="89"/>
        <v>200000</v>
      </c>
      <c r="U86" s="3" t="e">
        <f>C86+#REF!+#REF!</f>
        <v>#REF!</v>
      </c>
    </row>
    <row r="87" spans="1:26" ht="22.9" customHeight="1" x14ac:dyDescent="0.25">
      <c r="A87" s="36" t="s">
        <v>1222</v>
      </c>
      <c r="B87" s="9" t="s">
        <v>211</v>
      </c>
      <c r="C87" s="1">
        <f t="shared" ref="C87:C88" si="90">D87+L87+N87+P87+R87+S87+T87</f>
        <v>7834500</v>
      </c>
      <c r="D87" s="2">
        <f t="shared" ref="D87:D88" si="91">SUM(E87:J87)</f>
        <v>2343300</v>
      </c>
      <c r="E87" s="2">
        <f>781.1*700</f>
        <v>546770</v>
      </c>
      <c r="F87" s="2">
        <f>781.1*1300</f>
        <v>1015430</v>
      </c>
      <c r="G87" s="2">
        <f>781.1*300</f>
        <v>234330</v>
      </c>
      <c r="H87" s="2">
        <f>781.1*400</f>
        <v>312440</v>
      </c>
      <c r="I87" s="2">
        <f>781.1*300</f>
        <v>234330</v>
      </c>
      <c r="J87" s="2">
        <v>0</v>
      </c>
      <c r="K87" s="32">
        <v>0</v>
      </c>
      <c r="L87" s="8">
        <v>0</v>
      </c>
      <c r="M87" s="8">
        <v>508</v>
      </c>
      <c r="N87" s="2">
        <f t="shared" ref="N87:N88" si="92">M87*6600</f>
        <v>3352800</v>
      </c>
      <c r="O87" s="8">
        <v>0</v>
      </c>
      <c r="P87" s="8">
        <v>0</v>
      </c>
      <c r="Q87" s="8">
        <v>637</v>
      </c>
      <c r="R87" s="18">
        <f t="shared" si="76"/>
        <v>2038400</v>
      </c>
      <c r="S87" s="8">
        <v>0</v>
      </c>
      <c r="T87" s="18">
        <v>100000</v>
      </c>
      <c r="U87" s="6">
        <f t="shared" ref="U87:U88" si="93">N87/M87</f>
        <v>6600</v>
      </c>
      <c r="V87" s="1"/>
      <c r="W87" s="1"/>
      <c r="X87" s="1"/>
      <c r="Y87" s="1"/>
      <c r="Z87" s="3"/>
    </row>
    <row r="88" spans="1:26" ht="22.9" customHeight="1" x14ac:dyDescent="0.25">
      <c r="A88" s="36" t="s">
        <v>1223</v>
      </c>
      <c r="B88" s="9" t="s">
        <v>212</v>
      </c>
      <c r="C88" s="1">
        <f t="shared" si="90"/>
        <v>5651620</v>
      </c>
      <c r="D88" s="2">
        <f t="shared" si="91"/>
        <v>2326200</v>
      </c>
      <c r="E88" s="2">
        <f>775.4*700</f>
        <v>542780</v>
      </c>
      <c r="F88" s="2">
        <f>775.4*1300</f>
        <v>1008020</v>
      </c>
      <c r="G88" s="2">
        <f>775.4*300</f>
        <v>232620</v>
      </c>
      <c r="H88" s="2">
        <f>775.4*400</f>
        <v>310160</v>
      </c>
      <c r="I88" s="2">
        <f>775.4*300</f>
        <v>232620</v>
      </c>
      <c r="J88" s="2">
        <v>0</v>
      </c>
      <c r="K88" s="32">
        <v>0</v>
      </c>
      <c r="L88" s="8">
        <v>0</v>
      </c>
      <c r="M88" s="8">
        <v>488.7</v>
      </c>
      <c r="N88" s="2">
        <f t="shared" si="92"/>
        <v>3225420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18">
        <v>100000</v>
      </c>
      <c r="U88" s="6">
        <f t="shared" si="93"/>
        <v>6600</v>
      </c>
      <c r="V88" s="1"/>
      <c r="W88" s="1"/>
      <c r="X88" s="1"/>
      <c r="Y88" s="1"/>
      <c r="Z88" s="3"/>
    </row>
    <row r="89" spans="1:26" ht="45" customHeight="1" x14ac:dyDescent="0.25">
      <c r="A89" s="43" t="s">
        <v>215</v>
      </c>
      <c r="B89" s="43"/>
      <c r="C89" s="1">
        <f>SUM(C90:C100)</f>
        <v>157696140</v>
      </c>
      <c r="D89" s="1">
        <f t="shared" ref="D89:T89" si="94">SUM(D90:D100)</f>
        <v>70620060</v>
      </c>
      <c r="E89" s="1">
        <f t="shared" si="94"/>
        <v>16478014</v>
      </c>
      <c r="F89" s="1">
        <f t="shared" si="94"/>
        <v>30602026</v>
      </c>
      <c r="G89" s="1">
        <f t="shared" si="94"/>
        <v>7062006</v>
      </c>
      <c r="H89" s="1">
        <f t="shared" si="94"/>
        <v>9416008</v>
      </c>
      <c r="I89" s="1">
        <f t="shared" si="94"/>
        <v>7062006</v>
      </c>
      <c r="J89" s="1">
        <f t="shared" si="94"/>
        <v>0</v>
      </c>
      <c r="K89" s="33">
        <f t="shared" si="94"/>
        <v>0</v>
      </c>
      <c r="L89" s="1">
        <f t="shared" si="94"/>
        <v>0</v>
      </c>
      <c r="M89" s="1">
        <f t="shared" si="94"/>
        <v>6106</v>
      </c>
      <c r="N89" s="1">
        <f t="shared" si="94"/>
        <v>40299600</v>
      </c>
      <c r="O89" s="1">
        <f t="shared" si="94"/>
        <v>1758.4</v>
      </c>
      <c r="P89" s="1">
        <f t="shared" si="94"/>
        <v>2110080</v>
      </c>
      <c r="Q89" s="1">
        <f t="shared" si="94"/>
        <v>13614.5</v>
      </c>
      <c r="R89" s="1">
        <f t="shared" si="94"/>
        <v>43566400</v>
      </c>
      <c r="S89" s="1">
        <f t="shared" si="94"/>
        <v>0</v>
      </c>
      <c r="T89" s="1">
        <f t="shared" si="94"/>
        <v>1100000</v>
      </c>
      <c r="U89" s="3" t="e">
        <f>C89+#REF!+#REF!</f>
        <v>#REF!</v>
      </c>
    </row>
    <row r="90" spans="1:26" ht="22.9" customHeight="1" x14ac:dyDescent="0.25">
      <c r="A90" s="36" t="s">
        <v>1224</v>
      </c>
      <c r="B90" s="9" t="s">
        <v>1160</v>
      </c>
      <c r="C90" s="1">
        <f t="shared" ref="C90:C100" si="95">D90+L90+N90+P90+R90+S90+T90</f>
        <v>3982600</v>
      </c>
      <c r="D90" s="2">
        <f t="shared" ref="D90:D100" si="96">SUM(E90:J90)</f>
        <v>2039399.9999999998</v>
      </c>
      <c r="E90" s="2">
        <f>679.8*700</f>
        <v>475859.99999999994</v>
      </c>
      <c r="F90" s="2">
        <f>679.8*1300</f>
        <v>883739.99999999988</v>
      </c>
      <c r="G90" s="2">
        <f>679.8*300</f>
        <v>203940</v>
      </c>
      <c r="H90" s="2">
        <f>679.8*400</f>
        <v>271920</v>
      </c>
      <c r="I90" s="2">
        <f>679.8*300</f>
        <v>203940</v>
      </c>
      <c r="J90" s="2">
        <v>0</v>
      </c>
      <c r="K90" s="21">
        <v>0</v>
      </c>
      <c r="L90" s="2">
        <v>0</v>
      </c>
      <c r="M90" s="8">
        <v>0</v>
      </c>
      <c r="N90" s="8">
        <v>0</v>
      </c>
      <c r="O90" s="2">
        <v>0</v>
      </c>
      <c r="P90" s="2">
        <v>0</v>
      </c>
      <c r="Q90" s="2">
        <v>576</v>
      </c>
      <c r="R90" s="18">
        <f t="shared" ref="R90:R105" si="97">Q90*3200</f>
        <v>1843200</v>
      </c>
      <c r="S90" s="2">
        <v>0</v>
      </c>
      <c r="T90" s="18">
        <v>100000</v>
      </c>
      <c r="U90" s="6" t="e">
        <f t="shared" ref="U90:U100" si="98">N90/M90</f>
        <v>#DIV/0!</v>
      </c>
      <c r="V90" s="1"/>
      <c r="W90" s="1"/>
      <c r="X90" s="1"/>
      <c r="Y90" s="1"/>
      <c r="Z90" s="3"/>
    </row>
    <row r="91" spans="1:26" ht="22.9" customHeight="1" x14ac:dyDescent="0.25">
      <c r="A91" s="36" t="s">
        <v>1225</v>
      </c>
      <c r="B91" s="9" t="s">
        <v>216</v>
      </c>
      <c r="C91" s="1">
        <f t="shared" si="95"/>
        <v>18707200</v>
      </c>
      <c r="D91" s="2">
        <f t="shared" si="96"/>
        <v>8145599.9999999991</v>
      </c>
      <c r="E91" s="2">
        <f>2715.2*700</f>
        <v>1900639.9999999998</v>
      </c>
      <c r="F91" s="2">
        <f>2715.2*1300</f>
        <v>3529759.9999999995</v>
      </c>
      <c r="G91" s="2">
        <f>2715.2*300</f>
        <v>814560</v>
      </c>
      <c r="H91" s="2">
        <f>2715.2*400</f>
        <v>1086080</v>
      </c>
      <c r="I91" s="2">
        <f>2715.2*300</f>
        <v>814560</v>
      </c>
      <c r="J91" s="2">
        <v>0</v>
      </c>
      <c r="K91" s="21">
        <v>0</v>
      </c>
      <c r="L91" s="2">
        <v>0</v>
      </c>
      <c r="M91" s="8">
        <v>852</v>
      </c>
      <c r="N91" s="2">
        <f t="shared" ref="N91:N96" si="99">M91*6600</f>
        <v>5623200</v>
      </c>
      <c r="O91" s="2">
        <v>0</v>
      </c>
      <c r="P91" s="2">
        <v>0</v>
      </c>
      <c r="Q91" s="2">
        <v>1512</v>
      </c>
      <c r="R91" s="18">
        <f t="shared" si="97"/>
        <v>4838400</v>
      </c>
      <c r="S91" s="2">
        <v>0</v>
      </c>
      <c r="T91" s="18">
        <v>100000</v>
      </c>
      <c r="U91" s="6">
        <f t="shared" si="98"/>
        <v>6600</v>
      </c>
      <c r="V91" s="1"/>
      <c r="W91" s="1"/>
      <c r="X91" s="1"/>
      <c r="Y91" s="1"/>
      <c r="Z91" s="3"/>
    </row>
    <row r="92" spans="1:26" ht="22.9" customHeight="1" x14ac:dyDescent="0.25">
      <c r="A92" s="36" t="s">
        <v>1226</v>
      </c>
      <c r="B92" s="9" t="s">
        <v>217</v>
      </c>
      <c r="C92" s="1">
        <f t="shared" si="95"/>
        <v>18396800</v>
      </c>
      <c r="D92" s="2">
        <f t="shared" si="96"/>
        <v>7911599.9999999991</v>
      </c>
      <c r="E92" s="2">
        <f>2637.2*700</f>
        <v>1846039.9999999998</v>
      </c>
      <c r="F92" s="2">
        <f>2637.2*1300</f>
        <v>3428359.9999999995</v>
      </c>
      <c r="G92" s="2">
        <f>2637.2*300</f>
        <v>791160</v>
      </c>
      <c r="H92" s="2">
        <f>2637.2*400</f>
        <v>1054880</v>
      </c>
      <c r="I92" s="2">
        <f>2637.2*300</f>
        <v>791160</v>
      </c>
      <c r="J92" s="2">
        <v>0</v>
      </c>
      <c r="K92" s="21">
        <v>0</v>
      </c>
      <c r="L92" s="2">
        <v>0</v>
      </c>
      <c r="M92" s="8">
        <v>854</v>
      </c>
      <c r="N92" s="2">
        <f t="shared" si="99"/>
        <v>5636400</v>
      </c>
      <c r="O92" s="2">
        <v>0</v>
      </c>
      <c r="P92" s="2">
        <v>0</v>
      </c>
      <c r="Q92" s="2">
        <v>1484</v>
      </c>
      <c r="R92" s="18">
        <f t="shared" si="97"/>
        <v>4748800</v>
      </c>
      <c r="S92" s="2">
        <v>0</v>
      </c>
      <c r="T92" s="18">
        <v>100000</v>
      </c>
      <c r="U92" s="6">
        <f t="shared" si="98"/>
        <v>6600</v>
      </c>
      <c r="V92" s="1"/>
      <c r="W92" s="1"/>
      <c r="X92" s="1"/>
      <c r="Y92" s="1"/>
      <c r="Z92" s="3"/>
    </row>
    <row r="93" spans="1:26" ht="22.9" customHeight="1" x14ac:dyDescent="0.25">
      <c r="A93" s="36" t="s">
        <v>1227</v>
      </c>
      <c r="B93" s="9" t="s">
        <v>218</v>
      </c>
      <c r="C93" s="1">
        <f t="shared" si="95"/>
        <v>23463400</v>
      </c>
      <c r="D93" s="2">
        <f t="shared" si="96"/>
        <v>10711800</v>
      </c>
      <c r="E93" s="2">
        <f>3570.6*700</f>
        <v>2499420</v>
      </c>
      <c r="F93" s="2">
        <f>3570.6*1300</f>
        <v>4641780</v>
      </c>
      <c r="G93" s="2">
        <f>3570.6*300</f>
        <v>1071180</v>
      </c>
      <c r="H93" s="2">
        <f>3570.6*400</f>
        <v>1428240</v>
      </c>
      <c r="I93" s="2">
        <f>3570.6*300</f>
        <v>1071180</v>
      </c>
      <c r="J93" s="2">
        <v>0</v>
      </c>
      <c r="K93" s="21">
        <v>0</v>
      </c>
      <c r="L93" s="2">
        <v>0</v>
      </c>
      <c r="M93" s="2">
        <v>970</v>
      </c>
      <c r="N93" s="2">
        <f t="shared" si="99"/>
        <v>6402000</v>
      </c>
      <c r="O93" s="2">
        <v>0</v>
      </c>
      <c r="P93" s="2">
        <v>0</v>
      </c>
      <c r="Q93" s="2">
        <v>1953</v>
      </c>
      <c r="R93" s="18">
        <f t="shared" si="97"/>
        <v>6249600</v>
      </c>
      <c r="S93" s="2">
        <v>0</v>
      </c>
      <c r="T93" s="18">
        <v>100000</v>
      </c>
      <c r="U93" s="6">
        <f t="shared" si="98"/>
        <v>6600</v>
      </c>
      <c r="V93" s="1"/>
      <c r="W93" s="1"/>
      <c r="X93" s="1"/>
      <c r="Y93" s="1"/>
      <c r="Z93" s="3"/>
    </row>
    <row r="94" spans="1:26" ht="22.9" customHeight="1" x14ac:dyDescent="0.25">
      <c r="A94" s="37" t="s">
        <v>1228</v>
      </c>
      <c r="B94" s="9" t="s">
        <v>219</v>
      </c>
      <c r="C94" s="1">
        <f t="shared" si="95"/>
        <v>23274000</v>
      </c>
      <c r="D94" s="2">
        <f t="shared" si="96"/>
        <v>10620000</v>
      </c>
      <c r="E94" s="2">
        <f>3540*700</f>
        <v>2478000</v>
      </c>
      <c r="F94" s="2">
        <f>3540*1300</f>
        <v>4602000</v>
      </c>
      <c r="G94" s="2">
        <f>3540*300</f>
        <v>1062000</v>
      </c>
      <c r="H94" s="2">
        <f>3540*400</f>
        <v>1416000</v>
      </c>
      <c r="I94" s="2">
        <f>3540*300</f>
        <v>1062000</v>
      </c>
      <c r="J94" s="2">
        <v>0</v>
      </c>
      <c r="K94" s="32">
        <v>0</v>
      </c>
      <c r="L94" s="8">
        <v>0</v>
      </c>
      <c r="M94" s="8">
        <v>962</v>
      </c>
      <c r="N94" s="2">
        <f t="shared" si="99"/>
        <v>6349200</v>
      </c>
      <c r="O94" s="8">
        <v>0</v>
      </c>
      <c r="P94" s="8">
        <v>0</v>
      </c>
      <c r="Q94" s="2">
        <v>1939</v>
      </c>
      <c r="R94" s="18">
        <f t="shared" si="97"/>
        <v>6204800</v>
      </c>
      <c r="S94" s="8">
        <v>0</v>
      </c>
      <c r="T94" s="18">
        <v>100000</v>
      </c>
      <c r="U94" s="6">
        <f t="shared" si="98"/>
        <v>6600</v>
      </c>
      <c r="V94" s="1"/>
      <c r="W94" s="1"/>
      <c r="X94" s="1"/>
      <c r="Y94" s="1"/>
      <c r="Z94" s="3"/>
    </row>
    <row r="95" spans="1:26" ht="22.9" customHeight="1" x14ac:dyDescent="0.25">
      <c r="A95" s="37" t="s">
        <v>1229</v>
      </c>
      <c r="B95" s="9" t="s">
        <v>220</v>
      </c>
      <c r="C95" s="1">
        <f t="shared" si="95"/>
        <v>24382300</v>
      </c>
      <c r="D95" s="2">
        <f t="shared" si="96"/>
        <v>10731900</v>
      </c>
      <c r="E95" s="2">
        <f>3577.3*700</f>
        <v>2504110</v>
      </c>
      <c r="F95" s="2">
        <f>3577.3*1300</f>
        <v>4650490</v>
      </c>
      <c r="G95" s="2">
        <f>3577.3*300</f>
        <v>1073190</v>
      </c>
      <c r="H95" s="2">
        <f>3577.3*400</f>
        <v>1430920</v>
      </c>
      <c r="I95" s="2">
        <f>3577.3*300</f>
        <v>1073190</v>
      </c>
      <c r="J95" s="2">
        <v>0</v>
      </c>
      <c r="K95" s="32">
        <v>0</v>
      </c>
      <c r="L95" s="8">
        <v>0</v>
      </c>
      <c r="M95" s="8">
        <v>940</v>
      </c>
      <c r="N95" s="2">
        <f t="shared" si="99"/>
        <v>6204000</v>
      </c>
      <c r="O95" s="8">
        <v>922</v>
      </c>
      <c r="P95" s="2">
        <f t="shared" ref="P95:P96" si="100">O95*1200</f>
        <v>1106400</v>
      </c>
      <c r="Q95" s="2">
        <v>1950</v>
      </c>
      <c r="R95" s="18">
        <f t="shared" si="97"/>
        <v>6240000</v>
      </c>
      <c r="S95" s="8">
        <v>0</v>
      </c>
      <c r="T95" s="18">
        <v>100000</v>
      </c>
      <c r="U95" s="6">
        <f t="shared" si="98"/>
        <v>6600</v>
      </c>
      <c r="V95" s="1"/>
      <c r="W95" s="1"/>
      <c r="X95" s="1"/>
      <c r="Y95" s="1"/>
      <c r="Z95" s="3"/>
    </row>
    <row r="96" spans="1:26" ht="22.9" customHeight="1" x14ac:dyDescent="0.25">
      <c r="A96" s="37" t="s">
        <v>1230</v>
      </c>
      <c r="B96" s="9" t="s">
        <v>221</v>
      </c>
      <c r="C96" s="1">
        <f t="shared" si="95"/>
        <v>26354740</v>
      </c>
      <c r="D96" s="2">
        <f t="shared" si="96"/>
        <v>11557860</v>
      </c>
      <c r="E96" s="2">
        <f>3852.62*700</f>
        <v>2696834</v>
      </c>
      <c r="F96" s="2">
        <f>3852.62*1300</f>
        <v>5008406</v>
      </c>
      <c r="G96" s="2">
        <f>3852.62*300</f>
        <v>1155786</v>
      </c>
      <c r="H96" s="2">
        <f>3852.62*400</f>
        <v>1541048</v>
      </c>
      <c r="I96" s="2">
        <f>3852.62*300</f>
        <v>1155786</v>
      </c>
      <c r="J96" s="2">
        <v>0</v>
      </c>
      <c r="K96" s="21">
        <v>0</v>
      </c>
      <c r="L96" s="2">
        <v>0</v>
      </c>
      <c r="M96" s="2">
        <v>1082</v>
      </c>
      <c r="N96" s="2">
        <f t="shared" si="99"/>
        <v>7141200</v>
      </c>
      <c r="O96" s="2">
        <v>836.4</v>
      </c>
      <c r="P96" s="2">
        <f t="shared" si="100"/>
        <v>1003680</v>
      </c>
      <c r="Q96" s="2">
        <v>2047.5</v>
      </c>
      <c r="R96" s="18">
        <f t="shared" si="97"/>
        <v>6552000</v>
      </c>
      <c r="S96" s="2">
        <v>0</v>
      </c>
      <c r="T96" s="18">
        <v>100000</v>
      </c>
      <c r="U96" s="6">
        <f t="shared" si="98"/>
        <v>6600</v>
      </c>
      <c r="V96" s="1"/>
      <c r="W96" s="1"/>
      <c r="X96" s="1"/>
      <c r="Y96" s="1"/>
      <c r="Z96" s="3"/>
    </row>
    <row r="97" spans="1:26" ht="22.9" customHeight="1" x14ac:dyDescent="0.25">
      <c r="A97" s="39" t="s">
        <v>1989</v>
      </c>
      <c r="B97" s="9" t="s">
        <v>222</v>
      </c>
      <c r="C97" s="1">
        <f t="shared" si="95"/>
        <v>3809600</v>
      </c>
      <c r="D97" s="2">
        <f t="shared" si="96"/>
        <v>2052000</v>
      </c>
      <c r="E97" s="2">
        <f>684*700</f>
        <v>478800</v>
      </c>
      <c r="F97" s="2">
        <f>684*1300</f>
        <v>889200</v>
      </c>
      <c r="G97" s="2">
        <f>684*300</f>
        <v>205200</v>
      </c>
      <c r="H97" s="2">
        <f>684*400</f>
        <v>273600</v>
      </c>
      <c r="I97" s="2">
        <f>684*300</f>
        <v>205200</v>
      </c>
      <c r="J97" s="2">
        <v>0</v>
      </c>
      <c r="K97" s="32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2">
        <v>518</v>
      </c>
      <c r="R97" s="18">
        <f t="shared" si="97"/>
        <v>1657600</v>
      </c>
      <c r="S97" s="8">
        <v>0</v>
      </c>
      <c r="T97" s="18">
        <v>100000</v>
      </c>
      <c r="U97" s="6" t="e">
        <f t="shared" si="98"/>
        <v>#DIV/0!</v>
      </c>
      <c r="V97" s="1"/>
      <c r="W97" s="1"/>
      <c r="X97" s="1"/>
      <c r="Y97" s="1"/>
      <c r="Z97" s="3"/>
    </row>
    <row r="98" spans="1:26" ht="22.9" customHeight="1" x14ac:dyDescent="0.25">
      <c r="A98" s="37" t="s">
        <v>1231</v>
      </c>
      <c r="B98" s="9" t="s">
        <v>223</v>
      </c>
      <c r="C98" s="1">
        <f t="shared" si="95"/>
        <v>3833260</v>
      </c>
      <c r="D98" s="2">
        <f t="shared" si="96"/>
        <v>2066700</v>
      </c>
      <c r="E98" s="2">
        <f>688.9*700</f>
        <v>482230</v>
      </c>
      <c r="F98" s="2">
        <f>688.9*1300</f>
        <v>895570</v>
      </c>
      <c r="G98" s="2">
        <f>688.9*300</f>
        <v>206670</v>
      </c>
      <c r="H98" s="2">
        <f>688.9*400</f>
        <v>275560</v>
      </c>
      <c r="I98" s="2">
        <f>688.9*300</f>
        <v>206670</v>
      </c>
      <c r="J98" s="2">
        <v>0</v>
      </c>
      <c r="K98" s="21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520.79999999999995</v>
      </c>
      <c r="R98" s="18">
        <f t="shared" si="97"/>
        <v>1666559.9999999998</v>
      </c>
      <c r="S98" s="2">
        <v>0</v>
      </c>
      <c r="T98" s="18">
        <v>100000</v>
      </c>
      <c r="U98" s="6" t="e">
        <f t="shared" si="98"/>
        <v>#DIV/0!</v>
      </c>
      <c r="V98" s="1"/>
      <c r="W98" s="1"/>
      <c r="X98" s="1"/>
      <c r="Y98" s="1"/>
      <c r="Z98" s="3"/>
    </row>
    <row r="99" spans="1:26" ht="22.9" customHeight="1" x14ac:dyDescent="0.25">
      <c r="A99" s="39" t="s">
        <v>1990</v>
      </c>
      <c r="B99" s="9" t="s">
        <v>224</v>
      </c>
      <c r="C99" s="1">
        <f t="shared" si="95"/>
        <v>6742400</v>
      </c>
      <c r="D99" s="2">
        <f t="shared" si="96"/>
        <v>2050800</v>
      </c>
      <c r="E99" s="2">
        <f>683.6*700</f>
        <v>478520</v>
      </c>
      <c r="F99" s="2">
        <f>683.6*1300</f>
        <v>888680</v>
      </c>
      <c r="G99" s="2">
        <f>683.6*300</f>
        <v>205080</v>
      </c>
      <c r="H99" s="2">
        <f>683.6*400</f>
        <v>273440</v>
      </c>
      <c r="I99" s="2">
        <f>683.6*300</f>
        <v>205080</v>
      </c>
      <c r="J99" s="2">
        <v>0</v>
      </c>
      <c r="K99" s="21">
        <v>0</v>
      </c>
      <c r="L99" s="2">
        <v>0</v>
      </c>
      <c r="M99" s="2">
        <v>446</v>
      </c>
      <c r="N99" s="2">
        <f t="shared" ref="N99" si="101">M99*6600</f>
        <v>2943600</v>
      </c>
      <c r="O99" s="2">
        <v>0</v>
      </c>
      <c r="P99" s="2">
        <v>0</v>
      </c>
      <c r="Q99" s="2">
        <v>515</v>
      </c>
      <c r="R99" s="18">
        <f t="shared" si="97"/>
        <v>1648000</v>
      </c>
      <c r="S99" s="2">
        <v>0</v>
      </c>
      <c r="T99" s="18">
        <v>100000</v>
      </c>
      <c r="U99" s="6">
        <f t="shared" si="98"/>
        <v>6600</v>
      </c>
      <c r="V99" s="1"/>
      <c r="W99" s="1"/>
      <c r="X99" s="1"/>
      <c r="Y99" s="1"/>
      <c r="Z99" s="3"/>
    </row>
    <row r="100" spans="1:26" ht="22.9" customHeight="1" x14ac:dyDescent="0.25">
      <c r="A100" s="37" t="s">
        <v>1232</v>
      </c>
      <c r="B100" s="9" t="s">
        <v>225</v>
      </c>
      <c r="C100" s="1">
        <f t="shared" si="95"/>
        <v>4749840</v>
      </c>
      <c r="D100" s="2">
        <f t="shared" si="96"/>
        <v>2732400</v>
      </c>
      <c r="E100" s="2">
        <f>910.8*700</f>
        <v>637560</v>
      </c>
      <c r="F100" s="2">
        <f>910.8*1300</f>
        <v>1184040</v>
      </c>
      <c r="G100" s="2">
        <f>910.8*300</f>
        <v>273240</v>
      </c>
      <c r="H100" s="2">
        <f>910.8*400</f>
        <v>364320</v>
      </c>
      <c r="I100" s="2">
        <f>910.8*300</f>
        <v>273240</v>
      </c>
      <c r="J100" s="2">
        <v>0</v>
      </c>
      <c r="K100" s="21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599.20000000000005</v>
      </c>
      <c r="R100" s="18">
        <f t="shared" si="97"/>
        <v>1917440.0000000002</v>
      </c>
      <c r="S100" s="2">
        <v>0</v>
      </c>
      <c r="T100" s="18">
        <v>100000</v>
      </c>
      <c r="U100" s="6" t="e">
        <f t="shared" si="98"/>
        <v>#DIV/0!</v>
      </c>
      <c r="V100" s="1"/>
      <c r="W100" s="1"/>
      <c r="X100" s="1"/>
      <c r="Y100" s="1"/>
      <c r="Z100" s="3"/>
    </row>
    <row r="101" spans="1:26" ht="45" customHeight="1" x14ac:dyDescent="0.25">
      <c r="A101" s="43" t="s">
        <v>246</v>
      </c>
      <c r="B101" s="43"/>
      <c r="C101" s="1">
        <f>SUM(C102:C103)</f>
        <v>8845374</v>
      </c>
      <c r="D101" s="1">
        <f t="shared" ref="D101:T101" si="102">SUM(D102:D103)</f>
        <v>1106300</v>
      </c>
      <c r="E101" s="1">
        <f t="shared" si="102"/>
        <v>595700</v>
      </c>
      <c r="F101" s="1">
        <f t="shared" si="102"/>
        <v>0</v>
      </c>
      <c r="G101" s="1">
        <f t="shared" si="102"/>
        <v>255300</v>
      </c>
      <c r="H101" s="1">
        <f t="shared" si="102"/>
        <v>0</v>
      </c>
      <c r="I101" s="1">
        <f t="shared" si="102"/>
        <v>255300</v>
      </c>
      <c r="J101" s="1">
        <f t="shared" si="102"/>
        <v>0</v>
      </c>
      <c r="K101" s="33">
        <f t="shared" si="102"/>
        <v>0</v>
      </c>
      <c r="L101" s="1">
        <f t="shared" si="102"/>
        <v>0</v>
      </c>
      <c r="M101" s="1">
        <f t="shared" si="102"/>
        <v>706.89</v>
      </c>
      <c r="N101" s="1">
        <f t="shared" si="102"/>
        <v>4665474</v>
      </c>
      <c r="O101" s="1">
        <f t="shared" si="102"/>
        <v>0</v>
      </c>
      <c r="P101" s="1">
        <f t="shared" si="102"/>
        <v>0</v>
      </c>
      <c r="Q101" s="1">
        <f t="shared" si="102"/>
        <v>898</v>
      </c>
      <c r="R101" s="1">
        <f t="shared" si="102"/>
        <v>2873600</v>
      </c>
      <c r="S101" s="1">
        <f t="shared" si="102"/>
        <v>0</v>
      </c>
      <c r="T101" s="1">
        <f t="shared" si="102"/>
        <v>200000</v>
      </c>
      <c r="U101" s="3" t="e">
        <f>C101+#REF!+#REF!</f>
        <v>#REF!</v>
      </c>
    </row>
    <row r="102" spans="1:26" ht="22.9" customHeight="1" x14ac:dyDescent="0.25">
      <c r="A102" s="37" t="s">
        <v>1233</v>
      </c>
      <c r="B102" s="9" t="s">
        <v>247</v>
      </c>
      <c r="C102" s="1">
        <f t="shared" ref="C102:C103" si="103">D102+L102+N102+P102+R102+S102+T102</f>
        <v>4563572</v>
      </c>
      <c r="D102" s="2">
        <f t="shared" ref="D102:D103" si="104">SUM(E102:J102)</f>
        <v>558740</v>
      </c>
      <c r="E102" s="2">
        <f>429.8*700</f>
        <v>300860</v>
      </c>
      <c r="F102" s="2">
        <v>0</v>
      </c>
      <c r="G102" s="2">
        <f>429.8*300</f>
        <v>128940</v>
      </c>
      <c r="H102" s="2">
        <v>0</v>
      </c>
      <c r="I102" s="2">
        <f>429.8*300</f>
        <v>128940</v>
      </c>
      <c r="J102" s="2">
        <v>0</v>
      </c>
      <c r="K102" s="21">
        <v>0</v>
      </c>
      <c r="L102" s="2">
        <v>0</v>
      </c>
      <c r="M102" s="2">
        <v>371.52</v>
      </c>
      <c r="N102" s="2">
        <f t="shared" ref="N102:N111" si="105">M102*6600</f>
        <v>2452032</v>
      </c>
      <c r="O102" s="2">
        <v>0</v>
      </c>
      <c r="P102" s="2">
        <v>0</v>
      </c>
      <c r="Q102" s="2">
        <v>454</v>
      </c>
      <c r="R102" s="18">
        <f t="shared" si="97"/>
        <v>1452800</v>
      </c>
      <c r="S102" s="2">
        <v>0</v>
      </c>
      <c r="T102" s="18">
        <v>100000</v>
      </c>
      <c r="U102" s="6">
        <f t="shared" ref="U102:U103" si="106">N102/M102</f>
        <v>6600</v>
      </c>
      <c r="V102" s="1"/>
      <c r="W102" s="1"/>
      <c r="X102" s="1"/>
      <c r="Y102" s="1"/>
      <c r="Z102" s="3"/>
    </row>
    <row r="103" spans="1:26" ht="22.9" customHeight="1" x14ac:dyDescent="0.25">
      <c r="A103" s="37" t="s">
        <v>1234</v>
      </c>
      <c r="B103" s="5" t="s">
        <v>248</v>
      </c>
      <c r="C103" s="1">
        <f t="shared" si="103"/>
        <v>4281802</v>
      </c>
      <c r="D103" s="2">
        <f t="shared" si="104"/>
        <v>547560</v>
      </c>
      <c r="E103" s="2">
        <f>421.2*700</f>
        <v>294840</v>
      </c>
      <c r="F103" s="2">
        <v>0</v>
      </c>
      <c r="G103" s="2">
        <f>421.2*300</f>
        <v>126360</v>
      </c>
      <c r="H103" s="2">
        <v>0</v>
      </c>
      <c r="I103" s="2">
        <f>421.2*300</f>
        <v>126360</v>
      </c>
      <c r="J103" s="2">
        <v>0</v>
      </c>
      <c r="K103" s="21">
        <v>0</v>
      </c>
      <c r="L103" s="2">
        <v>0</v>
      </c>
      <c r="M103" s="2">
        <v>335.37</v>
      </c>
      <c r="N103" s="2">
        <f t="shared" si="105"/>
        <v>2213442</v>
      </c>
      <c r="O103" s="2">
        <v>0</v>
      </c>
      <c r="P103" s="2">
        <v>0</v>
      </c>
      <c r="Q103" s="2">
        <v>444</v>
      </c>
      <c r="R103" s="18">
        <f t="shared" si="97"/>
        <v>1420800</v>
      </c>
      <c r="S103" s="2">
        <v>0</v>
      </c>
      <c r="T103" s="18">
        <v>100000</v>
      </c>
      <c r="U103" s="6">
        <f t="shared" si="106"/>
        <v>6600</v>
      </c>
      <c r="V103" s="1"/>
      <c r="W103" s="1"/>
      <c r="X103" s="1"/>
      <c r="Y103" s="1"/>
      <c r="Z103" s="3"/>
    </row>
    <row r="104" spans="1:26" ht="45" customHeight="1" x14ac:dyDescent="0.25">
      <c r="A104" s="43" t="s">
        <v>251</v>
      </c>
      <c r="B104" s="43"/>
      <c r="C104" s="1">
        <f>SUM(C105)</f>
        <v>4684080</v>
      </c>
      <c r="D104" s="1">
        <f t="shared" ref="D104:T104" si="107">SUM(D105)</f>
        <v>294000</v>
      </c>
      <c r="E104" s="1">
        <f t="shared" si="107"/>
        <v>294000</v>
      </c>
      <c r="F104" s="1">
        <f t="shared" si="107"/>
        <v>0</v>
      </c>
      <c r="G104" s="1">
        <f t="shared" si="107"/>
        <v>0</v>
      </c>
      <c r="H104" s="1">
        <f t="shared" si="107"/>
        <v>0</v>
      </c>
      <c r="I104" s="1">
        <f t="shared" si="107"/>
        <v>0</v>
      </c>
      <c r="J104" s="1">
        <f t="shared" si="107"/>
        <v>0</v>
      </c>
      <c r="K104" s="33">
        <f t="shared" si="107"/>
        <v>0</v>
      </c>
      <c r="L104" s="1">
        <f t="shared" si="107"/>
        <v>0</v>
      </c>
      <c r="M104" s="1">
        <f t="shared" si="107"/>
        <v>420</v>
      </c>
      <c r="N104" s="1">
        <f t="shared" si="107"/>
        <v>2772000</v>
      </c>
      <c r="O104" s="1">
        <f t="shared" si="107"/>
        <v>0</v>
      </c>
      <c r="P104" s="1">
        <f t="shared" si="107"/>
        <v>0</v>
      </c>
      <c r="Q104" s="1">
        <f t="shared" si="107"/>
        <v>474.4</v>
      </c>
      <c r="R104" s="1">
        <f t="shared" si="107"/>
        <v>1518080</v>
      </c>
      <c r="S104" s="1">
        <f t="shared" si="107"/>
        <v>0</v>
      </c>
      <c r="T104" s="1">
        <f t="shared" si="107"/>
        <v>100000</v>
      </c>
      <c r="U104" s="3" t="e">
        <f>C104+#REF!+#REF!</f>
        <v>#REF!</v>
      </c>
    </row>
    <row r="105" spans="1:26" ht="22.9" customHeight="1" x14ac:dyDescent="0.25">
      <c r="A105" s="37" t="s">
        <v>1235</v>
      </c>
      <c r="B105" s="5" t="s">
        <v>252</v>
      </c>
      <c r="C105" s="1">
        <f t="shared" ref="C105" si="108">D105+L105+N105+P105+R105+S105+T105</f>
        <v>4684080</v>
      </c>
      <c r="D105" s="2">
        <f t="shared" ref="D105" si="109">SUM(E105:J105)</f>
        <v>294000</v>
      </c>
      <c r="E105" s="2">
        <f>420*700</f>
        <v>294000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1">
        <v>0</v>
      </c>
      <c r="L105" s="2">
        <v>0</v>
      </c>
      <c r="M105" s="2">
        <v>420</v>
      </c>
      <c r="N105" s="2">
        <f t="shared" si="105"/>
        <v>2772000</v>
      </c>
      <c r="O105" s="2">
        <v>0</v>
      </c>
      <c r="P105" s="2">
        <v>0</v>
      </c>
      <c r="Q105" s="2">
        <v>474.4</v>
      </c>
      <c r="R105" s="18">
        <f t="shared" si="97"/>
        <v>1518080</v>
      </c>
      <c r="S105" s="2">
        <v>0</v>
      </c>
      <c r="T105" s="18">
        <v>100000</v>
      </c>
      <c r="U105" s="6">
        <f t="shared" ref="U105" si="110">N105/M105</f>
        <v>6600</v>
      </c>
      <c r="V105" s="1"/>
      <c r="W105" s="1"/>
      <c r="X105" s="1"/>
      <c r="Y105" s="1"/>
      <c r="Z105" s="3"/>
    </row>
    <row r="106" spans="1:26" ht="45" customHeight="1" x14ac:dyDescent="0.25">
      <c r="A106" s="43" t="s">
        <v>254</v>
      </c>
      <c r="B106" s="43"/>
      <c r="C106" s="1">
        <f>SUM(C107:C109)</f>
        <v>16998164</v>
      </c>
      <c r="D106" s="1">
        <f t="shared" ref="D106:T106" si="111">SUM(D107:D109)</f>
        <v>2915900</v>
      </c>
      <c r="E106" s="1">
        <f t="shared" si="111"/>
        <v>785050</v>
      </c>
      <c r="F106" s="1">
        <f t="shared" si="111"/>
        <v>1457950</v>
      </c>
      <c r="G106" s="1">
        <f t="shared" si="111"/>
        <v>336450</v>
      </c>
      <c r="H106" s="1">
        <f t="shared" si="111"/>
        <v>0</v>
      </c>
      <c r="I106" s="1">
        <f t="shared" si="111"/>
        <v>336450</v>
      </c>
      <c r="J106" s="1">
        <f t="shared" si="111"/>
        <v>0</v>
      </c>
      <c r="K106" s="33">
        <f t="shared" si="111"/>
        <v>0</v>
      </c>
      <c r="L106" s="1">
        <f t="shared" si="111"/>
        <v>0</v>
      </c>
      <c r="M106" s="1">
        <f t="shared" si="111"/>
        <v>1539</v>
      </c>
      <c r="N106" s="1">
        <f t="shared" si="111"/>
        <v>10157400</v>
      </c>
      <c r="O106" s="1">
        <f t="shared" si="111"/>
        <v>0</v>
      </c>
      <c r="P106" s="1">
        <f t="shared" si="111"/>
        <v>0</v>
      </c>
      <c r="Q106" s="1">
        <f t="shared" si="111"/>
        <v>1164.02</v>
      </c>
      <c r="R106" s="1">
        <f t="shared" si="111"/>
        <v>3724864</v>
      </c>
      <c r="S106" s="1">
        <f t="shared" si="111"/>
        <v>0</v>
      </c>
      <c r="T106" s="1">
        <f t="shared" si="111"/>
        <v>200000</v>
      </c>
      <c r="U106" s="3" t="e">
        <f>C106+#REF!+#REF!</f>
        <v>#REF!</v>
      </c>
    </row>
    <row r="107" spans="1:26" ht="22.9" customHeight="1" x14ac:dyDescent="0.25">
      <c r="A107" s="37" t="s">
        <v>1236</v>
      </c>
      <c r="B107" s="9" t="s">
        <v>255</v>
      </c>
      <c r="C107" s="1">
        <f t="shared" ref="C107:C109" si="112">D107+L107+N107+P107+R107+S107+T107</f>
        <v>3623400</v>
      </c>
      <c r="D107" s="2">
        <f t="shared" ref="D107:D109" si="113">SUM(E107:J107)</f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1">
        <v>0</v>
      </c>
      <c r="L107" s="2">
        <v>0</v>
      </c>
      <c r="M107" s="18">
        <v>549</v>
      </c>
      <c r="N107" s="2">
        <f t="shared" si="105"/>
        <v>3623400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6">
        <f t="shared" ref="U107:U109" si="114">N107/M107</f>
        <v>6600</v>
      </c>
      <c r="V107" s="1"/>
      <c r="W107" s="1"/>
      <c r="X107" s="1"/>
      <c r="Y107" s="1"/>
      <c r="Z107" s="3"/>
    </row>
    <row r="108" spans="1:26" ht="22.9" customHeight="1" x14ac:dyDescent="0.25">
      <c r="A108" s="37" t="s">
        <v>1237</v>
      </c>
      <c r="B108" s="9" t="s">
        <v>256</v>
      </c>
      <c r="C108" s="1">
        <f t="shared" si="112"/>
        <v>8696160</v>
      </c>
      <c r="D108" s="2">
        <f t="shared" si="113"/>
        <v>1960400</v>
      </c>
      <c r="E108" s="2">
        <f>754*700</f>
        <v>527800</v>
      </c>
      <c r="F108" s="2">
        <f>754*1300</f>
        <v>980200</v>
      </c>
      <c r="G108" s="2">
        <f>754*300</f>
        <v>226200</v>
      </c>
      <c r="H108" s="2">
        <v>0</v>
      </c>
      <c r="I108" s="2">
        <f>754*300</f>
        <v>226200</v>
      </c>
      <c r="J108" s="2">
        <v>0</v>
      </c>
      <c r="K108" s="21">
        <v>0</v>
      </c>
      <c r="L108" s="2">
        <v>0</v>
      </c>
      <c r="M108" s="18">
        <v>654</v>
      </c>
      <c r="N108" s="2">
        <f t="shared" si="105"/>
        <v>4316400</v>
      </c>
      <c r="O108" s="2">
        <v>0</v>
      </c>
      <c r="P108" s="2">
        <v>0</v>
      </c>
      <c r="Q108" s="18">
        <v>724.8</v>
      </c>
      <c r="R108" s="18">
        <f t="shared" ref="R108:R109" si="115">Q108*3200</f>
        <v>2319360</v>
      </c>
      <c r="S108" s="2">
        <v>0</v>
      </c>
      <c r="T108" s="18">
        <v>100000</v>
      </c>
      <c r="U108" s="6">
        <f t="shared" si="114"/>
        <v>6600</v>
      </c>
      <c r="V108" s="1"/>
      <c r="W108" s="1"/>
      <c r="X108" s="1"/>
      <c r="Y108" s="1"/>
      <c r="Z108" s="3"/>
    </row>
    <row r="109" spans="1:26" ht="22.9" customHeight="1" x14ac:dyDescent="0.25">
      <c r="A109" s="37" t="s">
        <v>1238</v>
      </c>
      <c r="B109" s="9" t="s">
        <v>257</v>
      </c>
      <c r="C109" s="1">
        <f t="shared" si="112"/>
        <v>4678604</v>
      </c>
      <c r="D109" s="2">
        <f t="shared" si="113"/>
        <v>955500</v>
      </c>
      <c r="E109" s="2">
        <f>367.5*700</f>
        <v>257250</v>
      </c>
      <c r="F109" s="2">
        <f>367.5*1300</f>
        <v>477750</v>
      </c>
      <c r="G109" s="2">
        <f>367.5*300</f>
        <v>110250</v>
      </c>
      <c r="H109" s="2">
        <v>0</v>
      </c>
      <c r="I109" s="2">
        <f>367.5*300</f>
        <v>110250</v>
      </c>
      <c r="J109" s="2">
        <v>0</v>
      </c>
      <c r="K109" s="21">
        <v>0</v>
      </c>
      <c r="L109" s="2">
        <v>0</v>
      </c>
      <c r="M109" s="18">
        <v>336</v>
      </c>
      <c r="N109" s="2">
        <f t="shared" si="105"/>
        <v>2217600</v>
      </c>
      <c r="O109" s="2">
        <v>0</v>
      </c>
      <c r="P109" s="2">
        <v>0</v>
      </c>
      <c r="Q109" s="18">
        <v>439.22</v>
      </c>
      <c r="R109" s="18">
        <f t="shared" si="115"/>
        <v>1405504</v>
      </c>
      <c r="S109" s="2">
        <v>0</v>
      </c>
      <c r="T109" s="18">
        <v>100000</v>
      </c>
      <c r="U109" s="6">
        <f t="shared" si="114"/>
        <v>6600</v>
      </c>
      <c r="V109" s="1"/>
      <c r="W109" s="1"/>
      <c r="X109" s="1"/>
      <c r="Y109" s="1"/>
      <c r="Z109" s="3"/>
    </row>
    <row r="110" spans="1:26" ht="45" customHeight="1" x14ac:dyDescent="0.25">
      <c r="A110" s="43" t="s">
        <v>263</v>
      </c>
      <c r="B110" s="43"/>
      <c r="C110" s="1">
        <f>SUM(C111:C113)</f>
        <v>12383200</v>
      </c>
      <c r="D110" s="1">
        <f t="shared" ref="D110:T110" si="116">SUM(D111:D113)</f>
        <v>2521200</v>
      </c>
      <c r="E110" s="1">
        <f t="shared" si="116"/>
        <v>588280</v>
      </c>
      <c r="F110" s="1">
        <f t="shared" si="116"/>
        <v>1092520</v>
      </c>
      <c r="G110" s="1">
        <f t="shared" si="116"/>
        <v>252120</v>
      </c>
      <c r="H110" s="1">
        <f t="shared" si="116"/>
        <v>336160</v>
      </c>
      <c r="I110" s="1">
        <f t="shared" si="116"/>
        <v>252120</v>
      </c>
      <c r="J110" s="1">
        <f t="shared" si="116"/>
        <v>0</v>
      </c>
      <c r="K110" s="33">
        <f t="shared" si="116"/>
        <v>0</v>
      </c>
      <c r="L110" s="1">
        <f t="shared" si="116"/>
        <v>0</v>
      </c>
      <c r="M110" s="1">
        <f t="shared" si="116"/>
        <v>1870</v>
      </c>
      <c r="N110" s="1">
        <f t="shared" si="116"/>
        <v>9762000</v>
      </c>
      <c r="O110" s="1">
        <f t="shared" si="116"/>
        <v>0</v>
      </c>
      <c r="P110" s="1">
        <f t="shared" si="116"/>
        <v>0</v>
      </c>
      <c r="Q110" s="1">
        <f t="shared" si="116"/>
        <v>0</v>
      </c>
      <c r="R110" s="1">
        <f t="shared" si="116"/>
        <v>0</v>
      </c>
      <c r="S110" s="1">
        <f t="shared" si="116"/>
        <v>0</v>
      </c>
      <c r="T110" s="1">
        <f t="shared" si="116"/>
        <v>100000</v>
      </c>
      <c r="U110" s="3" t="e">
        <f>C110+#REF!+#REF!</f>
        <v>#REF!</v>
      </c>
    </row>
    <row r="111" spans="1:26" ht="22.9" customHeight="1" x14ac:dyDescent="0.25">
      <c r="A111" s="37" t="s">
        <v>1239</v>
      </c>
      <c r="B111" s="9" t="s">
        <v>264</v>
      </c>
      <c r="C111" s="1">
        <f t="shared" ref="C111:C113" si="117">D111+L111+N111+P111+R111+S111+T111</f>
        <v>4422000</v>
      </c>
      <c r="D111" s="2">
        <f t="shared" ref="D111:D113" si="118">SUM(E111:J111)</f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1">
        <v>0</v>
      </c>
      <c r="L111" s="2">
        <v>0</v>
      </c>
      <c r="M111" s="2">
        <v>670</v>
      </c>
      <c r="N111" s="2">
        <f t="shared" si="105"/>
        <v>4422000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6">
        <f t="shared" ref="U111:U113" si="119">N111/M111</f>
        <v>6600</v>
      </c>
      <c r="V111" s="1"/>
      <c r="W111" s="1"/>
      <c r="X111" s="1"/>
      <c r="Y111" s="1"/>
      <c r="Z111" s="3"/>
    </row>
    <row r="112" spans="1:26" ht="22.9" customHeight="1" x14ac:dyDescent="0.25">
      <c r="A112" s="37" t="s">
        <v>1240</v>
      </c>
      <c r="B112" s="9" t="s">
        <v>265</v>
      </c>
      <c r="C112" s="1">
        <f t="shared" si="117"/>
        <v>2621200</v>
      </c>
      <c r="D112" s="2">
        <f t="shared" si="118"/>
        <v>2521200</v>
      </c>
      <c r="E112" s="2">
        <f>840.4*700</f>
        <v>588280</v>
      </c>
      <c r="F112" s="2">
        <f>840.4*1300</f>
        <v>1092520</v>
      </c>
      <c r="G112" s="2">
        <f>840.4*300</f>
        <v>252120</v>
      </c>
      <c r="H112" s="2">
        <f>840.4*400</f>
        <v>336160</v>
      </c>
      <c r="I112" s="2">
        <f>840.4*300</f>
        <v>252120</v>
      </c>
      <c r="J112" s="2">
        <v>0</v>
      </c>
      <c r="K112" s="21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18">
        <v>100000</v>
      </c>
      <c r="U112" s="6" t="e">
        <f t="shared" si="119"/>
        <v>#DIV/0!</v>
      </c>
      <c r="V112" s="1"/>
      <c r="W112" s="1"/>
      <c r="X112" s="1"/>
      <c r="Y112" s="1"/>
      <c r="Z112" s="3"/>
    </row>
    <row r="113" spans="1:28" ht="22.9" customHeight="1" x14ac:dyDescent="0.25">
      <c r="A113" s="37" t="s">
        <v>1241</v>
      </c>
      <c r="B113" s="9" t="s">
        <v>266</v>
      </c>
      <c r="C113" s="1">
        <f t="shared" si="117"/>
        <v>5340000</v>
      </c>
      <c r="D113" s="2">
        <f t="shared" si="118"/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1">
        <v>0</v>
      </c>
      <c r="L113" s="2">
        <v>0</v>
      </c>
      <c r="M113" s="2">
        <v>1200</v>
      </c>
      <c r="N113" s="2">
        <f>M113*4450</f>
        <v>5340000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6">
        <f t="shared" si="119"/>
        <v>4450</v>
      </c>
      <c r="V113" s="1"/>
      <c r="W113" s="1"/>
      <c r="X113" s="1"/>
      <c r="Y113" s="1"/>
      <c r="Z113" s="3"/>
    </row>
    <row r="114" spans="1:28" ht="45" customHeight="1" x14ac:dyDescent="0.25">
      <c r="A114" s="43" t="s">
        <v>272</v>
      </c>
      <c r="B114" s="43"/>
      <c r="C114" s="1">
        <f>SUM(C115:C121)</f>
        <v>30116790</v>
      </c>
      <c r="D114" s="1">
        <f t="shared" ref="D114:T114" si="120">SUM(D115:D121)</f>
        <v>2123690</v>
      </c>
      <c r="E114" s="1">
        <f t="shared" si="120"/>
        <v>1279880</v>
      </c>
      <c r="F114" s="1">
        <f t="shared" si="120"/>
        <v>0</v>
      </c>
      <c r="G114" s="1">
        <f t="shared" si="120"/>
        <v>513240</v>
      </c>
      <c r="H114" s="1">
        <f t="shared" si="120"/>
        <v>0</v>
      </c>
      <c r="I114" s="1">
        <f t="shared" si="120"/>
        <v>330570</v>
      </c>
      <c r="J114" s="1">
        <f t="shared" si="120"/>
        <v>0</v>
      </c>
      <c r="K114" s="33">
        <f t="shared" si="120"/>
        <v>0</v>
      </c>
      <c r="L114" s="1">
        <f t="shared" si="120"/>
        <v>0</v>
      </c>
      <c r="M114" s="1">
        <f t="shared" si="120"/>
        <v>2335.1</v>
      </c>
      <c r="N114" s="1">
        <f t="shared" si="120"/>
        <v>15411660</v>
      </c>
      <c r="O114" s="1">
        <f t="shared" si="120"/>
        <v>150</v>
      </c>
      <c r="P114" s="1">
        <f t="shared" si="120"/>
        <v>180000</v>
      </c>
      <c r="Q114" s="1">
        <f t="shared" si="120"/>
        <v>3628.6</v>
      </c>
      <c r="R114" s="1">
        <f t="shared" si="120"/>
        <v>11901440</v>
      </c>
      <c r="S114" s="1">
        <f t="shared" si="120"/>
        <v>0</v>
      </c>
      <c r="T114" s="1">
        <f t="shared" si="120"/>
        <v>500000</v>
      </c>
      <c r="U114" s="3" t="e">
        <f>C114+#REF!+#REF!</f>
        <v>#REF!</v>
      </c>
    </row>
    <row r="115" spans="1:28" ht="22.9" customHeight="1" x14ac:dyDescent="0.25">
      <c r="A115" s="37" t="s">
        <v>1242</v>
      </c>
      <c r="B115" s="9" t="s">
        <v>273</v>
      </c>
      <c r="C115" s="1">
        <f t="shared" ref="C115:C121" si="121">D115+L115+N115+P115+R115+S115+T115</f>
        <v>507520</v>
      </c>
      <c r="D115" s="2">
        <f t="shared" ref="D115:D121" si="122">SUM(E115:J115)</f>
        <v>117600</v>
      </c>
      <c r="E115" s="2">
        <f>117.6*700</f>
        <v>82320</v>
      </c>
      <c r="F115" s="2">
        <v>0</v>
      </c>
      <c r="G115" s="2">
        <v>0</v>
      </c>
      <c r="H115" s="2">
        <v>0</v>
      </c>
      <c r="I115" s="2">
        <f>117.6*300</f>
        <v>35280</v>
      </c>
      <c r="J115" s="2">
        <v>0</v>
      </c>
      <c r="K115" s="21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 t="s">
        <v>1153</v>
      </c>
      <c r="R115" s="18">
        <f t="shared" ref="R115:R127" si="123">Q115*3200</f>
        <v>289920</v>
      </c>
      <c r="S115" s="2">
        <v>0</v>
      </c>
      <c r="T115" s="18">
        <v>100000</v>
      </c>
      <c r="U115" s="6" t="e">
        <f t="shared" ref="U115:U121" si="124">N115/M115</f>
        <v>#DIV/0!</v>
      </c>
      <c r="V115" s="1"/>
      <c r="W115" s="1"/>
      <c r="X115" s="1"/>
      <c r="Y115" s="1"/>
      <c r="Z115" s="1"/>
      <c r="AA115" s="3"/>
    </row>
    <row r="116" spans="1:28" ht="22.9" customHeight="1" x14ac:dyDescent="0.25">
      <c r="A116" s="37" t="s">
        <v>1243</v>
      </c>
      <c r="B116" s="9" t="s">
        <v>274</v>
      </c>
      <c r="C116" s="1">
        <f t="shared" si="121"/>
        <v>2009940</v>
      </c>
      <c r="D116" s="2">
        <f t="shared" si="122"/>
        <v>693940</v>
      </c>
      <c r="E116" s="2">
        <f>533.8*700</f>
        <v>373659.99999999994</v>
      </c>
      <c r="F116" s="2">
        <v>0</v>
      </c>
      <c r="G116" s="2">
        <f>533.8*300</f>
        <v>160140</v>
      </c>
      <c r="H116" s="2">
        <v>0</v>
      </c>
      <c r="I116" s="2">
        <f>533.8*300</f>
        <v>160140</v>
      </c>
      <c r="J116" s="2">
        <v>0</v>
      </c>
      <c r="K116" s="21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380</v>
      </c>
      <c r="R116" s="18">
        <f t="shared" si="123"/>
        <v>1216000</v>
      </c>
      <c r="S116" s="2">
        <v>0</v>
      </c>
      <c r="T116" s="18">
        <v>100000</v>
      </c>
      <c r="U116" s="6" t="e">
        <f t="shared" si="124"/>
        <v>#DIV/0!</v>
      </c>
      <c r="V116" s="1"/>
      <c r="W116" s="1"/>
      <c r="X116" s="1"/>
      <c r="Y116" s="1"/>
      <c r="Z116" s="1"/>
      <c r="AA116" s="3"/>
    </row>
    <row r="117" spans="1:28" ht="22.9" customHeight="1" x14ac:dyDescent="0.25">
      <c r="A117" s="37" t="s">
        <v>1244</v>
      </c>
      <c r="B117" s="3" t="s">
        <v>275</v>
      </c>
      <c r="C117" s="1">
        <f t="shared" si="121"/>
        <v>11349379.999999998</v>
      </c>
      <c r="D117" s="2">
        <f t="shared" si="122"/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1">
        <v>0</v>
      </c>
      <c r="L117" s="2">
        <v>0</v>
      </c>
      <c r="M117" s="2">
        <v>1158.0999999999999</v>
      </c>
      <c r="N117" s="2">
        <f t="shared" ref="N117:N120" si="125">M117*6600</f>
        <v>7643459.9999999991</v>
      </c>
      <c r="O117" s="2">
        <v>0</v>
      </c>
      <c r="P117" s="2">
        <v>0</v>
      </c>
      <c r="Q117" s="2">
        <v>1158.0999999999999</v>
      </c>
      <c r="R117" s="18">
        <f t="shared" si="123"/>
        <v>3705919.9999999995</v>
      </c>
      <c r="S117" s="2">
        <v>0</v>
      </c>
      <c r="T117" s="2">
        <v>0</v>
      </c>
      <c r="U117" s="6">
        <f t="shared" si="124"/>
        <v>6600</v>
      </c>
      <c r="V117" s="1"/>
      <c r="W117" s="1"/>
      <c r="X117" s="1"/>
      <c r="Y117" s="1"/>
      <c r="Z117" s="1"/>
      <c r="AA117" s="3"/>
    </row>
    <row r="118" spans="1:28" ht="22.9" customHeight="1" x14ac:dyDescent="0.25">
      <c r="A118" s="37" t="s">
        <v>1245</v>
      </c>
      <c r="B118" s="3" t="s">
        <v>276</v>
      </c>
      <c r="C118" s="1">
        <f t="shared" si="121"/>
        <v>5144200</v>
      </c>
      <c r="D118" s="2">
        <f t="shared" si="122"/>
        <v>461500</v>
      </c>
      <c r="E118" s="2">
        <f>461.5*700</f>
        <v>323050</v>
      </c>
      <c r="F118" s="2">
        <v>0</v>
      </c>
      <c r="G118" s="2">
        <f>461.5*300</f>
        <v>138450</v>
      </c>
      <c r="H118" s="2">
        <v>0</v>
      </c>
      <c r="I118" s="2">
        <v>0</v>
      </c>
      <c r="J118" s="2">
        <v>0</v>
      </c>
      <c r="K118" s="21">
        <v>0</v>
      </c>
      <c r="L118" s="2">
        <v>0</v>
      </c>
      <c r="M118" s="2">
        <v>461.5</v>
      </c>
      <c r="N118" s="2">
        <f t="shared" si="125"/>
        <v>3045900</v>
      </c>
      <c r="O118" s="2">
        <v>50</v>
      </c>
      <c r="P118" s="2">
        <f>O118*1200</f>
        <v>60000</v>
      </c>
      <c r="Q118" s="2">
        <v>461.5</v>
      </c>
      <c r="R118" s="18">
        <f t="shared" si="123"/>
        <v>1476800</v>
      </c>
      <c r="S118" s="2">
        <v>0</v>
      </c>
      <c r="T118" s="18">
        <v>100000</v>
      </c>
      <c r="U118" s="6">
        <f t="shared" si="124"/>
        <v>6600</v>
      </c>
      <c r="V118" s="1"/>
      <c r="W118" s="1"/>
      <c r="X118" s="1"/>
      <c r="Y118" s="1"/>
      <c r="Z118" s="1"/>
      <c r="AA118" s="3"/>
    </row>
    <row r="119" spans="1:28" ht="22.9" customHeight="1" x14ac:dyDescent="0.25">
      <c r="A119" s="37" t="s">
        <v>1246</v>
      </c>
      <c r="B119" s="3" t="s">
        <v>277</v>
      </c>
      <c r="C119" s="1">
        <f t="shared" si="121"/>
        <v>3022000</v>
      </c>
      <c r="D119" s="2">
        <f t="shared" si="122"/>
        <v>265000</v>
      </c>
      <c r="E119" s="2">
        <f>265*700</f>
        <v>185500</v>
      </c>
      <c r="F119" s="2">
        <v>0</v>
      </c>
      <c r="G119" s="2">
        <f>265*300</f>
        <v>79500</v>
      </c>
      <c r="H119" s="2">
        <v>0</v>
      </c>
      <c r="I119" s="2">
        <v>0</v>
      </c>
      <c r="J119" s="2">
        <v>0</v>
      </c>
      <c r="K119" s="21">
        <v>0</v>
      </c>
      <c r="L119" s="2">
        <v>0</v>
      </c>
      <c r="M119" s="2">
        <v>265</v>
      </c>
      <c r="N119" s="2">
        <f t="shared" si="125"/>
        <v>1749000</v>
      </c>
      <c r="O119" s="2">
        <v>50</v>
      </c>
      <c r="P119" s="2">
        <f t="shared" ref="P119:P120" si="126">O119*1200</f>
        <v>60000</v>
      </c>
      <c r="Q119" s="2">
        <v>265</v>
      </c>
      <c r="R119" s="18">
        <f t="shared" si="123"/>
        <v>848000</v>
      </c>
      <c r="S119" s="2">
        <v>0</v>
      </c>
      <c r="T119" s="18">
        <v>100000</v>
      </c>
      <c r="U119" s="6">
        <f t="shared" si="124"/>
        <v>6600</v>
      </c>
      <c r="V119" s="1"/>
      <c r="W119" s="1"/>
      <c r="X119" s="1"/>
      <c r="Y119" s="1"/>
      <c r="Z119" s="1"/>
      <c r="AA119" s="3"/>
    </row>
    <row r="120" spans="1:28" ht="22.9" customHeight="1" x14ac:dyDescent="0.25">
      <c r="A120" s="37" t="s">
        <v>1247</v>
      </c>
      <c r="B120" s="3" t="s">
        <v>278</v>
      </c>
      <c r="C120" s="1">
        <f t="shared" si="121"/>
        <v>5160550</v>
      </c>
      <c r="D120" s="2">
        <f t="shared" si="122"/>
        <v>585650</v>
      </c>
      <c r="E120" s="2">
        <f>450.5*700</f>
        <v>315350</v>
      </c>
      <c r="F120" s="2">
        <v>0</v>
      </c>
      <c r="G120" s="2">
        <f>450.5*300</f>
        <v>135150</v>
      </c>
      <c r="H120" s="2">
        <v>0</v>
      </c>
      <c r="I120" s="2">
        <f>450.5*300</f>
        <v>135150</v>
      </c>
      <c r="J120" s="2">
        <v>0</v>
      </c>
      <c r="K120" s="21">
        <v>0</v>
      </c>
      <c r="L120" s="2">
        <v>0</v>
      </c>
      <c r="M120" s="2">
        <v>450.5</v>
      </c>
      <c r="N120" s="2">
        <f t="shared" si="125"/>
        <v>2973300</v>
      </c>
      <c r="O120" s="2">
        <v>50</v>
      </c>
      <c r="P120" s="2">
        <f t="shared" si="126"/>
        <v>60000</v>
      </c>
      <c r="Q120" s="2">
        <v>450.5</v>
      </c>
      <c r="R120" s="18">
        <f t="shared" si="123"/>
        <v>1441600</v>
      </c>
      <c r="S120" s="2">
        <v>0</v>
      </c>
      <c r="T120" s="18">
        <v>100000</v>
      </c>
      <c r="U120" s="6">
        <f t="shared" si="124"/>
        <v>6600</v>
      </c>
      <c r="V120" s="1"/>
      <c r="W120" s="1"/>
      <c r="X120" s="1"/>
      <c r="Y120" s="1"/>
      <c r="Z120" s="1"/>
      <c r="AA120" s="3"/>
    </row>
    <row r="121" spans="1:28" ht="22.9" customHeight="1" x14ac:dyDescent="0.25">
      <c r="A121" s="37" t="s">
        <v>1248</v>
      </c>
      <c r="B121" s="3" t="s">
        <v>289</v>
      </c>
      <c r="C121" s="1">
        <f t="shared" si="121"/>
        <v>2923200</v>
      </c>
      <c r="D121" s="2">
        <f t="shared" si="122"/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1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913.5</v>
      </c>
      <c r="R121" s="18">
        <f t="shared" si="123"/>
        <v>2923200</v>
      </c>
      <c r="S121" s="2">
        <v>0</v>
      </c>
      <c r="T121" s="2">
        <v>0</v>
      </c>
      <c r="U121" s="6" t="e">
        <f t="shared" si="124"/>
        <v>#DIV/0!</v>
      </c>
      <c r="V121" s="1"/>
      <c r="W121" s="1"/>
      <c r="X121" s="1"/>
      <c r="Y121" s="1"/>
      <c r="Z121" s="1"/>
      <c r="AA121" s="1"/>
      <c r="AB121" s="3"/>
    </row>
    <row r="122" spans="1:28" ht="45" customHeight="1" x14ac:dyDescent="0.25">
      <c r="A122" s="43" t="s">
        <v>293</v>
      </c>
      <c r="B122" s="43"/>
      <c r="C122" s="1">
        <f>SUM(C123)</f>
        <v>5130160</v>
      </c>
      <c r="D122" s="1">
        <f t="shared" ref="D122:T122" si="127">SUM(D123)</f>
        <v>1194300</v>
      </c>
      <c r="E122" s="1">
        <f t="shared" si="127"/>
        <v>278670</v>
      </c>
      <c r="F122" s="1">
        <f t="shared" si="127"/>
        <v>517530.00000000006</v>
      </c>
      <c r="G122" s="1">
        <f t="shared" si="127"/>
        <v>119430</v>
      </c>
      <c r="H122" s="1">
        <f t="shared" si="127"/>
        <v>159240</v>
      </c>
      <c r="I122" s="1">
        <f t="shared" si="127"/>
        <v>119430</v>
      </c>
      <c r="J122" s="1">
        <f t="shared" si="127"/>
        <v>0</v>
      </c>
      <c r="K122" s="33">
        <f t="shared" si="127"/>
        <v>0</v>
      </c>
      <c r="L122" s="1">
        <f t="shared" si="127"/>
        <v>0</v>
      </c>
      <c r="M122" s="1">
        <f t="shared" si="127"/>
        <v>382.5</v>
      </c>
      <c r="N122" s="1">
        <f t="shared" si="127"/>
        <v>2524500</v>
      </c>
      <c r="O122" s="1">
        <f t="shared" si="127"/>
        <v>0</v>
      </c>
      <c r="P122" s="1">
        <f t="shared" si="127"/>
        <v>0</v>
      </c>
      <c r="Q122" s="1">
        <f t="shared" si="127"/>
        <v>409.8</v>
      </c>
      <c r="R122" s="1">
        <f t="shared" si="127"/>
        <v>1311360</v>
      </c>
      <c r="S122" s="1">
        <f t="shared" si="127"/>
        <v>0</v>
      </c>
      <c r="T122" s="1">
        <f t="shared" si="127"/>
        <v>100000</v>
      </c>
      <c r="U122" s="3" t="e">
        <f>C122+#REF!+#REF!</f>
        <v>#REF!</v>
      </c>
    </row>
    <row r="123" spans="1:28" ht="22.9" customHeight="1" x14ac:dyDescent="0.25">
      <c r="A123" s="37" t="s">
        <v>1249</v>
      </c>
      <c r="B123" s="9" t="s">
        <v>294</v>
      </c>
      <c r="C123" s="1">
        <f t="shared" ref="C123" si="128">D123+L123+N123+P123+R123+S123+T123</f>
        <v>5130160</v>
      </c>
      <c r="D123" s="2">
        <f t="shared" ref="D123" si="129">SUM(E123:J123)</f>
        <v>1194300</v>
      </c>
      <c r="E123" s="2">
        <f>398.1*700</f>
        <v>278670</v>
      </c>
      <c r="F123" s="2">
        <f>398.1*1300</f>
        <v>517530.00000000006</v>
      </c>
      <c r="G123" s="2">
        <f>398.1*300</f>
        <v>119430</v>
      </c>
      <c r="H123" s="2">
        <f>398.1*400</f>
        <v>159240</v>
      </c>
      <c r="I123" s="2">
        <f>398.1*300</f>
        <v>119430</v>
      </c>
      <c r="J123" s="2">
        <v>0</v>
      </c>
      <c r="K123" s="21">
        <v>0</v>
      </c>
      <c r="L123" s="2">
        <v>0</v>
      </c>
      <c r="M123" s="18">
        <v>382.5</v>
      </c>
      <c r="N123" s="2">
        <f t="shared" ref="N123:N127" si="130">M123*6600</f>
        <v>2524500</v>
      </c>
      <c r="O123" s="2">
        <v>0</v>
      </c>
      <c r="P123" s="2">
        <v>0</v>
      </c>
      <c r="Q123" s="18">
        <v>409.8</v>
      </c>
      <c r="R123" s="18">
        <f t="shared" si="123"/>
        <v>1311360</v>
      </c>
      <c r="S123" s="2">
        <v>0</v>
      </c>
      <c r="T123" s="18">
        <v>100000</v>
      </c>
      <c r="U123" s="6">
        <f t="shared" ref="U123" si="131">N123/M123</f>
        <v>6600</v>
      </c>
      <c r="V123" s="1"/>
      <c r="W123" s="1"/>
      <c r="X123" s="1"/>
      <c r="Y123" s="1"/>
      <c r="Z123" s="1"/>
      <c r="AA123" s="3"/>
    </row>
    <row r="124" spans="1:28" ht="45" customHeight="1" x14ac:dyDescent="0.25">
      <c r="A124" s="43" t="s">
        <v>298</v>
      </c>
      <c r="B124" s="43"/>
      <c r="C124" s="1">
        <f>SUM(C125)</f>
        <v>5946460</v>
      </c>
      <c r="D124" s="1">
        <f t="shared" ref="D124:T124" si="132">SUM(D125)</f>
        <v>2010600.0000000002</v>
      </c>
      <c r="E124" s="1">
        <f t="shared" si="132"/>
        <v>469140.00000000006</v>
      </c>
      <c r="F124" s="1">
        <f t="shared" si="132"/>
        <v>871260.00000000012</v>
      </c>
      <c r="G124" s="1">
        <f t="shared" si="132"/>
        <v>201060</v>
      </c>
      <c r="H124" s="1">
        <f t="shared" si="132"/>
        <v>268080</v>
      </c>
      <c r="I124" s="1">
        <f t="shared" si="132"/>
        <v>201060</v>
      </c>
      <c r="J124" s="1">
        <f t="shared" si="132"/>
        <v>0</v>
      </c>
      <c r="K124" s="33">
        <f t="shared" si="132"/>
        <v>0</v>
      </c>
      <c r="L124" s="1">
        <f t="shared" si="132"/>
        <v>0</v>
      </c>
      <c r="M124" s="1">
        <f t="shared" si="132"/>
        <v>382.5</v>
      </c>
      <c r="N124" s="1">
        <f t="shared" si="132"/>
        <v>2524500</v>
      </c>
      <c r="O124" s="1">
        <f t="shared" si="132"/>
        <v>0</v>
      </c>
      <c r="P124" s="1">
        <f t="shared" si="132"/>
        <v>0</v>
      </c>
      <c r="Q124" s="1">
        <f t="shared" si="132"/>
        <v>409.8</v>
      </c>
      <c r="R124" s="1">
        <f t="shared" si="132"/>
        <v>1311360</v>
      </c>
      <c r="S124" s="1">
        <f t="shared" si="132"/>
        <v>0</v>
      </c>
      <c r="T124" s="1">
        <f t="shared" si="132"/>
        <v>100000</v>
      </c>
      <c r="U124" s="3" t="e">
        <f>C124+#REF!+#REF!</f>
        <v>#REF!</v>
      </c>
    </row>
    <row r="125" spans="1:28" ht="22.9" customHeight="1" x14ac:dyDescent="0.25">
      <c r="A125" s="37" t="s">
        <v>1250</v>
      </c>
      <c r="B125" s="9" t="s">
        <v>299</v>
      </c>
      <c r="C125" s="1">
        <f t="shared" ref="C125" si="133">D125+L125+N125+P125+R125+S125+T125</f>
        <v>5946460</v>
      </c>
      <c r="D125" s="2">
        <f t="shared" ref="D125" si="134">SUM(E125:J125)</f>
        <v>2010600.0000000002</v>
      </c>
      <c r="E125" s="2">
        <f>670.2*700</f>
        <v>469140.00000000006</v>
      </c>
      <c r="F125" s="2">
        <f>670.2*1300</f>
        <v>871260.00000000012</v>
      </c>
      <c r="G125" s="2">
        <f>670.2*300</f>
        <v>201060</v>
      </c>
      <c r="H125" s="2">
        <f>670.2*400</f>
        <v>268080</v>
      </c>
      <c r="I125" s="2">
        <f>670.2*300</f>
        <v>201060</v>
      </c>
      <c r="J125" s="2">
        <v>0</v>
      </c>
      <c r="K125" s="21">
        <v>0</v>
      </c>
      <c r="L125" s="2">
        <v>0</v>
      </c>
      <c r="M125" s="18">
        <v>382.5</v>
      </c>
      <c r="N125" s="2">
        <f t="shared" si="130"/>
        <v>2524500</v>
      </c>
      <c r="O125" s="2">
        <v>0</v>
      </c>
      <c r="P125" s="2">
        <v>0</v>
      </c>
      <c r="Q125" s="18">
        <v>409.8</v>
      </c>
      <c r="R125" s="18">
        <f t="shared" si="123"/>
        <v>1311360</v>
      </c>
      <c r="S125" s="2">
        <v>0</v>
      </c>
      <c r="T125" s="18">
        <v>100000</v>
      </c>
      <c r="U125" s="6">
        <f t="shared" ref="U125" si="135">N125/M125</f>
        <v>6600</v>
      </c>
      <c r="V125" s="1"/>
      <c r="W125" s="1"/>
      <c r="X125" s="1"/>
      <c r="Y125" s="1"/>
      <c r="Z125" s="1"/>
      <c r="AA125" s="3"/>
    </row>
    <row r="126" spans="1:28" ht="45" customHeight="1" x14ac:dyDescent="0.25">
      <c r="A126" s="43" t="s">
        <v>303</v>
      </c>
      <c r="B126" s="43"/>
      <c r="C126" s="1">
        <f>SUM(C127)</f>
        <v>4412860</v>
      </c>
      <c r="D126" s="1">
        <f t="shared" ref="D126:T126" si="136">SUM(D127)</f>
        <v>522860</v>
      </c>
      <c r="E126" s="1">
        <f t="shared" si="136"/>
        <v>281540</v>
      </c>
      <c r="F126" s="1">
        <f t="shared" si="136"/>
        <v>0</v>
      </c>
      <c r="G126" s="1">
        <f t="shared" si="136"/>
        <v>120660</v>
      </c>
      <c r="H126" s="1">
        <f t="shared" si="136"/>
        <v>0</v>
      </c>
      <c r="I126" s="1">
        <f t="shared" si="136"/>
        <v>120660</v>
      </c>
      <c r="J126" s="1">
        <f t="shared" si="136"/>
        <v>0</v>
      </c>
      <c r="K126" s="33">
        <f t="shared" si="136"/>
        <v>0</v>
      </c>
      <c r="L126" s="1">
        <f t="shared" si="136"/>
        <v>0</v>
      </c>
      <c r="M126" s="1">
        <f t="shared" si="136"/>
        <v>358</v>
      </c>
      <c r="N126" s="1">
        <f t="shared" si="136"/>
        <v>2362800</v>
      </c>
      <c r="O126" s="1">
        <f t="shared" si="136"/>
        <v>0</v>
      </c>
      <c r="P126" s="1">
        <f t="shared" si="136"/>
        <v>0</v>
      </c>
      <c r="Q126" s="1">
        <f t="shared" si="136"/>
        <v>446</v>
      </c>
      <c r="R126" s="1">
        <f t="shared" si="136"/>
        <v>1427200</v>
      </c>
      <c r="S126" s="1">
        <f t="shared" si="136"/>
        <v>0</v>
      </c>
      <c r="T126" s="1">
        <f t="shared" si="136"/>
        <v>100000</v>
      </c>
      <c r="U126" s="3" t="e">
        <f>C126+#REF!+#REF!</f>
        <v>#REF!</v>
      </c>
    </row>
    <row r="127" spans="1:28" ht="22.9" customHeight="1" x14ac:dyDescent="0.25">
      <c r="A127" s="37" t="s">
        <v>1251</v>
      </c>
      <c r="B127" s="9" t="s">
        <v>304</v>
      </c>
      <c r="C127" s="1">
        <f t="shared" ref="C127" si="137">D127+L127+N127+P127+R127+S127+T127</f>
        <v>4412860</v>
      </c>
      <c r="D127" s="2">
        <f t="shared" ref="D127" si="138">SUM(E127:J127)</f>
        <v>522860</v>
      </c>
      <c r="E127" s="2">
        <f>402.2*700</f>
        <v>281540</v>
      </c>
      <c r="F127" s="2">
        <v>0</v>
      </c>
      <c r="G127" s="2">
        <f>402.2*300</f>
        <v>120660</v>
      </c>
      <c r="H127" s="2">
        <v>0</v>
      </c>
      <c r="I127" s="2">
        <f>402.2*300</f>
        <v>120660</v>
      </c>
      <c r="J127" s="2">
        <v>0</v>
      </c>
      <c r="K127" s="21">
        <v>0</v>
      </c>
      <c r="L127" s="2">
        <v>0</v>
      </c>
      <c r="M127" s="2">
        <v>358</v>
      </c>
      <c r="N127" s="2">
        <f t="shared" si="130"/>
        <v>2362800</v>
      </c>
      <c r="O127" s="2">
        <v>0</v>
      </c>
      <c r="P127" s="2">
        <v>0</v>
      </c>
      <c r="Q127" s="2">
        <v>446</v>
      </c>
      <c r="R127" s="18">
        <f t="shared" si="123"/>
        <v>1427200</v>
      </c>
      <c r="S127" s="2">
        <v>0</v>
      </c>
      <c r="T127" s="18">
        <v>100000</v>
      </c>
      <c r="U127" s="6">
        <f t="shared" ref="U127" si="139">N127/M127</f>
        <v>6600</v>
      </c>
      <c r="V127" s="1"/>
      <c r="W127" s="1"/>
      <c r="X127" s="1"/>
      <c r="Y127" s="1"/>
      <c r="Z127" s="1"/>
      <c r="AA127" s="3"/>
    </row>
    <row r="128" spans="1:28" ht="45" customHeight="1" x14ac:dyDescent="0.25">
      <c r="A128" s="43" t="s">
        <v>307</v>
      </c>
      <c r="B128" s="43"/>
      <c r="C128" s="1">
        <f>SUM(C129:C130)</f>
        <v>5896800</v>
      </c>
      <c r="D128" s="1">
        <f t="shared" ref="D128:T128" si="140">SUM(D129:D130)</f>
        <v>2295000</v>
      </c>
      <c r="E128" s="1">
        <f t="shared" si="140"/>
        <v>535500</v>
      </c>
      <c r="F128" s="1">
        <f t="shared" si="140"/>
        <v>994500</v>
      </c>
      <c r="G128" s="1">
        <f t="shared" si="140"/>
        <v>229500</v>
      </c>
      <c r="H128" s="1">
        <f t="shared" si="140"/>
        <v>306000</v>
      </c>
      <c r="I128" s="1">
        <f t="shared" si="140"/>
        <v>229500</v>
      </c>
      <c r="J128" s="1">
        <f t="shared" si="140"/>
        <v>0</v>
      </c>
      <c r="K128" s="33">
        <f t="shared" si="140"/>
        <v>0</v>
      </c>
      <c r="L128" s="1">
        <f t="shared" si="140"/>
        <v>0</v>
      </c>
      <c r="M128" s="1">
        <f t="shared" si="140"/>
        <v>341</v>
      </c>
      <c r="N128" s="1">
        <f t="shared" si="140"/>
        <v>2250600</v>
      </c>
      <c r="O128" s="1">
        <f t="shared" si="140"/>
        <v>50</v>
      </c>
      <c r="P128" s="1">
        <f t="shared" si="140"/>
        <v>60000</v>
      </c>
      <c r="Q128" s="1">
        <f t="shared" si="140"/>
        <v>341</v>
      </c>
      <c r="R128" s="1">
        <f t="shared" si="140"/>
        <v>1091200</v>
      </c>
      <c r="S128" s="1">
        <f t="shared" si="140"/>
        <v>0</v>
      </c>
      <c r="T128" s="1">
        <f t="shared" si="140"/>
        <v>200000</v>
      </c>
      <c r="U128" s="3" t="e">
        <f>C128+#REF!+#REF!</f>
        <v>#REF!</v>
      </c>
    </row>
    <row r="129" spans="1:28" ht="22.9" customHeight="1" x14ac:dyDescent="0.25">
      <c r="A129" s="37" t="s">
        <v>1252</v>
      </c>
      <c r="B129" s="9" t="s">
        <v>308</v>
      </c>
      <c r="C129" s="1">
        <f t="shared" ref="C129:C130" si="141">D129+L129+N129+P129+R129+S129+T129</f>
        <v>4524800</v>
      </c>
      <c r="D129" s="2">
        <f t="shared" ref="D129:D130" si="142">SUM(E129:J129)</f>
        <v>1023000</v>
      </c>
      <c r="E129" s="2">
        <f>341*700</f>
        <v>238700</v>
      </c>
      <c r="F129" s="2">
        <f>341*1300</f>
        <v>443300</v>
      </c>
      <c r="G129" s="2">
        <f>341*300</f>
        <v>102300</v>
      </c>
      <c r="H129" s="2">
        <f>341*400</f>
        <v>136400</v>
      </c>
      <c r="I129" s="2">
        <f>341*300</f>
        <v>102300</v>
      </c>
      <c r="J129" s="2">
        <v>0</v>
      </c>
      <c r="K129" s="21">
        <v>0</v>
      </c>
      <c r="L129" s="2">
        <v>0</v>
      </c>
      <c r="M129" s="2">
        <v>341</v>
      </c>
      <c r="N129" s="2">
        <f t="shared" ref="N129" si="143">M129*6600</f>
        <v>2250600</v>
      </c>
      <c r="O129" s="2">
        <v>50</v>
      </c>
      <c r="P129" s="2">
        <f>O129*1200</f>
        <v>60000</v>
      </c>
      <c r="Q129" s="2">
        <v>341</v>
      </c>
      <c r="R129" s="18">
        <f t="shared" ref="R129" si="144">Q129*3200</f>
        <v>1091200</v>
      </c>
      <c r="S129" s="2">
        <v>0</v>
      </c>
      <c r="T129" s="18">
        <v>100000</v>
      </c>
      <c r="U129" s="6">
        <f t="shared" ref="U129:U130" si="145">N129/M129</f>
        <v>6600</v>
      </c>
      <c r="V129" s="1"/>
      <c r="W129" s="1"/>
      <c r="X129" s="1"/>
      <c r="Y129" s="1"/>
      <c r="Z129" s="1"/>
      <c r="AA129" s="3"/>
    </row>
    <row r="130" spans="1:28" ht="22.9" customHeight="1" x14ac:dyDescent="0.25">
      <c r="A130" s="37" t="s">
        <v>1253</v>
      </c>
      <c r="B130" s="9" t="s">
        <v>309</v>
      </c>
      <c r="C130" s="1">
        <f t="shared" si="141"/>
        <v>1372000</v>
      </c>
      <c r="D130" s="2">
        <f t="shared" si="142"/>
        <v>1272000</v>
      </c>
      <c r="E130" s="2">
        <f>424*700</f>
        <v>296800</v>
      </c>
      <c r="F130" s="2">
        <f>424*1300</f>
        <v>551200</v>
      </c>
      <c r="G130" s="2">
        <f>424*300</f>
        <v>127200</v>
      </c>
      <c r="H130" s="2">
        <f>424*400</f>
        <v>169600</v>
      </c>
      <c r="I130" s="2">
        <f>424*300</f>
        <v>127200</v>
      </c>
      <c r="J130" s="2">
        <v>0</v>
      </c>
      <c r="K130" s="21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18">
        <v>100000</v>
      </c>
      <c r="U130" s="6" t="e">
        <f t="shared" si="145"/>
        <v>#DIV/0!</v>
      </c>
      <c r="V130" s="1"/>
      <c r="W130" s="1"/>
      <c r="X130" s="1"/>
      <c r="Y130" s="1"/>
      <c r="Z130" s="1"/>
      <c r="AA130" s="3"/>
    </row>
    <row r="131" spans="1:28" ht="40.15" customHeight="1" x14ac:dyDescent="0.25">
      <c r="A131" s="43" t="s">
        <v>316</v>
      </c>
      <c r="B131" s="43"/>
      <c r="C131" s="1">
        <f>SUM(C132:C133)</f>
        <v>7569610</v>
      </c>
      <c r="D131" s="1">
        <f t="shared" ref="D131:T131" si="146">SUM(D132:D133)</f>
        <v>542010</v>
      </c>
      <c r="E131" s="1">
        <f t="shared" si="146"/>
        <v>542010</v>
      </c>
      <c r="F131" s="1">
        <f t="shared" si="146"/>
        <v>0</v>
      </c>
      <c r="G131" s="1">
        <f t="shared" si="146"/>
        <v>0</v>
      </c>
      <c r="H131" s="1">
        <f t="shared" si="146"/>
        <v>0</v>
      </c>
      <c r="I131" s="1">
        <f t="shared" si="146"/>
        <v>0</v>
      </c>
      <c r="J131" s="1">
        <f t="shared" si="146"/>
        <v>0</v>
      </c>
      <c r="K131" s="33">
        <f t="shared" si="146"/>
        <v>0</v>
      </c>
      <c r="L131" s="1">
        <f t="shared" si="146"/>
        <v>0</v>
      </c>
      <c r="M131" s="1">
        <f t="shared" si="146"/>
        <v>690</v>
      </c>
      <c r="N131" s="1">
        <f t="shared" si="146"/>
        <v>4554000</v>
      </c>
      <c r="O131" s="1">
        <f t="shared" si="146"/>
        <v>0</v>
      </c>
      <c r="P131" s="1">
        <f t="shared" si="146"/>
        <v>0</v>
      </c>
      <c r="Q131" s="1">
        <f t="shared" si="146"/>
        <v>648</v>
      </c>
      <c r="R131" s="1">
        <f t="shared" si="146"/>
        <v>2073600</v>
      </c>
      <c r="S131" s="1">
        <f t="shared" si="146"/>
        <v>300000</v>
      </c>
      <c r="T131" s="1">
        <f t="shared" si="146"/>
        <v>100000</v>
      </c>
      <c r="U131" s="3" t="e">
        <f>C131+#REF!+#REF!</f>
        <v>#REF!</v>
      </c>
    </row>
    <row r="132" spans="1:28" ht="22.9" customHeight="1" x14ac:dyDescent="0.25">
      <c r="A132" s="37" t="s">
        <v>1254</v>
      </c>
      <c r="B132" s="9" t="s">
        <v>317</v>
      </c>
      <c r="C132" s="1">
        <f t="shared" ref="C132:C133" si="147">D132+L132+N132+P132+R132+S132+T132</f>
        <v>3753210</v>
      </c>
      <c r="D132" s="2">
        <f t="shared" ref="D132:D133" si="148">SUM(E132:J132)</f>
        <v>259210</v>
      </c>
      <c r="E132" s="2">
        <f>370.3*700</f>
        <v>259210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1">
        <v>0</v>
      </c>
      <c r="L132" s="2">
        <v>0</v>
      </c>
      <c r="M132" s="18">
        <v>342</v>
      </c>
      <c r="N132" s="2">
        <f t="shared" ref="N132:N133" si="149">M132*6600</f>
        <v>2257200</v>
      </c>
      <c r="O132" s="2">
        <v>0</v>
      </c>
      <c r="P132" s="2">
        <v>0</v>
      </c>
      <c r="Q132" s="18">
        <v>324</v>
      </c>
      <c r="R132" s="18">
        <f t="shared" ref="R132:R135" si="150">Q132*3200</f>
        <v>1036800</v>
      </c>
      <c r="S132" s="2">
        <v>150000</v>
      </c>
      <c r="T132" s="18">
        <v>50000</v>
      </c>
      <c r="U132" s="6">
        <f t="shared" ref="U132:U133" si="151">N132/M132</f>
        <v>6600</v>
      </c>
      <c r="V132" s="1"/>
      <c r="W132" s="1"/>
      <c r="X132" s="1"/>
      <c r="Y132" s="1"/>
      <c r="Z132" s="1"/>
      <c r="AA132" s="3"/>
    </row>
    <row r="133" spans="1:28" ht="22.9" customHeight="1" x14ac:dyDescent="0.25">
      <c r="A133" s="37" t="s">
        <v>1255</v>
      </c>
      <c r="B133" s="9" t="s">
        <v>318</v>
      </c>
      <c r="C133" s="1">
        <f t="shared" si="147"/>
        <v>3816400</v>
      </c>
      <c r="D133" s="2">
        <f t="shared" si="148"/>
        <v>282800</v>
      </c>
      <c r="E133" s="2">
        <f>404*700</f>
        <v>282800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1">
        <v>0</v>
      </c>
      <c r="L133" s="2">
        <v>0</v>
      </c>
      <c r="M133" s="18">
        <v>348</v>
      </c>
      <c r="N133" s="2">
        <f t="shared" si="149"/>
        <v>2296800</v>
      </c>
      <c r="O133" s="2">
        <v>0</v>
      </c>
      <c r="P133" s="2">
        <v>0</v>
      </c>
      <c r="Q133" s="18">
        <v>324</v>
      </c>
      <c r="R133" s="18">
        <f t="shared" si="150"/>
        <v>1036800</v>
      </c>
      <c r="S133" s="2">
        <v>150000</v>
      </c>
      <c r="T133" s="18">
        <v>50000</v>
      </c>
      <c r="U133" s="6">
        <f t="shared" si="151"/>
        <v>6600</v>
      </c>
      <c r="V133" s="1"/>
      <c r="W133" s="1"/>
      <c r="X133" s="1"/>
      <c r="Y133" s="1"/>
      <c r="Z133" s="1"/>
      <c r="AA133" s="3"/>
    </row>
    <row r="134" spans="1:28" ht="45" customHeight="1" x14ac:dyDescent="0.25">
      <c r="A134" s="43" t="s">
        <v>323</v>
      </c>
      <c r="B134" s="43"/>
      <c r="C134" s="1">
        <f>SUM(C135)</f>
        <v>2699440</v>
      </c>
      <c r="D134" s="1">
        <f t="shared" ref="D134:T134" si="152">SUM(D135)</f>
        <v>1309200</v>
      </c>
      <c r="E134" s="1">
        <f t="shared" si="152"/>
        <v>305480</v>
      </c>
      <c r="F134" s="1">
        <f t="shared" si="152"/>
        <v>567320</v>
      </c>
      <c r="G134" s="1">
        <f t="shared" si="152"/>
        <v>130920</v>
      </c>
      <c r="H134" s="1">
        <f t="shared" si="152"/>
        <v>174560</v>
      </c>
      <c r="I134" s="1">
        <f t="shared" si="152"/>
        <v>130920</v>
      </c>
      <c r="J134" s="1">
        <f t="shared" si="152"/>
        <v>0</v>
      </c>
      <c r="K134" s="33">
        <f t="shared" si="152"/>
        <v>0</v>
      </c>
      <c r="L134" s="1">
        <f t="shared" si="152"/>
        <v>0</v>
      </c>
      <c r="M134" s="1">
        <f t="shared" si="152"/>
        <v>0</v>
      </c>
      <c r="N134" s="1">
        <f t="shared" si="152"/>
        <v>0</v>
      </c>
      <c r="O134" s="1">
        <f t="shared" si="152"/>
        <v>0</v>
      </c>
      <c r="P134" s="1">
        <f t="shared" si="152"/>
        <v>0</v>
      </c>
      <c r="Q134" s="1">
        <f t="shared" si="152"/>
        <v>403.2</v>
      </c>
      <c r="R134" s="1">
        <f t="shared" si="152"/>
        <v>1290240</v>
      </c>
      <c r="S134" s="1">
        <f t="shared" si="152"/>
        <v>0</v>
      </c>
      <c r="T134" s="1">
        <f t="shared" si="152"/>
        <v>100000</v>
      </c>
      <c r="U134" s="3" t="e">
        <f>C134+#REF!+#REF!</f>
        <v>#REF!</v>
      </c>
    </row>
    <row r="135" spans="1:28" ht="25.15" customHeight="1" x14ac:dyDescent="0.25">
      <c r="A135" s="37" t="s">
        <v>1256</v>
      </c>
      <c r="B135" s="9" t="s">
        <v>324</v>
      </c>
      <c r="C135" s="1">
        <f t="shared" ref="C135" si="153">D135+L135+N135+P135+R135+S135+T135</f>
        <v>2699440</v>
      </c>
      <c r="D135" s="2">
        <f t="shared" ref="D135" si="154">SUM(E135:J135)</f>
        <v>1309200</v>
      </c>
      <c r="E135" s="2">
        <f>436.4*700</f>
        <v>305480</v>
      </c>
      <c r="F135" s="2">
        <f>436.4*1300</f>
        <v>567320</v>
      </c>
      <c r="G135" s="2">
        <f>436.4*300</f>
        <v>130920</v>
      </c>
      <c r="H135" s="2">
        <f>436.4*400</f>
        <v>174560</v>
      </c>
      <c r="I135" s="2">
        <f>436.4*300</f>
        <v>130920</v>
      </c>
      <c r="J135" s="2">
        <v>0</v>
      </c>
      <c r="K135" s="21">
        <v>0</v>
      </c>
      <c r="L135" s="2">
        <v>0</v>
      </c>
      <c r="M135" s="2">
        <v>0</v>
      </c>
      <c r="N135" s="2">
        <v>0</v>
      </c>
      <c r="O135" s="2">
        <v>0</v>
      </c>
      <c r="P135" s="14">
        <v>0</v>
      </c>
      <c r="Q135" s="18">
        <v>403.2</v>
      </c>
      <c r="R135" s="18">
        <f t="shared" si="150"/>
        <v>1290240</v>
      </c>
      <c r="S135" s="2">
        <v>0</v>
      </c>
      <c r="T135" s="18">
        <v>100000</v>
      </c>
      <c r="U135" s="6" t="e">
        <f t="shared" ref="U135" si="155">N135/M135</f>
        <v>#DIV/0!</v>
      </c>
      <c r="V135" s="1"/>
      <c r="W135" s="1"/>
      <c r="X135" s="1"/>
      <c r="Y135" s="1"/>
      <c r="Z135" s="1"/>
      <c r="AA135" s="3"/>
    </row>
    <row r="136" spans="1:28" ht="45" customHeight="1" x14ac:dyDescent="0.25">
      <c r="A136" s="43" t="s">
        <v>334</v>
      </c>
      <c r="B136" s="43"/>
      <c r="C136" s="1">
        <f>SUM(C137)</f>
        <v>250000</v>
      </c>
      <c r="D136" s="1">
        <f t="shared" ref="D136:T136" si="156">SUM(D137)</f>
        <v>0</v>
      </c>
      <c r="E136" s="1">
        <f t="shared" si="156"/>
        <v>0</v>
      </c>
      <c r="F136" s="1">
        <f t="shared" si="156"/>
        <v>0</v>
      </c>
      <c r="G136" s="1">
        <f t="shared" si="156"/>
        <v>0</v>
      </c>
      <c r="H136" s="1">
        <f t="shared" si="156"/>
        <v>0</v>
      </c>
      <c r="I136" s="1">
        <f t="shared" si="156"/>
        <v>0</v>
      </c>
      <c r="J136" s="1">
        <f t="shared" si="156"/>
        <v>0</v>
      </c>
      <c r="K136" s="33">
        <f t="shared" si="156"/>
        <v>0</v>
      </c>
      <c r="L136" s="1">
        <f t="shared" si="156"/>
        <v>0</v>
      </c>
      <c r="M136" s="1">
        <f t="shared" si="156"/>
        <v>0</v>
      </c>
      <c r="N136" s="1">
        <f t="shared" si="156"/>
        <v>0</v>
      </c>
      <c r="O136" s="1">
        <f t="shared" si="156"/>
        <v>0</v>
      </c>
      <c r="P136" s="1">
        <f t="shared" si="156"/>
        <v>0</v>
      </c>
      <c r="Q136" s="1">
        <f t="shared" si="156"/>
        <v>0</v>
      </c>
      <c r="R136" s="1">
        <f t="shared" si="156"/>
        <v>0</v>
      </c>
      <c r="S136" s="1">
        <f t="shared" si="156"/>
        <v>150000</v>
      </c>
      <c r="T136" s="1">
        <f t="shared" si="156"/>
        <v>100000</v>
      </c>
      <c r="U136" s="3" t="e">
        <f>C136+#REF!+#REF!</f>
        <v>#REF!</v>
      </c>
    </row>
    <row r="137" spans="1:28" ht="25.15" customHeight="1" x14ac:dyDescent="0.25">
      <c r="A137" s="37" t="s">
        <v>1257</v>
      </c>
      <c r="B137" s="9" t="s">
        <v>335</v>
      </c>
      <c r="C137" s="1">
        <f t="shared" ref="C137" si="157">D137+L137+N137+P137+R137+S137+T137</f>
        <v>250000</v>
      </c>
      <c r="D137" s="2">
        <f t="shared" ref="D137" si="158">SUM(E137:J137)</f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1">
        <v>0</v>
      </c>
      <c r="L137" s="2">
        <v>0</v>
      </c>
      <c r="M137" s="18">
        <v>0</v>
      </c>
      <c r="N137" s="2">
        <f t="shared" ref="N137" si="159">M137*6600</f>
        <v>0</v>
      </c>
      <c r="O137" s="2">
        <v>0</v>
      </c>
      <c r="P137" s="2">
        <v>0</v>
      </c>
      <c r="Q137" s="18">
        <v>0</v>
      </c>
      <c r="R137" s="18">
        <f t="shared" ref="R137" si="160">Q137*3200</f>
        <v>0</v>
      </c>
      <c r="S137" s="2">
        <v>150000</v>
      </c>
      <c r="T137" s="18">
        <v>100000</v>
      </c>
      <c r="U137" s="6" t="e">
        <f t="shared" ref="U137" si="161">N137/M137</f>
        <v>#DIV/0!</v>
      </c>
      <c r="V137" s="1"/>
      <c r="W137" s="1"/>
      <c r="X137" s="1"/>
      <c r="Y137" s="1"/>
      <c r="Z137" s="1"/>
      <c r="AA137" s="3"/>
    </row>
    <row r="138" spans="1:28" ht="45" customHeight="1" x14ac:dyDescent="0.25">
      <c r="A138" s="43" t="s">
        <v>336</v>
      </c>
      <c r="B138" s="43"/>
      <c r="C138" s="1">
        <f>SUM(C139)</f>
        <v>4100000</v>
      </c>
      <c r="D138" s="1">
        <f t="shared" ref="D138:T138" si="162">SUM(D139)</f>
        <v>375000</v>
      </c>
      <c r="E138" s="1">
        <f t="shared" si="162"/>
        <v>262500</v>
      </c>
      <c r="F138" s="1">
        <f t="shared" si="162"/>
        <v>0</v>
      </c>
      <c r="G138" s="1">
        <f t="shared" si="162"/>
        <v>112500</v>
      </c>
      <c r="H138" s="1">
        <f t="shared" si="162"/>
        <v>0</v>
      </c>
      <c r="I138" s="1">
        <f t="shared" si="162"/>
        <v>0</v>
      </c>
      <c r="J138" s="1">
        <f t="shared" si="162"/>
        <v>0</v>
      </c>
      <c r="K138" s="33">
        <f t="shared" si="162"/>
        <v>0</v>
      </c>
      <c r="L138" s="1">
        <f t="shared" si="162"/>
        <v>0</v>
      </c>
      <c r="M138" s="1">
        <f t="shared" si="162"/>
        <v>375</v>
      </c>
      <c r="N138" s="1">
        <f t="shared" si="162"/>
        <v>2475000</v>
      </c>
      <c r="O138" s="1">
        <f t="shared" si="162"/>
        <v>0</v>
      </c>
      <c r="P138" s="1">
        <f t="shared" si="162"/>
        <v>0</v>
      </c>
      <c r="Q138" s="1">
        <f t="shared" si="162"/>
        <v>375</v>
      </c>
      <c r="R138" s="1">
        <f t="shared" si="162"/>
        <v>1200000</v>
      </c>
      <c r="S138" s="1">
        <f t="shared" si="162"/>
        <v>0</v>
      </c>
      <c r="T138" s="1">
        <f t="shared" si="162"/>
        <v>50000</v>
      </c>
      <c r="U138" s="3" t="e">
        <f>C138+#REF!+#REF!</f>
        <v>#REF!</v>
      </c>
    </row>
    <row r="139" spans="1:28" ht="22.9" customHeight="1" x14ac:dyDescent="0.25">
      <c r="A139" s="37" t="s">
        <v>1258</v>
      </c>
      <c r="B139" s="9" t="s">
        <v>337</v>
      </c>
      <c r="C139" s="1">
        <f t="shared" ref="C139" si="163">D139+L139+N139+P139+R139+S139+T139</f>
        <v>4100000</v>
      </c>
      <c r="D139" s="2">
        <f t="shared" ref="D139" si="164">SUM(E139:J139)</f>
        <v>375000</v>
      </c>
      <c r="E139" s="2">
        <f>375*700</f>
        <v>262500</v>
      </c>
      <c r="F139" s="2">
        <v>0</v>
      </c>
      <c r="G139" s="2">
        <f>375*300</f>
        <v>112500</v>
      </c>
      <c r="H139" s="2">
        <v>0</v>
      </c>
      <c r="I139" s="2">
        <v>0</v>
      </c>
      <c r="J139" s="2">
        <v>0</v>
      </c>
      <c r="K139" s="21">
        <v>0</v>
      </c>
      <c r="L139" s="2">
        <v>0</v>
      </c>
      <c r="M139" s="18">
        <v>375</v>
      </c>
      <c r="N139" s="2">
        <f t="shared" ref="N139" si="165">M139*6600</f>
        <v>2475000</v>
      </c>
      <c r="O139" s="2">
        <v>0</v>
      </c>
      <c r="P139" s="2">
        <v>0</v>
      </c>
      <c r="Q139" s="18">
        <v>375</v>
      </c>
      <c r="R139" s="18">
        <f t="shared" ref="R139" si="166">Q139*3200</f>
        <v>1200000</v>
      </c>
      <c r="S139" s="2">
        <v>0</v>
      </c>
      <c r="T139" s="18">
        <v>50000</v>
      </c>
      <c r="U139" s="6">
        <f t="shared" ref="U139" si="167">N139/M139</f>
        <v>6600</v>
      </c>
      <c r="V139" s="1"/>
      <c r="W139" s="1"/>
      <c r="X139" s="1"/>
      <c r="Y139" s="1"/>
      <c r="Z139" s="1"/>
      <c r="AA139" s="3"/>
    </row>
    <row r="140" spans="1:28" ht="45" customHeight="1" x14ac:dyDescent="0.25">
      <c r="A140" s="43" t="s">
        <v>338</v>
      </c>
      <c r="B140" s="43"/>
      <c r="C140" s="1">
        <f>SUM(C141:C144)</f>
        <v>16344056</v>
      </c>
      <c r="D140" s="1">
        <f t="shared" ref="D140:T140" si="168">SUM(D141:D144)</f>
        <v>3283070</v>
      </c>
      <c r="E140" s="1">
        <f t="shared" si="168"/>
        <v>915040</v>
      </c>
      <c r="F140" s="1">
        <f t="shared" si="168"/>
        <v>1699360</v>
      </c>
      <c r="G140" s="1">
        <f t="shared" si="168"/>
        <v>392160</v>
      </c>
      <c r="H140" s="1">
        <f t="shared" si="168"/>
        <v>0</v>
      </c>
      <c r="I140" s="1">
        <f t="shared" si="168"/>
        <v>276510</v>
      </c>
      <c r="J140" s="1">
        <f t="shared" si="168"/>
        <v>0</v>
      </c>
      <c r="K140" s="33">
        <f t="shared" si="168"/>
        <v>0</v>
      </c>
      <c r="L140" s="1">
        <f t="shared" si="168"/>
        <v>0</v>
      </c>
      <c r="M140" s="1">
        <f t="shared" si="168"/>
        <v>931.81</v>
      </c>
      <c r="N140" s="1">
        <f t="shared" si="168"/>
        <v>6149946</v>
      </c>
      <c r="O140" s="1">
        <f t="shared" si="168"/>
        <v>0</v>
      </c>
      <c r="P140" s="1">
        <f t="shared" si="168"/>
        <v>0</v>
      </c>
      <c r="Q140" s="1">
        <f t="shared" si="168"/>
        <v>2097.1999999999998</v>
      </c>
      <c r="R140" s="1">
        <f t="shared" si="168"/>
        <v>6711040</v>
      </c>
      <c r="S140" s="1">
        <f t="shared" si="168"/>
        <v>0</v>
      </c>
      <c r="T140" s="1">
        <f t="shared" si="168"/>
        <v>200000</v>
      </c>
      <c r="U140" s="3" t="e">
        <f>C140+#REF!+#REF!</f>
        <v>#REF!</v>
      </c>
    </row>
    <row r="141" spans="1:28" ht="22.9" customHeight="1" x14ac:dyDescent="0.25">
      <c r="A141" s="37" t="s">
        <v>1259</v>
      </c>
      <c r="B141" s="9" t="s">
        <v>339</v>
      </c>
      <c r="C141" s="7">
        <f>D141+L141+N141+P141+R141+S141+T141</f>
        <v>8954606</v>
      </c>
      <c r="D141" s="2">
        <f>SUM(E141:J141)</f>
        <v>2396420</v>
      </c>
      <c r="E141" s="2">
        <f>700*921.7</f>
        <v>645190</v>
      </c>
      <c r="F141" s="2">
        <f>1300*921.7</f>
        <v>1198210</v>
      </c>
      <c r="G141" s="2">
        <f>300*921.7</f>
        <v>276510</v>
      </c>
      <c r="H141" s="2">
        <v>0</v>
      </c>
      <c r="I141" s="2">
        <f>300*921.7</f>
        <v>276510</v>
      </c>
      <c r="J141" s="2">
        <v>0</v>
      </c>
      <c r="K141" s="32">
        <v>0</v>
      </c>
      <c r="L141" s="8">
        <v>0</v>
      </c>
      <c r="M141" s="18">
        <v>557.80999999999995</v>
      </c>
      <c r="N141" s="18">
        <f>M141*6600</f>
        <v>3681545.9999999995</v>
      </c>
      <c r="O141" s="8">
        <v>0</v>
      </c>
      <c r="P141" s="8">
        <v>0</v>
      </c>
      <c r="Q141" s="18">
        <v>867.7</v>
      </c>
      <c r="R141" s="18">
        <f>Q141*3200</f>
        <v>2776640</v>
      </c>
      <c r="S141" s="8">
        <v>0</v>
      </c>
      <c r="T141" s="2">
        <v>100000</v>
      </c>
      <c r="U141" s="6">
        <f>N141/M141</f>
        <v>6600</v>
      </c>
      <c r="V141" s="1"/>
      <c r="W141" s="1"/>
      <c r="X141" s="1"/>
      <c r="Y141" s="1"/>
      <c r="Z141" s="1"/>
      <c r="AA141" s="1"/>
      <c r="AB141" s="3"/>
    </row>
    <row r="142" spans="1:28" ht="22.9" customHeight="1" x14ac:dyDescent="0.25">
      <c r="A142" s="37" t="s">
        <v>1260</v>
      </c>
      <c r="B142" s="9" t="s">
        <v>340</v>
      </c>
      <c r="C142" s="7">
        <f t="shared" ref="C142:C144" si="169">D142+L142+N142+P142+R142+S142+T142</f>
        <v>4688650</v>
      </c>
      <c r="D142" s="2">
        <f>SUM(E142:J142)</f>
        <v>886650</v>
      </c>
      <c r="E142" s="2">
        <f>700*385.5</f>
        <v>269850</v>
      </c>
      <c r="F142" s="2">
        <f>1300*385.5</f>
        <v>501150</v>
      </c>
      <c r="G142" s="2">
        <f>300*385.5</f>
        <v>115650</v>
      </c>
      <c r="H142" s="2">
        <v>0</v>
      </c>
      <c r="I142" s="2">
        <v>0</v>
      </c>
      <c r="J142" s="2">
        <v>0</v>
      </c>
      <c r="K142" s="32">
        <v>0</v>
      </c>
      <c r="L142" s="8">
        <v>0</v>
      </c>
      <c r="M142" s="18">
        <v>374</v>
      </c>
      <c r="N142" s="18">
        <f>M142*6600</f>
        <v>2468400</v>
      </c>
      <c r="O142" s="8">
        <v>0</v>
      </c>
      <c r="P142" s="8">
        <v>0</v>
      </c>
      <c r="Q142" s="18">
        <v>385.5</v>
      </c>
      <c r="R142" s="18">
        <f t="shared" ref="R142:R150" si="170">Q142*3200</f>
        <v>1233600</v>
      </c>
      <c r="S142" s="8">
        <v>0</v>
      </c>
      <c r="T142" s="2">
        <v>100000</v>
      </c>
      <c r="U142" s="6">
        <f>N142/M142</f>
        <v>6600</v>
      </c>
      <c r="V142" s="1"/>
      <c r="W142" s="1"/>
      <c r="X142" s="1"/>
      <c r="Y142" s="1"/>
      <c r="Z142" s="1"/>
      <c r="AA142" s="1"/>
      <c r="AB142" s="3"/>
    </row>
    <row r="143" spans="1:28" ht="22.9" customHeight="1" x14ac:dyDescent="0.25">
      <c r="A143" s="37" t="s">
        <v>1261</v>
      </c>
      <c r="B143" s="9" t="s">
        <v>341</v>
      </c>
      <c r="C143" s="7">
        <f t="shared" si="169"/>
        <v>903360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0</v>
      </c>
      <c r="K143" s="32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18">
        <v>282.3</v>
      </c>
      <c r="R143" s="18">
        <f t="shared" si="170"/>
        <v>903360</v>
      </c>
      <c r="S143" s="8">
        <v>0</v>
      </c>
      <c r="T143" s="8">
        <v>0</v>
      </c>
      <c r="U143" s="6"/>
      <c r="V143" s="1"/>
      <c r="W143" s="1"/>
      <c r="X143" s="1"/>
      <c r="Y143" s="1"/>
      <c r="Z143" s="1"/>
      <c r="AA143" s="1"/>
      <c r="AB143" s="3"/>
    </row>
    <row r="144" spans="1:28" ht="22.9" customHeight="1" x14ac:dyDescent="0.25">
      <c r="A144" s="37" t="s">
        <v>1262</v>
      </c>
      <c r="B144" s="9" t="s">
        <v>342</v>
      </c>
      <c r="C144" s="7">
        <f t="shared" si="169"/>
        <v>1797440.0000000002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32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18">
        <v>561.70000000000005</v>
      </c>
      <c r="R144" s="18">
        <f t="shared" si="170"/>
        <v>1797440.0000000002</v>
      </c>
      <c r="S144" s="8">
        <v>0</v>
      </c>
      <c r="T144" s="8">
        <v>0</v>
      </c>
      <c r="U144" s="6"/>
      <c r="V144" s="1"/>
      <c r="W144" s="1"/>
      <c r="X144" s="1"/>
      <c r="Y144" s="1"/>
      <c r="Z144" s="1"/>
      <c r="AA144" s="1"/>
      <c r="AB144" s="3"/>
    </row>
    <row r="145" spans="1:28" ht="45" customHeight="1" x14ac:dyDescent="0.25">
      <c r="A145" s="43" t="s">
        <v>353</v>
      </c>
      <c r="B145" s="43"/>
      <c r="C145" s="1">
        <f>SUM(C146:C150)</f>
        <v>11257620</v>
      </c>
      <c r="D145" s="1">
        <f t="shared" ref="D145:T145" si="171">SUM(D146:D150)</f>
        <v>2792660</v>
      </c>
      <c r="E145" s="1">
        <f t="shared" si="171"/>
        <v>1310820</v>
      </c>
      <c r="F145" s="1">
        <f t="shared" si="171"/>
        <v>1002170</v>
      </c>
      <c r="G145" s="1">
        <f t="shared" si="171"/>
        <v>355470</v>
      </c>
      <c r="H145" s="1">
        <f t="shared" si="171"/>
        <v>0</v>
      </c>
      <c r="I145" s="1">
        <f t="shared" si="171"/>
        <v>124200</v>
      </c>
      <c r="J145" s="1">
        <f t="shared" si="171"/>
        <v>0</v>
      </c>
      <c r="K145" s="33">
        <f t="shared" si="171"/>
        <v>0</v>
      </c>
      <c r="L145" s="1">
        <f t="shared" si="171"/>
        <v>0</v>
      </c>
      <c r="M145" s="1">
        <f t="shared" si="171"/>
        <v>0</v>
      </c>
      <c r="N145" s="1">
        <f t="shared" si="171"/>
        <v>0</v>
      </c>
      <c r="O145" s="1">
        <f t="shared" si="171"/>
        <v>50</v>
      </c>
      <c r="P145" s="1">
        <f t="shared" si="171"/>
        <v>60000</v>
      </c>
      <c r="Q145" s="1">
        <f t="shared" si="171"/>
        <v>2282.8000000000002</v>
      </c>
      <c r="R145" s="1">
        <f>SUM(R146:R150)</f>
        <v>7304960</v>
      </c>
      <c r="S145" s="1">
        <f t="shared" si="171"/>
        <v>600000</v>
      </c>
      <c r="T145" s="1">
        <f t="shared" si="171"/>
        <v>500000</v>
      </c>
      <c r="U145" s="3" t="e">
        <f>C145+#REF!+#REF!</f>
        <v>#REF!</v>
      </c>
    </row>
    <row r="146" spans="1:28" ht="22.9" customHeight="1" x14ac:dyDescent="0.25">
      <c r="A146" s="37" t="s">
        <v>1263</v>
      </c>
      <c r="B146" s="3" t="s">
        <v>354</v>
      </c>
      <c r="C146" s="7">
        <f t="shared" ref="C146:C147" si="172">D146+L146+N146+P146+R146+S146+T146</f>
        <v>1791010</v>
      </c>
      <c r="D146" s="2">
        <f t="shared" ref="D146:D147" si="173">SUM(E146:J146)</f>
        <v>190610</v>
      </c>
      <c r="E146" s="2">
        <f>700*272.3</f>
        <v>190610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1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18">
        <v>422</v>
      </c>
      <c r="R146" s="18">
        <f t="shared" si="170"/>
        <v>1350400</v>
      </c>
      <c r="S146" s="2">
        <v>150000</v>
      </c>
      <c r="T146" s="2">
        <v>100000</v>
      </c>
      <c r="U146" s="6" t="e">
        <f t="shared" ref="U146:U150" si="174">N146/M146</f>
        <v>#DIV/0!</v>
      </c>
      <c r="V146" s="1"/>
      <c r="W146" s="1"/>
      <c r="X146" s="1"/>
      <c r="Y146" s="1"/>
      <c r="Z146" s="1"/>
      <c r="AA146" s="1"/>
      <c r="AB146" s="3"/>
    </row>
    <row r="147" spans="1:28" ht="22.9" customHeight="1" x14ac:dyDescent="0.25">
      <c r="A147" s="37" t="s">
        <v>1264</v>
      </c>
      <c r="B147" s="3" t="s">
        <v>355</v>
      </c>
      <c r="C147" s="7">
        <f t="shared" si="172"/>
        <v>1577580</v>
      </c>
      <c r="D147" s="2">
        <f t="shared" si="173"/>
        <v>290780</v>
      </c>
      <c r="E147" s="2">
        <f>700*415.4</f>
        <v>290780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1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18">
        <v>324</v>
      </c>
      <c r="R147" s="18">
        <f t="shared" si="170"/>
        <v>1036800</v>
      </c>
      <c r="S147" s="2">
        <v>150000</v>
      </c>
      <c r="T147" s="2">
        <v>100000</v>
      </c>
      <c r="U147" s="6" t="e">
        <f t="shared" si="174"/>
        <v>#DIV/0!</v>
      </c>
      <c r="V147" s="1"/>
      <c r="W147" s="1"/>
      <c r="X147" s="1"/>
      <c r="Y147" s="1"/>
      <c r="Z147" s="1"/>
      <c r="AA147" s="1"/>
      <c r="AB147" s="3"/>
    </row>
    <row r="148" spans="1:28" ht="22.9" customHeight="1" x14ac:dyDescent="0.25">
      <c r="A148" s="37" t="s">
        <v>1265</v>
      </c>
      <c r="B148" s="3" t="s">
        <v>356</v>
      </c>
      <c r="C148" s="7">
        <f t="shared" ref="C148" si="175">D148+L148+N148+P148+R148+S148+T148</f>
        <v>2605400</v>
      </c>
      <c r="D148" s="2">
        <f t="shared" ref="D148" si="176">SUM(E148:J148)</f>
        <v>538200</v>
      </c>
      <c r="E148" s="2">
        <f>700*414</f>
        <v>289800</v>
      </c>
      <c r="F148" s="2">
        <v>0</v>
      </c>
      <c r="G148" s="2">
        <f>300*414</f>
        <v>124200</v>
      </c>
      <c r="H148" s="2">
        <v>0</v>
      </c>
      <c r="I148" s="2">
        <f>300*414</f>
        <v>124200</v>
      </c>
      <c r="J148" s="2">
        <v>0</v>
      </c>
      <c r="K148" s="21">
        <v>0</v>
      </c>
      <c r="L148" s="2">
        <v>0</v>
      </c>
      <c r="M148" s="2">
        <v>0</v>
      </c>
      <c r="N148" s="2">
        <v>0</v>
      </c>
      <c r="O148" s="2">
        <v>50</v>
      </c>
      <c r="P148" s="2">
        <f>O148*1200</f>
        <v>60000</v>
      </c>
      <c r="Q148" s="18">
        <v>596</v>
      </c>
      <c r="R148" s="18">
        <f t="shared" si="170"/>
        <v>1907200</v>
      </c>
      <c r="S148" s="2">
        <v>0</v>
      </c>
      <c r="T148" s="2">
        <v>100000</v>
      </c>
      <c r="U148" s="6" t="e">
        <f t="shared" si="174"/>
        <v>#DIV/0!</v>
      </c>
      <c r="V148" s="1"/>
      <c r="W148" s="1"/>
      <c r="X148" s="1"/>
      <c r="Y148" s="1"/>
      <c r="Z148" s="1"/>
      <c r="AA148" s="1"/>
      <c r="AB148" s="3"/>
    </row>
    <row r="149" spans="1:28" ht="22.9" customHeight="1" x14ac:dyDescent="0.25">
      <c r="A149" s="37" t="s">
        <v>1266</v>
      </c>
      <c r="B149" s="3" t="s">
        <v>357</v>
      </c>
      <c r="C149" s="7">
        <f t="shared" ref="C149:C150" si="177">D149+L149+N149+P149+R149+S149+T149</f>
        <v>2663550</v>
      </c>
      <c r="D149" s="2">
        <f t="shared" ref="D149:D150" si="178">SUM(E149:J149)</f>
        <v>908270</v>
      </c>
      <c r="E149" s="2">
        <f>700*394.9</f>
        <v>276430</v>
      </c>
      <c r="F149" s="2">
        <f>1300*394.9</f>
        <v>513369.99999999994</v>
      </c>
      <c r="G149" s="2">
        <f>300*394.9</f>
        <v>118470</v>
      </c>
      <c r="H149" s="2">
        <v>0</v>
      </c>
      <c r="I149" s="2">
        <v>0</v>
      </c>
      <c r="J149" s="2">
        <v>0</v>
      </c>
      <c r="K149" s="21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18">
        <v>470.4</v>
      </c>
      <c r="R149" s="18">
        <f t="shared" si="170"/>
        <v>1505280</v>
      </c>
      <c r="S149" s="2">
        <v>150000</v>
      </c>
      <c r="T149" s="2">
        <v>100000</v>
      </c>
      <c r="U149" s="6" t="e">
        <f t="shared" si="174"/>
        <v>#DIV/0!</v>
      </c>
      <c r="V149" s="1"/>
      <c r="W149" s="1"/>
      <c r="X149" s="1"/>
      <c r="Y149" s="1"/>
      <c r="Z149" s="1"/>
      <c r="AA149" s="1"/>
      <c r="AB149" s="3"/>
    </row>
    <row r="150" spans="1:28" ht="22.9" customHeight="1" x14ac:dyDescent="0.25">
      <c r="A150" s="37" t="s">
        <v>1267</v>
      </c>
      <c r="B150" s="3" t="s">
        <v>358</v>
      </c>
      <c r="C150" s="7">
        <f t="shared" si="177"/>
        <v>2620080</v>
      </c>
      <c r="D150" s="2">
        <f t="shared" si="178"/>
        <v>864800</v>
      </c>
      <c r="E150" s="2">
        <f>700*376</f>
        <v>263200</v>
      </c>
      <c r="F150" s="2">
        <f>1300*376</f>
        <v>488800</v>
      </c>
      <c r="G150" s="2">
        <f>300*376</f>
        <v>112800</v>
      </c>
      <c r="H150" s="2">
        <v>0</v>
      </c>
      <c r="I150" s="2">
        <v>0</v>
      </c>
      <c r="J150" s="2">
        <v>0</v>
      </c>
      <c r="K150" s="21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18">
        <v>470.4</v>
      </c>
      <c r="R150" s="18">
        <f t="shared" si="170"/>
        <v>1505280</v>
      </c>
      <c r="S150" s="2">
        <v>150000</v>
      </c>
      <c r="T150" s="2">
        <v>100000</v>
      </c>
      <c r="U150" s="6" t="e">
        <f t="shared" si="174"/>
        <v>#DIV/0!</v>
      </c>
      <c r="V150" s="1"/>
      <c r="W150" s="1"/>
      <c r="X150" s="1"/>
      <c r="Y150" s="1"/>
      <c r="Z150" s="1"/>
      <c r="AA150" s="3"/>
    </row>
    <row r="151" spans="1:28" ht="45" customHeight="1" x14ac:dyDescent="0.25">
      <c r="A151" s="43" t="s">
        <v>369</v>
      </c>
      <c r="B151" s="43"/>
      <c r="C151" s="1">
        <f>SUM(C152:C154)</f>
        <v>5803670</v>
      </c>
      <c r="D151" s="1">
        <f t="shared" ref="D151:T151" si="179">SUM(D152:D154)</f>
        <v>664370</v>
      </c>
      <c r="E151" s="1">
        <f t="shared" si="179"/>
        <v>664370</v>
      </c>
      <c r="F151" s="1">
        <f t="shared" si="179"/>
        <v>0</v>
      </c>
      <c r="G151" s="1">
        <f t="shared" si="179"/>
        <v>0</v>
      </c>
      <c r="H151" s="1">
        <f t="shared" si="179"/>
        <v>0</v>
      </c>
      <c r="I151" s="1">
        <f t="shared" si="179"/>
        <v>0</v>
      </c>
      <c r="J151" s="1">
        <f t="shared" si="179"/>
        <v>0</v>
      </c>
      <c r="K151" s="33">
        <f t="shared" si="179"/>
        <v>0</v>
      </c>
      <c r="L151" s="1">
        <f t="shared" si="179"/>
        <v>0</v>
      </c>
      <c r="M151" s="1">
        <f t="shared" si="179"/>
        <v>450</v>
      </c>
      <c r="N151" s="1">
        <f t="shared" si="179"/>
        <v>2002500</v>
      </c>
      <c r="O151" s="1">
        <f t="shared" si="179"/>
        <v>0</v>
      </c>
      <c r="P151" s="1">
        <f t="shared" si="179"/>
        <v>0</v>
      </c>
      <c r="Q151" s="1">
        <f t="shared" si="179"/>
        <v>824</v>
      </c>
      <c r="R151" s="1">
        <f t="shared" si="179"/>
        <v>2636800</v>
      </c>
      <c r="S151" s="1">
        <f t="shared" si="179"/>
        <v>300000</v>
      </c>
      <c r="T151" s="1">
        <f t="shared" si="179"/>
        <v>200000</v>
      </c>
      <c r="U151" s="3" t="e">
        <f>C151+#REF!+#REF!</f>
        <v>#REF!</v>
      </c>
    </row>
    <row r="152" spans="1:28" ht="22.9" customHeight="1" x14ac:dyDescent="0.25">
      <c r="A152" s="37" t="s">
        <v>1268</v>
      </c>
      <c r="B152" s="3" t="s">
        <v>1156</v>
      </c>
      <c r="C152" s="7">
        <f>D152+L152+N152+P152+R152+S152+T152</f>
        <v>2002500</v>
      </c>
      <c r="D152" s="2">
        <f>SUM(E152:J152)</f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2">
        <v>0</v>
      </c>
      <c r="K152" s="21">
        <v>0</v>
      </c>
      <c r="L152" s="2">
        <v>0</v>
      </c>
      <c r="M152" s="2">
        <v>450</v>
      </c>
      <c r="N152" s="2">
        <f>M152*4450</f>
        <v>2002500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6">
        <f t="shared" ref="U152:U215" si="180">N152/M152</f>
        <v>4450</v>
      </c>
      <c r="V152" s="1"/>
      <c r="W152" s="1"/>
      <c r="X152" s="1"/>
      <c r="Y152" s="1"/>
      <c r="Z152" s="1"/>
      <c r="AA152" s="1"/>
      <c r="AB152" s="3"/>
    </row>
    <row r="153" spans="1:28" ht="22.9" customHeight="1" x14ac:dyDescent="0.25">
      <c r="A153" s="37" t="s">
        <v>1269</v>
      </c>
      <c r="B153" s="3" t="s">
        <v>370</v>
      </c>
      <c r="C153" s="7">
        <f t="shared" ref="C153" si="181">D153+L153+N153+P153+R153+S153+T153</f>
        <v>1900480</v>
      </c>
      <c r="D153" s="2">
        <f>SUM(E153:J153)</f>
        <v>332080</v>
      </c>
      <c r="E153" s="2">
        <f>700*474.4</f>
        <v>332080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1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18">
        <v>412</v>
      </c>
      <c r="R153" s="18">
        <f t="shared" ref="R153:R156" si="182">Q153*3200</f>
        <v>1318400</v>
      </c>
      <c r="S153" s="2">
        <v>150000</v>
      </c>
      <c r="T153" s="2">
        <v>100000</v>
      </c>
      <c r="U153" s="6" t="e">
        <f t="shared" si="180"/>
        <v>#DIV/0!</v>
      </c>
      <c r="V153" s="1"/>
      <c r="W153" s="1"/>
      <c r="X153" s="1"/>
      <c r="Y153" s="1"/>
      <c r="Z153" s="1"/>
      <c r="AA153" s="1"/>
      <c r="AB153" s="3"/>
    </row>
    <row r="154" spans="1:28" ht="22.9" customHeight="1" x14ac:dyDescent="0.25">
      <c r="A154" s="37" t="s">
        <v>1270</v>
      </c>
      <c r="B154" s="3" t="s">
        <v>371</v>
      </c>
      <c r="C154" s="7">
        <f t="shared" ref="C154" si="183">D154+L154+N154+P154+R154+S154+T154</f>
        <v>1900690</v>
      </c>
      <c r="D154" s="2">
        <f>SUM(E154:J154)</f>
        <v>332290</v>
      </c>
      <c r="E154" s="2">
        <f>700*474.7</f>
        <v>332290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1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18">
        <v>412</v>
      </c>
      <c r="R154" s="18">
        <f t="shared" si="182"/>
        <v>1318400</v>
      </c>
      <c r="S154" s="2">
        <v>150000</v>
      </c>
      <c r="T154" s="2">
        <v>100000</v>
      </c>
      <c r="U154" s="6" t="e">
        <f>N154/M154</f>
        <v>#DIV/0!</v>
      </c>
      <c r="V154" s="1"/>
      <c r="W154" s="1"/>
      <c r="X154" s="1"/>
      <c r="Y154" s="1"/>
      <c r="Z154" s="1"/>
      <c r="AA154" s="1"/>
      <c r="AB154" s="3"/>
    </row>
    <row r="155" spans="1:28" ht="45" customHeight="1" x14ac:dyDescent="0.25">
      <c r="A155" s="43" t="s">
        <v>378</v>
      </c>
      <c r="B155" s="43"/>
      <c r="C155" s="1">
        <f>SUM(C156)</f>
        <v>2813972</v>
      </c>
      <c r="D155" s="1">
        <f t="shared" ref="D155:T155" si="184">SUM(D156)</f>
        <v>363440.00000000006</v>
      </c>
      <c r="E155" s="1">
        <f t="shared" si="184"/>
        <v>363440.00000000006</v>
      </c>
      <c r="F155" s="1">
        <f t="shared" si="184"/>
        <v>0</v>
      </c>
      <c r="G155" s="1">
        <f t="shared" si="184"/>
        <v>0</v>
      </c>
      <c r="H155" s="1">
        <f t="shared" si="184"/>
        <v>0</v>
      </c>
      <c r="I155" s="1">
        <f t="shared" si="184"/>
        <v>0</v>
      </c>
      <c r="J155" s="1">
        <f t="shared" si="184"/>
        <v>0</v>
      </c>
      <c r="K155" s="33">
        <f t="shared" si="184"/>
        <v>0</v>
      </c>
      <c r="L155" s="1">
        <f t="shared" si="184"/>
        <v>0</v>
      </c>
      <c r="M155" s="1">
        <f t="shared" si="184"/>
        <v>205.3</v>
      </c>
      <c r="N155" s="1">
        <f t="shared" si="184"/>
        <v>1354980</v>
      </c>
      <c r="O155" s="1">
        <f t="shared" si="184"/>
        <v>0</v>
      </c>
      <c r="P155" s="1">
        <f t="shared" si="184"/>
        <v>0</v>
      </c>
      <c r="Q155" s="1">
        <f t="shared" si="184"/>
        <v>311.11</v>
      </c>
      <c r="R155" s="1">
        <f t="shared" si="184"/>
        <v>995552</v>
      </c>
      <c r="S155" s="1">
        <f t="shared" si="184"/>
        <v>0</v>
      </c>
      <c r="T155" s="1">
        <f t="shared" si="184"/>
        <v>100000</v>
      </c>
      <c r="U155" s="3" t="e">
        <f>C155+#REF!+#REF!</f>
        <v>#REF!</v>
      </c>
    </row>
    <row r="156" spans="1:28" ht="22.9" customHeight="1" x14ac:dyDescent="0.25">
      <c r="A156" s="37" t="s">
        <v>1271</v>
      </c>
      <c r="B156" s="3" t="s">
        <v>379</v>
      </c>
      <c r="C156" s="7">
        <f t="shared" ref="C156" si="185">D156+L156+N156+P156+R156+S156+T156</f>
        <v>2813972</v>
      </c>
      <c r="D156" s="2">
        <f>SUM(E156:J156)</f>
        <v>363440.00000000006</v>
      </c>
      <c r="E156" s="2">
        <f>700*519.2</f>
        <v>363440.00000000006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1">
        <v>0</v>
      </c>
      <c r="L156" s="2">
        <v>0</v>
      </c>
      <c r="M156" s="18">
        <v>205.3</v>
      </c>
      <c r="N156" s="18">
        <f>M156*6600</f>
        <v>1354980</v>
      </c>
      <c r="O156" s="2">
        <v>0</v>
      </c>
      <c r="P156" s="2">
        <v>0</v>
      </c>
      <c r="Q156" s="18">
        <v>311.11</v>
      </c>
      <c r="R156" s="18">
        <f t="shared" si="182"/>
        <v>995552</v>
      </c>
      <c r="S156" s="2">
        <v>0</v>
      </c>
      <c r="T156" s="2">
        <v>100000</v>
      </c>
      <c r="U156" s="6">
        <f t="shared" si="180"/>
        <v>6600</v>
      </c>
      <c r="V156" s="1"/>
      <c r="W156" s="1"/>
      <c r="X156" s="1"/>
      <c r="Y156" s="1"/>
      <c r="Z156" s="1"/>
      <c r="AA156" s="1"/>
      <c r="AB156" s="3"/>
    </row>
    <row r="157" spans="1:28" ht="45" customHeight="1" x14ac:dyDescent="0.25">
      <c r="A157" s="43" t="s">
        <v>381</v>
      </c>
      <c r="B157" s="43"/>
      <c r="C157" s="1">
        <f>SUM(C158:C160)</f>
        <v>10672560</v>
      </c>
      <c r="D157" s="1">
        <f t="shared" ref="D157:T157" si="186">SUM(D158:D160)</f>
        <v>4810720</v>
      </c>
      <c r="E157" s="1">
        <f t="shared" si="186"/>
        <v>1473360</v>
      </c>
      <c r="F157" s="1">
        <f t="shared" si="186"/>
        <v>2198560</v>
      </c>
      <c r="G157" s="1">
        <f t="shared" si="186"/>
        <v>631440</v>
      </c>
      <c r="H157" s="1">
        <f t="shared" si="186"/>
        <v>0</v>
      </c>
      <c r="I157" s="1">
        <f t="shared" si="186"/>
        <v>507360</v>
      </c>
      <c r="J157" s="1">
        <f t="shared" si="186"/>
        <v>0</v>
      </c>
      <c r="K157" s="33">
        <f t="shared" si="186"/>
        <v>0</v>
      </c>
      <c r="L157" s="1">
        <f t="shared" si="186"/>
        <v>0</v>
      </c>
      <c r="M157" s="1">
        <f t="shared" si="186"/>
        <v>0</v>
      </c>
      <c r="N157" s="1">
        <f t="shared" si="186"/>
        <v>0</v>
      </c>
      <c r="O157" s="1">
        <f t="shared" si="186"/>
        <v>0</v>
      </c>
      <c r="P157" s="1">
        <f t="shared" si="186"/>
        <v>0</v>
      </c>
      <c r="Q157" s="1">
        <f t="shared" si="186"/>
        <v>1691.2</v>
      </c>
      <c r="R157" s="1">
        <f t="shared" si="186"/>
        <v>5411840</v>
      </c>
      <c r="S157" s="1">
        <f t="shared" si="186"/>
        <v>150000</v>
      </c>
      <c r="T157" s="1">
        <f t="shared" si="186"/>
        <v>300000</v>
      </c>
      <c r="U157" s="3" t="e">
        <f>C157+#REF!+#REF!</f>
        <v>#REF!</v>
      </c>
    </row>
    <row r="158" spans="1:28" ht="22.9" customHeight="1" x14ac:dyDescent="0.25">
      <c r="A158" s="37" t="s">
        <v>1272</v>
      </c>
      <c r="B158" s="3" t="s">
        <v>382</v>
      </c>
      <c r="C158" s="7">
        <f t="shared" ref="C158" si="187">D158+L158+N158+P158+R158+S158+T158</f>
        <v>663600</v>
      </c>
      <c r="D158" s="2">
        <f>SUM(E158:J158)</f>
        <v>413600</v>
      </c>
      <c r="E158" s="2">
        <f>700*413.6</f>
        <v>289520</v>
      </c>
      <c r="F158" s="2">
        <v>0</v>
      </c>
      <c r="G158" s="2">
        <f>300*413.6</f>
        <v>124080</v>
      </c>
      <c r="H158" s="2">
        <v>0</v>
      </c>
      <c r="I158" s="2">
        <v>0</v>
      </c>
      <c r="J158" s="2">
        <v>0</v>
      </c>
      <c r="K158" s="21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150000</v>
      </c>
      <c r="T158" s="2">
        <v>100000</v>
      </c>
      <c r="U158" s="6" t="e">
        <f t="shared" si="180"/>
        <v>#DIV/0!</v>
      </c>
      <c r="V158" s="1"/>
      <c r="W158" s="1"/>
      <c r="X158" s="1"/>
      <c r="Y158" s="1"/>
      <c r="Z158" s="1"/>
      <c r="AA158" s="1"/>
      <c r="AB158" s="3"/>
    </row>
    <row r="159" spans="1:28" ht="22.9" customHeight="1" x14ac:dyDescent="0.25">
      <c r="A159" s="37" t="s">
        <v>1273</v>
      </c>
      <c r="B159" s="3" t="s">
        <v>383</v>
      </c>
      <c r="C159" s="7">
        <f t="shared" ref="C159:C160" si="188">D159+L159+N159+P159+R159+S159+T159</f>
        <v>4229600</v>
      </c>
      <c r="D159" s="2">
        <f t="shared" ref="D159:D160" si="189">SUM(E159:J159)</f>
        <v>1851200</v>
      </c>
      <c r="E159" s="2">
        <f>700*712</f>
        <v>498400</v>
      </c>
      <c r="F159" s="2">
        <f>1300*712</f>
        <v>925600</v>
      </c>
      <c r="G159" s="2">
        <f>300*712</f>
        <v>213600</v>
      </c>
      <c r="H159" s="2">
        <v>0</v>
      </c>
      <c r="I159" s="2">
        <f>300*712</f>
        <v>213600</v>
      </c>
      <c r="J159" s="2">
        <v>0</v>
      </c>
      <c r="K159" s="21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18">
        <v>712</v>
      </c>
      <c r="R159" s="18">
        <f t="shared" ref="R159:R160" si="190">Q159*3200</f>
        <v>2278400</v>
      </c>
      <c r="S159" s="2">
        <v>0</v>
      </c>
      <c r="T159" s="2">
        <v>100000</v>
      </c>
      <c r="U159" s="6" t="e">
        <f t="shared" si="180"/>
        <v>#DIV/0!</v>
      </c>
      <c r="V159" s="1"/>
      <c r="W159" s="1"/>
      <c r="X159" s="1"/>
      <c r="Y159" s="1"/>
      <c r="Z159" s="1"/>
      <c r="AA159" s="1"/>
      <c r="AB159" s="3"/>
    </row>
    <row r="160" spans="1:28" ht="22.9" customHeight="1" x14ac:dyDescent="0.25">
      <c r="A160" s="37" t="s">
        <v>1274</v>
      </c>
      <c r="B160" s="3" t="s">
        <v>384</v>
      </c>
      <c r="C160" s="7">
        <f t="shared" si="188"/>
        <v>5779360</v>
      </c>
      <c r="D160" s="2">
        <f t="shared" si="189"/>
        <v>2545920</v>
      </c>
      <c r="E160" s="2">
        <f>700*979.2</f>
        <v>685440</v>
      </c>
      <c r="F160" s="2">
        <f>1300*979.2</f>
        <v>1272960</v>
      </c>
      <c r="G160" s="2">
        <f>300*979.2</f>
        <v>293760</v>
      </c>
      <c r="H160" s="2">
        <v>0</v>
      </c>
      <c r="I160" s="2">
        <f>300*979.2</f>
        <v>293760</v>
      </c>
      <c r="J160" s="2">
        <v>0</v>
      </c>
      <c r="K160" s="21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18">
        <v>979.2</v>
      </c>
      <c r="R160" s="18">
        <f t="shared" si="190"/>
        <v>3133440</v>
      </c>
      <c r="S160" s="2">
        <v>0</v>
      </c>
      <c r="T160" s="2">
        <v>100000</v>
      </c>
      <c r="U160" s="6" t="e">
        <f t="shared" si="180"/>
        <v>#DIV/0!</v>
      </c>
      <c r="V160" s="1"/>
      <c r="W160" s="1"/>
      <c r="X160" s="1"/>
      <c r="Y160" s="1"/>
      <c r="Z160" s="1"/>
      <c r="AA160" s="1"/>
      <c r="AB160" s="3"/>
    </row>
    <row r="161" spans="1:28" ht="45" customHeight="1" x14ac:dyDescent="0.25">
      <c r="A161" s="43" t="s">
        <v>389</v>
      </c>
      <c r="B161" s="43"/>
      <c r="C161" s="1">
        <f>SUM(C162:C163)</f>
        <v>10371880</v>
      </c>
      <c r="D161" s="1">
        <f t="shared" ref="D161:T161" si="191">SUM(D162:D163)</f>
        <v>2020100</v>
      </c>
      <c r="E161" s="1">
        <f t="shared" si="191"/>
        <v>700630</v>
      </c>
      <c r="F161" s="1">
        <f t="shared" si="191"/>
        <v>828100</v>
      </c>
      <c r="G161" s="1">
        <f t="shared" si="191"/>
        <v>300270</v>
      </c>
      <c r="H161" s="1">
        <f t="shared" si="191"/>
        <v>0</v>
      </c>
      <c r="I161" s="1">
        <f t="shared" si="191"/>
        <v>191100</v>
      </c>
      <c r="J161" s="1">
        <f t="shared" si="191"/>
        <v>0</v>
      </c>
      <c r="K161" s="33">
        <f t="shared" si="191"/>
        <v>0</v>
      </c>
      <c r="L161" s="1">
        <f t="shared" si="191"/>
        <v>0</v>
      </c>
      <c r="M161" s="1">
        <f t="shared" si="191"/>
        <v>1082.9000000000001</v>
      </c>
      <c r="N161" s="1">
        <f t="shared" si="191"/>
        <v>7147140.0000000009</v>
      </c>
      <c r="O161" s="1">
        <f t="shared" si="191"/>
        <v>0</v>
      </c>
      <c r="P161" s="1">
        <f t="shared" si="191"/>
        <v>0</v>
      </c>
      <c r="Q161" s="1">
        <f t="shared" si="191"/>
        <v>313.95</v>
      </c>
      <c r="R161" s="1">
        <f t="shared" si="191"/>
        <v>1004640</v>
      </c>
      <c r="S161" s="1">
        <f t="shared" si="191"/>
        <v>0</v>
      </c>
      <c r="T161" s="1">
        <f t="shared" si="191"/>
        <v>200000</v>
      </c>
      <c r="U161" s="3" t="e">
        <f>C161+#REF!+#REF!</f>
        <v>#REF!</v>
      </c>
    </row>
    <row r="162" spans="1:28" ht="22.9" customHeight="1" x14ac:dyDescent="0.25">
      <c r="A162" s="37" t="s">
        <v>1275</v>
      </c>
      <c r="B162" s="3" t="s">
        <v>390</v>
      </c>
      <c r="C162" s="7">
        <f t="shared" ref="C162" si="192">D162+L162+N162+P162+R162+S162+T162</f>
        <v>8903340</v>
      </c>
      <c r="D162" s="2">
        <f t="shared" ref="D162" si="193">SUM(E162:J162)</f>
        <v>1656200</v>
      </c>
      <c r="E162" s="2">
        <f>700*637</f>
        <v>445900</v>
      </c>
      <c r="F162" s="2">
        <f>1300*637</f>
        <v>828100</v>
      </c>
      <c r="G162" s="2">
        <f>300*637</f>
        <v>191100</v>
      </c>
      <c r="H162" s="2">
        <v>0</v>
      </c>
      <c r="I162" s="2">
        <f>300*637</f>
        <v>191100</v>
      </c>
      <c r="J162" s="2">
        <v>0</v>
      </c>
      <c r="K162" s="21">
        <v>0</v>
      </c>
      <c r="L162" s="2">
        <v>0</v>
      </c>
      <c r="M162" s="18">
        <v>1082.9000000000001</v>
      </c>
      <c r="N162" s="18">
        <f>M162*6600</f>
        <v>7147140.0000000009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100000</v>
      </c>
      <c r="U162" s="6">
        <f t="shared" si="180"/>
        <v>6600</v>
      </c>
      <c r="V162" s="1"/>
      <c r="W162" s="1"/>
      <c r="X162" s="1"/>
      <c r="Y162" s="1"/>
      <c r="Z162" s="1"/>
      <c r="AA162" s="1"/>
      <c r="AB162" s="3"/>
    </row>
    <row r="163" spans="1:28" ht="22.9" customHeight="1" x14ac:dyDescent="0.25">
      <c r="A163" s="37" t="s">
        <v>1276</v>
      </c>
      <c r="B163" s="3" t="s">
        <v>391</v>
      </c>
      <c r="C163" s="7">
        <f>D163+L163+N163+P163+R163+S163+T163</f>
        <v>1468540</v>
      </c>
      <c r="D163" s="2">
        <f>SUM(E163:J163)</f>
        <v>363900</v>
      </c>
      <c r="E163" s="2">
        <f>700*363.9</f>
        <v>254729.99999999997</v>
      </c>
      <c r="F163" s="2">
        <v>0</v>
      </c>
      <c r="G163" s="2">
        <f>300*363.9</f>
        <v>109170</v>
      </c>
      <c r="H163" s="2">
        <v>0</v>
      </c>
      <c r="I163" s="2">
        <v>0</v>
      </c>
      <c r="J163" s="2">
        <v>0</v>
      </c>
      <c r="K163" s="21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18">
        <v>313.95</v>
      </c>
      <c r="R163" s="18">
        <f>Q163*3200</f>
        <v>1004640</v>
      </c>
      <c r="S163" s="2">
        <v>0</v>
      </c>
      <c r="T163" s="2">
        <v>100000</v>
      </c>
      <c r="U163" s="6" t="e">
        <f t="shared" si="180"/>
        <v>#DIV/0!</v>
      </c>
      <c r="V163" s="1"/>
      <c r="W163" s="1"/>
      <c r="X163" s="1"/>
      <c r="Y163" s="1"/>
      <c r="Z163" s="1"/>
      <c r="AA163" s="1"/>
      <c r="AB163" s="3"/>
    </row>
    <row r="164" spans="1:28" ht="45" customHeight="1" x14ac:dyDescent="0.25">
      <c r="A164" s="43" t="s">
        <v>397</v>
      </c>
      <c r="B164" s="43"/>
      <c r="C164" s="1">
        <f>SUM(C165:C184)</f>
        <v>232763105</v>
      </c>
      <c r="D164" s="1">
        <f t="shared" ref="D164:T164" si="194">SUM(D165:D184)</f>
        <v>125373245</v>
      </c>
      <c r="E164" s="1">
        <f t="shared" si="194"/>
        <v>31529330</v>
      </c>
      <c r="F164" s="1">
        <f t="shared" si="194"/>
        <v>57604430</v>
      </c>
      <c r="G164" s="1">
        <f t="shared" si="194"/>
        <v>13426875</v>
      </c>
      <c r="H164" s="1">
        <f t="shared" si="194"/>
        <v>9519280</v>
      </c>
      <c r="I164" s="1">
        <f t="shared" si="194"/>
        <v>13293330</v>
      </c>
      <c r="J164" s="1">
        <f t="shared" si="194"/>
        <v>0</v>
      </c>
      <c r="K164" s="33">
        <f t="shared" si="194"/>
        <v>5</v>
      </c>
      <c r="L164" s="1">
        <f t="shared" si="194"/>
        <v>13500000</v>
      </c>
      <c r="M164" s="1">
        <f t="shared" si="194"/>
        <v>6402.4000000000005</v>
      </c>
      <c r="N164" s="1">
        <f t="shared" si="194"/>
        <v>36151560</v>
      </c>
      <c r="O164" s="1">
        <f t="shared" si="194"/>
        <v>1171</v>
      </c>
      <c r="P164" s="1">
        <f t="shared" si="194"/>
        <v>1405200</v>
      </c>
      <c r="Q164" s="1">
        <f t="shared" si="194"/>
        <v>17660.3</v>
      </c>
      <c r="R164" s="1">
        <f t="shared" si="194"/>
        <v>54733100</v>
      </c>
      <c r="S164" s="1">
        <f t="shared" si="194"/>
        <v>0</v>
      </c>
      <c r="T164" s="1">
        <f t="shared" si="194"/>
        <v>1600000</v>
      </c>
      <c r="U164" s="3" t="e">
        <f>C164+#REF!+#REF!</f>
        <v>#REF!</v>
      </c>
    </row>
    <row r="165" spans="1:28" ht="22.9" customHeight="1" x14ac:dyDescent="0.25">
      <c r="A165" s="37" t="s">
        <v>1277</v>
      </c>
      <c r="B165" s="3" t="s">
        <v>398</v>
      </c>
      <c r="C165" s="7">
        <f t="shared" ref="C165:C184" si="195">D165+L165+N165+P165+R165+S165+T165</f>
        <v>17728150</v>
      </c>
      <c r="D165" s="2">
        <f t="shared" ref="D165:D184" si="196">SUM(E165:J165)</f>
        <v>10302070</v>
      </c>
      <c r="E165" s="2">
        <f>3962.3*700</f>
        <v>2773610</v>
      </c>
      <c r="F165" s="2">
        <f>3962.3*1300</f>
        <v>5150990</v>
      </c>
      <c r="G165" s="2">
        <f>3962.6*300</f>
        <v>1188780</v>
      </c>
      <c r="H165" s="2">
        <v>0</v>
      </c>
      <c r="I165" s="2">
        <f>3962.3*300</f>
        <v>1188690</v>
      </c>
      <c r="J165" s="2">
        <v>0</v>
      </c>
      <c r="K165" s="21">
        <v>0</v>
      </c>
      <c r="L165" s="2">
        <v>0</v>
      </c>
      <c r="M165" s="8">
        <v>0</v>
      </c>
      <c r="N165" s="8">
        <v>0</v>
      </c>
      <c r="O165" s="2">
        <v>680</v>
      </c>
      <c r="P165" s="2">
        <f>O165*1200</f>
        <v>816000</v>
      </c>
      <c r="Q165" s="2">
        <v>2034.4</v>
      </c>
      <c r="R165" s="2">
        <f>Q165*3200</f>
        <v>6510080</v>
      </c>
      <c r="S165" s="2">
        <v>0</v>
      </c>
      <c r="T165" s="2">
        <v>100000</v>
      </c>
      <c r="U165" s="6" t="e">
        <f t="shared" si="180"/>
        <v>#DIV/0!</v>
      </c>
      <c r="V165" s="1"/>
      <c r="W165" s="1"/>
      <c r="X165" s="1"/>
      <c r="Y165" s="1"/>
      <c r="Z165" s="1"/>
      <c r="AA165" s="1"/>
      <c r="AB165" s="3"/>
    </row>
    <row r="166" spans="1:28" ht="22.9" customHeight="1" x14ac:dyDescent="0.25">
      <c r="A166" s="37" t="s">
        <v>1278</v>
      </c>
      <c r="B166" s="3" t="s">
        <v>399</v>
      </c>
      <c r="C166" s="7">
        <f t="shared" si="195"/>
        <v>12403460</v>
      </c>
      <c r="D166" s="2">
        <f t="shared" si="196"/>
        <v>7580560</v>
      </c>
      <c r="E166" s="2">
        <f>2915.6*700</f>
        <v>2040920</v>
      </c>
      <c r="F166" s="2">
        <f>2915.6*1300</f>
        <v>3790280</v>
      </c>
      <c r="G166" s="2">
        <f>2915.6*300</f>
        <v>874680</v>
      </c>
      <c r="H166" s="2">
        <v>0</v>
      </c>
      <c r="I166" s="2">
        <f>2915.6*300</f>
        <v>874680</v>
      </c>
      <c r="J166" s="2">
        <v>0</v>
      </c>
      <c r="K166" s="21">
        <v>0</v>
      </c>
      <c r="L166" s="2">
        <v>0</v>
      </c>
      <c r="M166" s="2">
        <v>0</v>
      </c>
      <c r="N166" s="2">
        <v>0</v>
      </c>
      <c r="O166" s="2">
        <v>441</v>
      </c>
      <c r="P166" s="2">
        <f>O166*1200</f>
        <v>529200</v>
      </c>
      <c r="Q166" s="8">
        <v>1397.9</v>
      </c>
      <c r="R166" s="2">
        <f>Q166*3000</f>
        <v>4193700.0000000005</v>
      </c>
      <c r="S166" s="2">
        <v>0</v>
      </c>
      <c r="T166" s="2">
        <v>100000</v>
      </c>
      <c r="U166" s="6" t="e">
        <f t="shared" si="180"/>
        <v>#DIV/0!</v>
      </c>
      <c r="V166" s="1"/>
      <c r="W166" s="1"/>
      <c r="X166" s="1"/>
      <c r="Y166" s="1"/>
      <c r="Z166" s="1"/>
      <c r="AA166" s="1"/>
      <c r="AB166" s="3"/>
    </row>
    <row r="167" spans="1:28" ht="22.9" customHeight="1" x14ac:dyDescent="0.25">
      <c r="A167" s="37" t="s">
        <v>1279</v>
      </c>
      <c r="B167" s="5" t="s">
        <v>400</v>
      </c>
      <c r="C167" s="7">
        <f t="shared" si="195"/>
        <v>10900000</v>
      </c>
      <c r="D167" s="2">
        <f t="shared" si="196"/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1">
        <v>4</v>
      </c>
      <c r="L167" s="2">
        <f>K167*2700000</f>
        <v>10800000</v>
      </c>
      <c r="M167" s="2">
        <v>0</v>
      </c>
      <c r="N167" s="2">
        <v>0</v>
      </c>
      <c r="O167" s="2">
        <v>0</v>
      </c>
      <c r="P167" s="2">
        <v>0</v>
      </c>
      <c r="Q167" s="8">
        <v>0</v>
      </c>
      <c r="R167" s="2">
        <v>0</v>
      </c>
      <c r="S167" s="2">
        <v>0</v>
      </c>
      <c r="T167" s="2">
        <v>100000</v>
      </c>
      <c r="U167" s="6" t="e">
        <f t="shared" si="180"/>
        <v>#DIV/0!</v>
      </c>
      <c r="V167" s="1"/>
      <c r="W167" s="1"/>
      <c r="X167" s="1"/>
      <c r="Y167" s="1"/>
      <c r="Z167" s="1"/>
      <c r="AA167" s="1"/>
      <c r="AB167" s="3"/>
    </row>
    <row r="168" spans="1:28" ht="22.9" customHeight="1" x14ac:dyDescent="0.25">
      <c r="A168" s="37" t="s">
        <v>1280</v>
      </c>
      <c r="B168" s="3" t="s">
        <v>401</v>
      </c>
      <c r="C168" s="7">
        <f t="shared" si="195"/>
        <v>6434255</v>
      </c>
      <c r="D168" s="2">
        <f t="shared" si="196"/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1">
        <v>0</v>
      </c>
      <c r="L168" s="2">
        <v>0</v>
      </c>
      <c r="M168" s="2">
        <v>1445.9</v>
      </c>
      <c r="N168" s="2">
        <f>M168*4450</f>
        <v>6434255</v>
      </c>
      <c r="O168" s="2">
        <v>0</v>
      </c>
      <c r="P168" s="2">
        <v>0</v>
      </c>
      <c r="Q168" s="8">
        <v>0</v>
      </c>
      <c r="R168" s="2">
        <f t="shared" ref="R168" si="197">Q168*3000</f>
        <v>0</v>
      </c>
      <c r="S168" s="2">
        <v>0</v>
      </c>
      <c r="T168" s="2">
        <v>0</v>
      </c>
      <c r="U168" s="6">
        <f t="shared" si="180"/>
        <v>4450</v>
      </c>
      <c r="V168" s="1"/>
      <c r="W168" s="1"/>
      <c r="X168" s="1"/>
      <c r="Y168" s="1"/>
      <c r="Z168" s="1"/>
      <c r="AA168" s="1"/>
      <c r="AB168" s="3"/>
    </row>
    <row r="169" spans="1:28" ht="22.9" customHeight="1" x14ac:dyDescent="0.25">
      <c r="A169" s="37" t="s">
        <v>1281</v>
      </c>
      <c r="B169" s="3" t="s">
        <v>402</v>
      </c>
      <c r="C169" s="7">
        <f t="shared" si="195"/>
        <v>10038185</v>
      </c>
      <c r="D169" s="2">
        <f t="shared" si="196"/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1">
        <v>0</v>
      </c>
      <c r="L169" s="2">
        <v>0</v>
      </c>
      <c r="M169" s="2">
        <v>785.3</v>
      </c>
      <c r="N169" s="2">
        <f>M169*4450</f>
        <v>3494585</v>
      </c>
      <c r="O169" s="2">
        <v>0</v>
      </c>
      <c r="P169" s="2">
        <v>0</v>
      </c>
      <c r="Q169" s="8">
        <v>2181.1999999999998</v>
      </c>
      <c r="R169" s="2">
        <f>Q169*3000</f>
        <v>6543599.9999999991</v>
      </c>
      <c r="S169" s="2">
        <v>0</v>
      </c>
      <c r="T169" s="2">
        <v>0</v>
      </c>
      <c r="U169" s="6">
        <f t="shared" si="180"/>
        <v>4450</v>
      </c>
      <c r="V169" s="1"/>
      <c r="W169" s="1"/>
      <c r="X169" s="1"/>
      <c r="Y169" s="1"/>
      <c r="Z169" s="1"/>
      <c r="AA169" s="1"/>
      <c r="AB169" s="3"/>
    </row>
    <row r="170" spans="1:28" ht="22.9" customHeight="1" x14ac:dyDescent="0.25">
      <c r="A170" s="37" t="s">
        <v>1282</v>
      </c>
      <c r="B170" s="5" t="s">
        <v>403</v>
      </c>
      <c r="C170" s="7">
        <f t="shared" si="195"/>
        <v>2800000</v>
      </c>
      <c r="D170" s="2">
        <f t="shared" si="196"/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1">
        <v>1</v>
      </c>
      <c r="L170" s="2">
        <v>2700000</v>
      </c>
      <c r="M170" s="2">
        <v>0</v>
      </c>
      <c r="N170" s="2">
        <v>0</v>
      </c>
      <c r="O170" s="2">
        <v>0</v>
      </c>
      <c r="P170" s="2">
        <v>0</v>
      </c>
      <c r="Q170" s="8">
        <v>0</v>
      </c>
      <c r="R170" s="2">
        <v>0</v>
      </c>
      <c r="S170" s="2">
        <v>0</v>
      </c>
      <c r="T170" s="2">
        <v>100000</v>
      </c>
      <c r="U170" s="6" t="e">
        <f t="shared" si="180"/>
        <v>#DIV/0!</v>
      </c>
      <c r="V170" s="1"/>
      <c r="W170" s="1"/>
      <c r="X170" s="1"/>
      <c r="Y170" s="1"/>
      <c r="Z170" s="1"/>
      <c r="AA170" s="1"/>
      <c r="AB170" s="3"/>
    </row>
    <row r="171" spans="1:28" ht="22.9" customHeight="1" x14ac:dyDescent="0.25">
      <c r="A171" s="37" t="s">
        <v>1283</v>
      </c>
      <c r="B171" s="3" t="s">
        <v>404</v>
      </c>
      <c r="C171" s="7">
        <f t="shared" si="195"/>
        <v>25762300</v>
      </c>
      <c r="D171" s="2">
        <f t="shared" si="196"/>
        <v>25662300</v>
      </c>
      <c r="E171" s="2">
        <f>8554.1*700</f>
        <v>5987870</v>
      </c>
      <c r="F171" s="2">
        <f>8554.1*1300</f>
        <v>11120330</v>
      </c>
      <c r="G171" s="2">
        <f>8554.1*300</f>
        <v>2566230</v>
      </c>
      <c r="H171" s="2">
        <f>8554.1*400</f>
        <v>3421640</v>
      </c>
      <c r="I171" s="2">
        <f>8554.1*300</f>
        <v>2566230</v>
      </c>
      <c r="J171" s="2">
        <f t="shared" ref="J171" si="198">350*0</f>
        <v>0</v>
      </c>
      <c r="K171" s="21">
        <v>0</v>
      </c>
      <c r="L171" s="2">
        <v>0</v>
      </c>
      <c r="M171" s="2">
        <v>0</v>
      </c>
      <c r="N171" s="2">
        <f t="shared" ref="N171" si="199">M171*3300</f>
        <v>0</v>
      </c>
      <c r="O171" s="2">
        <v>0</v>
      </c>
      <c r="P171" s="2">
        <v>0</v>
      </c>
      <c r="Q171" s="8">
        <v>0</v>
      </c>
      <c r="R171" s="2">
        <f t="shared" ref="R171" si="200">Q171*3000</f>
        <v>0</v>
      </c>
      <c r="S171" s="2">
        <v>0</v>
      </c>
      <c r="T171" s="2">
        <v>100000</v>
      </c>
      <c r="U171" s="6" t="e">
        <f t="shared" si="180"/>
        <v>#DIV/0!</v>
      </c>
      <c r="V171" s="1"/>
      <c r="W171" s="1"/>
      <c r="X171" s="1"/>
      <c r="Y171" s="1"/>
      <c r="Z171" s="1"/>
      <c r="AA171" s="1"/>
      <c r="AB171" s="3"/>
    </row>
    <row r="172" spans="1:28" ht="22.9" customHeight="1" x14ac:dyDescent="0.25">
      <c r="A172" s="37" t="s">
        <v>1284</v>
      </c>
      <c r="B172" s="3" t="s">
        <v>405</v>
      </c>
      <c r="C172" s="7">
        <f t="shared" si="195"/>
        <v>40727500</v>
      </c>
      <c r="D172" s="2">
        <f t="shared" si="196"/>
        <v>31643399.999999996</v>
      </c>
      <c r="E172" s="2">
        <f>10547.8*700</f>
        <v>7383459.9999999991</v>
      </c>
      <c r="F172" s="2">
        <f>10547.8*1300</f>
        <v>13712139.999999998</v>
      </c>
      <c r="G172" s="2">
        <f>10547.8*300</f>
        <v>3164340</v>
      </c>
      <c r="H172" s="2">
        <f>10547.8*400</f>
        <v>4219120</v>
      </c>
      <c r="I172" s="2">
        <f>10547.8*300</f>
        <v>3164340</v>
      </c>
      <c r="J172" s="2">
        <v>0</v>
      </c>
      <c r="K172" s="21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8">
        <v>2994.7</v>
      </c>
      <c r="R172" s="2">
        <f>Q172*3000</f>
        <v>8984100</v>
      </c>
      <c r="S172" s="2">
        <v>0</v>
      </c>
      <c r="T172" s="2">
        <v>100000</v>
      </c>
      <c r="U172" s="6" t="e">
        <f t="shared" si="180"/>
        <v>#DIV/0!</v>
      </c>
      <c r="V172" s="1"/>
      <c r="W172" s="1"/>
      <c r="X172" s="1"/>
      <c r="Y172" s="1"/>
      <c r="Z172" s="1"/>
      <c r="AA172" s="1"/>
      <c r="AB172" s="3"/>
    </row>
    <row r="173" spans="1:28" ht="22.9" customHeight="1" x14ac:dyDescent="0.25">
      <c r="A173" s="37" t="s">
        <v>1285</v>
      </c>
      <c r="B173" s="9" t="s">
        <v>406</v>
      </c>
      <c r="C173" s="7">
        <f t="shared" si="195"/>
        <v>7279840</v>
      </c>
      <c r="D173" s="2">
        <f t="shared" si="196"/>
        <v>2789280</v>
      </c>
      <c r="E173" s="2">
        <f>1072.8*700</f>
        <v>750960</v>
      </c>
      <c r="F173" s="2">
        <f>1072.8*1300</f>
        <v>1394640</v>
      </c>
      <c r="G173" s="2">
        <f>1072.8*300</f>
        <v>321840</v>
      </c>
      <c r="H173" s="2">
        <v>0</v>
      </c>
      <c r="I173" s="2">
        <f>1072.8*300</f>
        <v>321840</v>
      </c>
      <c r="J173" s="2">
        <f t="shared" ref="J173" si="201">350*0</f>
        <v>0</v>
      </c>
      <c r="K173" s="21">
        <v>0</v>
      </c>
      <c r="L173" s="2">
        <v>0</v>
      </c>
      <c r="M173" s="2">
        <v>429.1</v>
      </c>
      <c r="N173" s="2">
        <f>M173*6600</f>
        <v>2832060</v>
      </c>
      <c r="O173" s="2">
        <v>0</v>
      </c>
      <c r="P173" s="2">
        <v>0</v>
      </c>
      <c r="Q173" s="8">
        <v>519.5</v>
      </c>
      <c r="R173" s="2">
        <f>Q173*3000</f>
        <v>1558500</v>
      </c>
      <c r="S173" s="2">
        <v>0</v>
      </c>
      <c r="T173" s="2">
        <v>100000</v>
      </c>
      <c r="U173" s="6">
        <f t="shared" si="180"/>
        <v>6600</v>
      </c>
      <c r="V173" s="1"/>
      <c r="W173" s="1"/>
      <c r="X173" s="1"/>
      <c r="Y173" s="1"/>
      <c r="Z173" s="1"/>
      <c r="AA173" s="1"/>
      <c r="AB173" s="3"/>
    </row>
    <row r="174" spans="1:28" ht="22.9" customHeight="1" x14ac:dyDescent="0.25">
      <c r="A174" s="37" t="s">
        <v>1286</v>
      </c>
      <c r="B174" s="9" t="s">
        <v>407</v>
      </c>
      <c r="C174" s="7">
        <f t="shared" si="195"/>
        <v>4512120</v>
      </c>
      <c r="D174" s="2">
        <f t="shared" si="196"/>
        <v>511559.99999999994</v>
      </c>
      <c r="E174" s="2">
        <f>730.8*700</f>
        <v>511559.99999999994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1">
        <v>0</v>
      </c>
      <c r="L174" s="2">
        <v>0</v>
      </c>
      <c r="M174" s="2">
        <v>378</v>
      </c>
      <c r="N174" s="2">
        <f>M174*6600</f>
        <v>2494800</v>
      </c>
      <c r="O174" s="2">
        <v>0</v>
      </c>
      <c r="P174" s="2">
        <f>O174*410</f>
        <v>0</v>
      </c>
      <c r="Q174" s="2">
        <v>439.3</v>
      </c>
      <c r="R174" s="2">
        <f>Q174*3200</f>
        <v>1405760</v>
      </c>
      <c r="S174" s="2">
        <v>0</v>
      </c>
      <c r="T174" s="2">
        <v>100000</v>
      </c>
      <c r="U174" s="6">
        <f t="shared" si="180"/>
        <v>6600</v>
      </c>
      <c r="V174" s="1"/>
      <c r="W174" s="1"/>
      <c r="X174" s="1"/>
      <c r="Y174" s="1"/>
      <c r="Z174" s="1"/>
      <c r="AA174" s="1"/>
      <c r="AB174" s="3"/>
    </row>
    <row r="175" spans="1:28" ht="22.9" customHeight="1" x14ac:dyDescent="0.25">
      <c r="A175" s="37" t="s">
        <v>1287</v>
      </c>
      <c r="B175" s="9" t="s">
        <v>408</v>
      </c>
      <c r="C175" s="7">
        <f t="shared" si="195"/>
        <v>13780260</v>
      </c>
      <c r="D175" s="2">
        <f t="shared" si="196"/>
        <v>5647460</v>
      </c>
      <c r="E175" s="2">
        <f>700*2172.1</f>
        <v>1520470</v>
      </c>
      <c r="F175" s="2">
        <f>1300*2172.1</f>
        <v>2823730</v>
      </c>
      <c r="G175" s="2">
        <f>300*2172.1</f>
        <v>651630</v>
      </c>
      <c r="H175" s="2">
        <f>500*0</f>
        <v>0</v>
      </c>
      <c r="I175" s="2">
        <f>300*2172.1</f>
        <v>651630</v>
      </c>
      <c r="J175" s="2">
        <f t="shared" ref="J175" si="202">350*0</f>
        <v>0</v>
      </c>
      <c r="K175" s="21">
        <v>0</v>
      </c>
      <c r="L175" s="2">
        <v>0</v>
      </c>
      <c r="M175" s="2">
        <v>579</v>
      </c>
      <c r="N175" s="2">
        <f>M175*6600</f>
        <v>3821400</v>
      </c>
      <c r="O175" s="2">
        <v>0</v>
      </c>
      <c r="P175" s="2">
        <f>O175*410</f>
        <v>0</v>
      </c>
      <c r="Q175" s="2">
        <v>1403.8</v>
      </c>
      <c r="R175" s="2">
        <f>Q175*3000</f>
        <v>4211400</v>
      </c>
      <c r="S175" s="2">
        <v>0</v>
      </c>
      <c r="T175" s="2">
        <v>100000</v>
      </c>
      <c r="U175" s="6">
        <f t="shared" si="180"/>
        <v>6600</v>
      </c>
      <c r="V175" s="1"/>
      <c r="W175" s="1"/>
      <c r="X175" s="1"/>
      <c r="Y175" s="1"/>
      <c r="Z175" s="1"/>
      <c r="AA175" s="1"/>
      <c r="AB175" s="3"/>
    </row>
    <row r="176" spans="1:28" ht="22.9" customHeight="1" x14ac:dyDescent="0.25">
      <c r="A176" s="37" t="s">
        <v>1288</v>
      </c>
      <c r="B176" s="9" t="s">
        <v>409</v>
      </c>
      <c r="C176" s="7">
        <f t="shared" si="195"/>
        <v>4610360</v>
      </c>
      <c r="D176" s="2">
        <f t="shared" si="196"/>
        <v>1471600</v>
      </c>
      <c r="E176" s="2">
        <f>566*700</f>
        <v>396200</v>
      </c>
      <c r="F176" s="2">
        <f>566*1300</f>
        <v>735800</v>
      </c>
      <c r="G176" s="2">
        <f>566*300</f>
        <v>169800</v>
      </c>
      <c r="H176" s="2">
        <v>0</v>
      </c>
      <c r="I176" s="2">
        <f>566*300</f>
        <v>169800</v>
      </c>
      <c r="J176" s="2">
        <v>0</v>
      </c>
      <c r="K176" s="21">
        <v>0</v>
      </c>
      <c r="L176" s="2">
        <v>0</v>
      </c>
      <c r="M176" s="2">
        <v>277.60000000000002</v>
      </c>
      <c r="N176" s="2">
        <f>M176*6600</f>
        <v>1832160.0000000002</v>
      </c>
      <c r="O176" s="2">
        <v>0</v>
      </c>
      <c r="P176" s="2">
        <f>O176*410</f>
        <v>0</v>
      </c>
      <c r="Q176" s="2">
        <v>402.2</v>
      </c>
      <c r="R176" s="2">
        <f>Q176*3000</f>
        <v>1206600</v>
      </c>
      <c r="S176" s="2">
        <v>0</v>
      </c>
      <c r="T176" s="2">
        <v>100000</v>
      </c>
      <c r="U176" s="6">
        <f t="shared" si="180"/>
        <v>6600</v>
      </c>
      <c r="V176" s="1"/>
      <c r="W176" s="1"/>
      <c r="X176" s="1"/>
      <c r="Y176" s="1"/>
      <c r="Z176" s="1"/>
      <c r="AA176" s="1"/>
      <c r="AB176" s="3"/>
    </row>
    <row r="177" spans="1:28" ht="22.9" customHeight="1" x14ac:dyDescent="0.25">
      <c r="A177" s="37" t="s">
        <v>1289</v>
      </c>
      <c r="B177" s="9" t="s">
        <v>410</v>
      </c>
      <c r="C177" s="7">
        <f t="shared" si="195"/>
        <v>2729800</v>
      </c>
      <c r="D177" s="2">
        <f t="shared" si="196"/>
        <v>1562600</v>
      </c>
      <c r="E177" s="2">
        <f>700*601</f>
        <v>420700</v>
      </c>
      <c r="F177" s="2">
        <f>1300*601</f>
        <v>781300</v>
      </c>
      <c r="G177" s="2">
        <f>300*601</f>
        <v>180300</v>
      </c>
      <c r="H177" s="2">
        <v>0</v>
      </c>
      <c r="I177" s="2">
        <f>300*601</f>
        <v>180300</v>
      </c>
      <c r="J177" s="2">
        <f t="shared" ref="J177:J180" si="203">350*0</f>
        <v>0</v>
      </c>
      <c r="K177" s="21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333.5</v>
      </c>
      <c r="R177" s="2">
        <f>Q177*3200</f>
        <v>1067200</v>
      </c>
      <c r="S177" s="2">
        <v>0</v>
      </c>
      <c r="T177" s="2">
        <v>100000</v>
      </c>
      <c r="U177" s="6" t="e">
        <f t="shared" si="180"/>
        <v>#DIV/0!</v>
      </c>
      <c r="V177" s="1"/>
      <c r="W177" s="1"/>
      <c r="X177" s="1"/>
      <c r="Y177" s="1"/>
      <c r="Z177" s="1"/>
      <c r="AA177" s="1"/>
      <c r="AB177" s="3"/>
    </row>
    <row r="178" spans="1:28" ht="22.9" customHeight="1" x14ac:dyDescent="0.25">
      <c r="A178" s="37" t="s">
        <v>1290</v>
      </c>
      <c r="B178" s="9" t="s">
        <v>411</v>
      </c>
      <c r="C178" s="7">
        <f t="shared" si="195"/>
        <v>1109760</v>
      </c>
      <c r="D178" s="2">
        <f t="shared" si="196"/>
        <v>0</v>
      </c>
      <c r="E178" s="2">
        <v>0</v>
      </c>
      <c r="F178" s="2">
        <v>0</v>
      </c>
      <c r="G178" s="2">
        <v>0</v>
      </c>
      <c r="H178" s="2">
        <f>500*0</f>
        <v>0</v>
      </c>
      <c r="I178" s="2">
        <v>0</v>
      </c>
      <c r="J178" s="2">
        <f t="shared" si="203"/>
        <v>0</v>
      </c>
      <c r="K178" s="21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346.8</v>
      </c>
      <c r="R178" s="2">
        <f>Q178*3200</f>
        <v>1109760</v>
      </c>
      <c r="S178" s="2">
        <v>0</v>
      </c>
      <c r="T178" s="2">
        <v>0</v>
      </c>
      <c r="U178" s="6" t="e">
        <f t="shared" si="180"/>
        <v>#DIV/0!</v>
      </c>
      <c r="V178" s="1"/>
      <c r="W178" s="1"/>
      <c r="X178" s="1"/>
      <c r="Y178" s="1"/>
      <c r="Z178" s="1"/>
      <c r="AA178" s="1"/>
      <c r="AB178" s="3"/>
    </row>
    <row r="179" spans="1:28" ht="22.9" customHeight="1" x14ac:dyDescent="0.25">
      <c r="A179" s="37" t="s">
        <v>1291</v>
      </c>
      <c r="B179" s="9" t="s">
        <v>412</v>
      </c>
      <c r="C179" s="7">
        <f t="shared" si="195"/>
        <v>11750180</v>
      </c>
      <c r="D179" s="2">
        <f t="shared" si="196"/>
        <v>5008900</v>
      </c>
      <c r="E179" s="2">
        <f>700*1926.5</f>
        <v>1348550</v>
      </c>
      <c r="F179" s="2">
        <f>1300*1926.5</f>
        <v>2504450</v>
      </c>
      <c r="G179" s="2">
        <f>300*1926.5</f>
        <v>577950</v>
      </c>
      <c r="H179" s="2">
        <f>500*0</f>
        <v>0</v>
      </c>
      <c r="I179" s="2">
        <f>300*1926.5</f>
        <v>577950</v>
      </c>
      <c r="J179" s="2">
        <f t="shared" si="203"/>
        <v>0</v>
      </c>
      <c r="K179" s="21">
        <v>0</v>
      </c>
      <c r="L179" s="2">
        <v>0</v>
      </c>
      <c r="M179" s="2">
        <v>537.6</v>
      </c>
      <c r="N179" s="2">
        <f>M179*6600</f>
        <v>3548160</v>
      </c>
      <c r="O179" s="2">
        <v>0</v>
      </c>
      <c r="P179" s="2">
        <v>0</v>
      </c>
      <c r="Q179" s="2">
        <v>966.6</v>
      </c>
      <c r="R179" s="2">
        <f>Q179*3200</f>
        <v>3093120</v>
      </c>
      <c r="S179" s="2">
        <v>0</v>
      </c>
      <c r="T179" s="2">
        <v>100000</v>
      </c>
      <c r="U179" s="6">
        <f t="shared" si="180"/>
        <v>6600</v>
      </c>
      <c r="V179" s="1"/>
      <c r="W179" s="1"/>
      <c r="X179" s="1"/>
      <c r="Y179" s="1"/>
      <c r="Z179" s="1"/>
      <c r="AA179" s="1"/>
      <c r="AB179" s="3"/>
    </row>
    <row r="180" spans="1:28" ht="22.9" customHeight="1" x14ac:dyDescent="0.25">
      <c r="A180" s="37" t="s">
        <v>1292</v>
      </c>
      <c r="B180" s="9" t="s">
        <v>413</v>
      </c>
      <c r="C180" s="7">
        <f t="shared" si="195"/>
        <v>14188900</v>
      </c>
      <c r="D180" s="2">
        <f t="shared" si="196"/>
        <v>14088900</v>
      </c>
      <c r="E180" s="2">
        <f>700*4696.3</f>
        <v>3287410</v>
      </c>
      <c r="F180" s="2">
        <f>1300*4696.3</f>
        <v>6105190</v>
      </c>
      <c r="G180" s="2">
        <f>300*4696.3</f>
        <v>1408890</v>
      </c>
      <c r="H180" s="2">
        <f>400*4696.3</f>
        <v>1878520</v>
      </c>
      <c r="I180" s="2">
        <f>300*4696.3</f>
        <v>1408890</v>
      </c>
      <c r="J180" s="2">
        <f t="shared" si="203"/>
        <v>0</v>
      </c>
      <c r="K180" s="21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100000</v>
      </c>
      <c r="U180" s="6" t="e">
        <f t="shared" si="180"/>
        <v>#DIV/0!</v>
      </c>
      <c r="V180" s="1"/>
      <c r="W180" s="1"/>
      <c r="X180" s="1"/>
      <c r="Y180" s="1"/>
      <c r="Z180" s="1"/>
      <c r="AA180" s="1"/>
      <c r="AB180" s="3"/>
    </row>
    <row r="181" spans="1:28" ht="22.9" customHeight="1" x14ac:dyDescent="0.25">
      <c r="A181" s="37" t="s">
        <v>1293</v>
      </c>
      <c r="B181" s="9" t="s">
        <v>414</v>
      </c>
      <c r="C181" s="7">
        <f t="shared" si="195"/>
        <v>15096020</v>
      </c>
      <c r="D181" s="2">
        <f t="shared" si="196"/>
        <v>6807060</v>
      </c>
      <c r="E181" s="2">
        <f>700*2618.1</f>
        <v>1832670</v>
      </c>
      <c r="F181" s="2">
        <f>1300*2618.1</f>
        <v>3403530</v>
      </c>
      <c r="G181" s="2">
        <f>300*2618.1</f>
        <v>785430</v>
      </c>
      <c r="H181" s="2">
        <v>0</v>
      </c>
      <c r="I181" s="2">
        <f>300*2618.1</f>
        <v>785430</v>
      </c>
      <c r="J181" s="2">
        <v>0</v>
      </c>
      <c r="K181" s="21">
        <v>0</v>
      </c>
      <c r="L181" s="2">
        <v>0</v>
      </c>
      <c r="M181" s="2">
        <v>576.79999999999995</v>
      </c>
      <c r="N181" s="2">
        <f>M181*6600</f>
        <v>3806879.9999999995</v>
      </c>
      <c r="O181" s="2">
        <v>0</v>
      </c>
      <c r="P181" s="2">
        <f>O181*410</f>
        <v>0</v>
      </c>
      <c r="Q181" s="2">
        <v>1369.4</v>
      </c>
      <c r="R181" s="2">
        <f>Q181*3200</f>
        <v>4382080</v>
      </c>
      <c r="S181" s="2">
        <v>0</v>
      </c>
      <c r="T181" s="2">
        <v>100000</v>
      </c>
      <c r="U181" s="6">
        <f t="shared" si="180"/>
        <v>6600</v>
      </c>
      <c r="V181" s="1"/>
      <c r="W181" s="1"/>
      <c r="X181" s="1"/>
      <c r="Y181" s="1"/>
      <c r="Z181" s="1"/>
      <c r="AA181" s="1"/>
      <c r="AB181" s="3"/>
    </row>
    <row r="182" spans="1:28" ht="22.9" customHeight="1" x14ac:dyDescent="0.25">
      <c r="A182" s="37" t="s">
        <v>1294</v>
      </c>
      <c r="B182" s="9" t="s">
        <v>415</v>
      </c>
      <c r="C182" s="7">
        <f t="shared" si="195"/>
        <v>16419700</v>
      </c>
      <c r="D182" s="2">
        <f t="shared" si="196"/>
        <v>5224440</v>
      </c>
      <c r="E182" s="2">
        <f>700*2009.4</f>
        <v>1406580</v>
      </c>
      <c r="F182" s="2">
        <f>1300*2009.4</f>
        <v>2612220</v>
      </c>
      <c r="G182" s="2">
        <f>300*2009.4</f>
        <v>602820</v>
      </c>
      <c r="H182" s="2">
        <v>0</v>
      </c>
      <c r="I182" s="2">
        <f>300*2009.4</f>
        <v>602820</v>
      </c>
      <c r="J182" s="2">
        <f>350*0</f>
        <v>0</v>
      </c>
      <c r="K182" s="21">
        <v>0</v>
      </c>
      <c r="L182" s="2">
        <v>0</v>
      </c>
      <c r="M182" s="2">
        <v>785.1</v>
      </c>
      <c r="N182" s="2">
        <f>M182*6600</f>
        <v>5181660</v>
      </c>
      <c r="O182" s="2">
        <v>0</v>
      </c>
      <c r="P182" s="2">
        <f>O182*410</f>
        <v>0</v>
      </c>
      <c r="Q182" s="2">
        <v>1848</v>
      </c>
      <c r="R182" s="2">
        <f>Q182*3200</f>
        <v>5913600</v>
      </c>
      <c r="S182" s="2">
        <v>0</v>
      </c>
      <c r="T182" s="2">
        <v>100000</v>
      </c>
      <c r="U182" s="6">
        <f t="shared" si="180"/>
        <v>6600</v>
      </c>
      <c r="V182" s="1"/>
      <c r="W182" s="1"/>
      <c r="X182" s="1"/>
      <c r="Y182" s="1"/>
      <c r="Z182" s="1"/>
      <c r="AA182" s="1"/>
      <c r="AB182" s="3"/>
    </row>
    <row r="183" spans="1:28" ht="22.9" customHeight="1" x14ac:dyDescent="0.25">
      <c r="A183" s="37" t="s">
        <v>1295</v>
      </c>
      <c r="B183" s="9" t="s">
        <v>416</v>
      </c>
      <c r="C183" s="7">
        <f t="shared" si="195"/>
        <v>2705600</v>
      </c>
      <c r="D183" s="2">
        <f t="shared" si="196"/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1">
        <v>0</v>
      </c>
      <c r="L183" s="2">
        <v>0</v>
      </c>
      <c r="M183" s="2">
        <v>608</v>
      </c>
      <c r="N183" s="2">
        <f>M183*4450</f>
        <v>2705600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6">
        <f t="shared" si="180"/>
        <v>4450</v>
      </c>
      <c r="V183" s="1"/>
      <c r="W183" s="1"/>
      <c r="X183" s="1"/>
      <c r="Y183" s="1"/>
      <c r="Z183" s="1"/>
      <c r="AA183" s="1"/>
      <c r="AB183" s="3"/>
    </row>
    <row r="184" spans="1:28" ht="22.9" customHeight="1" x14ac:dyDescent="0.25">
      <c r="A184" s="37" t="s">
        <v>1296</v>
      </c>
      <c r="B184" s="9" t="s">
        <v>417</v>
      </c>
      <c r="C184" s="7">
        <f t="shared" si="195"/>
        <v>11786715</v>
      </c>
      <c r="D184" s="2">
        <f t="shared" si="196"/>
        <v>7073115</v>
      </c>
      <c r="E184" s="2">
        <f>700*2669.1</f>
        <v>1868370</v>
      </c>
      <c r="F184" s="2">
        <f>1300*2669.1</f>
        <v>3469830</v>
      </c>
      <c r="G184" s="2">
        <f>350*2669.1</f>
        <v>934185</v>
      </c>
      <c r="H184" s="2">
        <v>0</v>
      </c>
      <c r="I184" s="2">
        <f>300*2669.1</f>
        <v>800730</v>
      </c>
      <c r="J184" s="2">
        <v>0</v>
      </c>
      <c r="K184" s="21">
        <v>0</v>
      </c>
      <c r="L184" s="2">
        <v>0</v>
      </c>
      <c r="M184" s="2">
        <v>0</v>
      </c>
      <c r="N184" s="2">
        <v>0</v>
      </c>
      <c r="O184" s="2">
        <v>50</v>
      </c>
      <c r="P184" s="2">
        <f>O184*1200</f>
        <v>60000</v>
      </c>
      <c r="Q184" s="2">
        <v>1423</v>
      </c>
      <c r="R184" s="2">
        <f>Q184*3200</f>
        <v>4553600</v>
      </c>
      <c r="S184" s="2">
        <v>0</v>
      </c>
      <c r="T184" s="2">
        <v>100000</v>
      </c>
      <c r="U184" s="6" t="e">
        <f t="shared" si="180"/>
        <v>#DIV/0!</v>
      </c>
      <c r="V184" s="1"/>
      <c r="W184" s="1"/>
      <c r="X184" s="1"/>
      <c r="Y184" s="1"/>
      <c r="Z184" s="1"/>
      <c r="AA184" s="1"/>
      <c r="AB184" s="3"/>
    </row>
    <row r="185" spans="1:28" ht="45" customHeight="1" x14ac:dyDescent="0.25">
      <c r="A185" s="43" t="s">
        <v>456</v>
      </c>
      <c r="B185" s="43"/>
      <c r="C185" s="1">
        <f>SUM(C186:C187)</f>
        <v>3538640</v>
      </c>
      <c r="D185" s="1">
        <f t="shared" ref="D185:T185" si="204">SUM(D186:D187)</f>
        <v>0</v>
      </c>
      <c r="E185" s="1">
        <f t="shared" si="204"/>
        <v>0</v>
      </c>
      <c r="F185" s="1">
        <f t="shared" si="204"/>
        <v>0</v>
      </c>
      <c r="G185" s="1">
        <f t="shared" si="204"/>
        <v>0</v>
      </c>
      <c r="H185" s="1">
        <f t="shared" si="204"/>
        <v>0</v>
      </c>
      <c r="I185" s="1">
        <f t="shared" si="204"/>
        <v>0</v>
      </c>
      <c r="J185" s="1">
        <f t="shared" si="204"/>
        <v>0</v>
      </c>
      <c r="K185" s="33">
        <f t="shared" si="204"/>
        <v>0</v>
      </c>
      <c r="L185" s="1">
        <f t="shared" si="204"/>
        <v>0</v>
      </c>
      <c r="M185" s="1">
        <f t="shared" si="204"/>
        <v>795.2</v>
      </c>
      <c r="N185" s="1">
        <f t="shared" si="204"/>
        <v>3538640</v>
      </c>
      <c r="O185" s="1">
        <f t="shared" si="204"/>
        <v>0</v>
      </c>
      <c r="P185" s="1">
        <f t="shared" si="204"/>
        <v>0</v>
      </c>
      <c r="Q185" s="1">
        <f t="shared" si="204"/>
        <v>0</v>
      </c>
      <c r="R185" s="1">
        <f t="shared" si="204"/>
        <v>0</v>
      </c>
      <c r="S185" s="1">
        <f t="shared" si="204"/>
        <v>0</v>
      </c>
      <c r="T185" s="1">
        <f t="shared" si="204"/>
        <v>0</v>
      </c>
      <c r="U185" s="3" t="e">
        <f>C185+#REF!+#REF!</f>
        <v>#REF!</v>
      </c>
    </row>
    <row r="186" spans="1:28" ht="22.9" customHeight="1" x14ac:dyDescent="0.25">
      <c r="A186" s="37" t="s">
        <v>1297</v>
      </c>
      <c r="B186" s="3" t="s">
        <v>457</v>
      </c>
      <c r="C186" s="7">
        <f t="shared" ref="C186:C187" si="205">D186+L186+N186+P186+R186+S186+T186</f>
        <v>1769320</v>
      </c>
      <c r="D186" s="2">
        <f t="shared" ref="D186:D187" si="206">SUM(E186:J186)</f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1">
        <v>0</v>
      </c>
      <c r="L186" s="2">
        <v>0</v>
      </c>
      <c r="M186" s="8">
        <v>397.6</v>
      </c>
      <c r="N186" s="8">
        <f>M186*4450</f>
        <v>1769320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6">
        <f t="shared" si="180"/>
        <v>4450</v>
      </c>
      <c r="V186" s="1"/>
      <c r="W186" s="1"/>
      <c r="X186" s="1"/>
      <c r="Y186" s="1"/>
      <c r="Z186" s="1"/>
      <c r="AA186" s="1"/>
      <c r="AB186" s="3"/>
    </row>
    <row r="187" spans="1:28" ht="22.9" customHeight="1" x14ac:dyDescent="0.25">
      <c r="A187" s="37" t="s">
        <v>1298</v>
      </c>
      <c r="B187" s="3" t="s">
        <v>458</v>
      </c>
      <c r="C187" s="7">
        <f t="shared" si="205"/>
        <v>1769320</v>
      </c>
      <c r="D187" s="2">
        <f t="shared" si="206"/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1">
        <v>0</v>
      </c>
      <c r="L187" s="2">
        <v>0</v>
      </c>
      <c r="M187" s="2">
        <v>397.6</v>
      </c>
      <c r="N187" s="8">
        <f>M187*4450</f>
        <v>1769320</v>
      </c>
      <c r="O187" s="2">
        <v>0</v>
      </c>
      <c r="P187" s="2">
        <v>0</v>
      </c>
      <c r="Q187" s="8">
        <v>0</v>
      </c>
      <c r="R187" s="2">
        <v>0</v>
      </c>
      <c r="S187" s="2">
        <v>0</v>
      </c>
      <c r="T187" s="2">
        <v>0</v>
      </c>
      <c r="U187" s="6">
        <f t="shared" si="180"/>
        <v>4450</v>
      </c>
      <c r="V187" s="1"/>
      <c r="W187" s="1"/>
      <c r="X187" s="1"/>
      <c r="Y187" s="1"/>
      <c r="Z187" s="1"/>
      <c r="AA187" s="1"/>
      <c r="AB187" s="3"/>
    </row>
    <row r="188" spans="1:28" ht="45" customHeight="1" x14ac:dyDescent="0.25">
      <c r="A188" s="43" t="s">
        <v>460</v>
      </c>
      <c r="B188" s="43"/>
      <c r="C188" s="1">
        <f>SUM(C189:C193)</f>
        <v>27155335</v>
      </c>
      <c r="D188" s="1">
        <f t="shared" ref="D188:T188" si="207">SUM(D189:D193)</f>
        <v>1617735</v>
      </c>
      <c r="E188" s="1">
        <f t="shared" si="207"/>
        <v>1398950</v>
      </c>
      <c r="F188" s="1">
        <f t="shared" si="207"/>
        <v>0</v>
      </c>
      <c r="G188" s="1">
        <f t="shared" si="207"/>
        <v>218785</v>
      </c>
      <c r="H188" s="1">
        <f t="shared" si="207"/>
        <v>0</v>
      </c>
      <c r="I188" s="1">
        <f t="shared" si="207"/>
        <v>0</v>
      </c>
      <c r="J188" s="1">
        <f t="shared" si="207"/>
        <v>0</v>
      </c>
      <c r="K188" s="33">
        <f t="shared" si="207"/>
        <v>0</v>
      </c>
      <c r="L188" s="1">
        <f t="shared" si="207"/>
        <v>0</v>
      </c>
      <c r="M188" s="1">
        <f t="shared" si="207"/>
        <v>2532</v>
      </c>
      <c r="N188" s="1">
        <f t="shared" si="207"/>
        <v>16711200</v>
      </c>
      <c r="O188" s="1">
        <f t="shared" si="207"/>
        <v>0</v>
      </c>
      <c r="P188" s="1">
        <f t="shared" si="207"/>
        <v>0</v>
      </c>
      <c r="Q188" s="1">
        <f t="shared" si="207"/>
        <v>2602</v>
      </c>
      <c r="R188" s="1">
        <f t="shared" si="207"/>
        <v>8326400</v>
      </c>
      <c r="S188" s="1">
        <f t="shared" si="207"/>
        <v>0</v>
      </c>
      <c r="T188" s="1">
        <f t="shared" si="207"/>
        <v>500000</v>
      </c>
      <c r="U188" s="3" t="e">
        <f>C188+#REF!+#REF!</f>
        <v>#REF!</v>
      </c>
    </row>
    <row r="189" spans="1:28" ht="22.9" customHeight="1" x14ac:dyDescent="0.25">
      <c r="A189" s="37" t="s">
        <v>1299</v>
      </c>
      <c r="B189" s="3" t="s">
        <v>461</v>
      </c>
      <c r="C189" s="7">
        <f t="shared" ref="C189:C193" si="208">D189+L189+N189+P189+R189+S189+T189</f>
        <v>4151670</v>
      </c>
      <c r="D189" s="2">
        <f t="shared" ref="D189:D193" si="209">SUM(E189:J189)</f>
        <v>291270</v>
      </c>
      <c r="E189" s="2">
        <f>700*416.1</f>
        <v>291270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1">
        <v>0</v>
      </c>
      <c r="L189" s="2">
        <v>0</v>
      </c>
      <c r="M189" s="8">
        <v>370</v>
      </c>
      <c r="N189" s="8">
        <f>M189*6600</f>
        <v>2442000</v>
      </c>
      <c r="O189" s="2">
        <v>0</v>
      </c>
      <c r="P189" s="2">
        <v>0</v>
      </c>
      <c r="Q189" s="2">
        <v>412</v>
      </c>
      <c r="R189" s="2">
        <f t="shared" ref="R189:R196" si="210">Q189*3200</f>
        <v>1318400</v>
      </c>
      <c r="S189" s="2">
        <v>0</v>
      </c>
      <c r="T189" s="2">
        <v>100000</v>
      </c>
      <c r="U189" s="6">
        <f t="shared" si="180"/>
        <v>6600</v>
      </c>
      <c r="V189" s="1"/>
      <c r="W189" s="1"/>
      <c r="X189" s="1"/>
      <c r="Y189" s="1"/>
      <c r="Z189" s="1"/>
      <c r="AA189" s="1"/>
      <c r="AB189" s="3"/>
    </row>
    <row r="190" spans="1:28" ht="22.9" customHeight="1" x14ac:dyDescent="0.25">
      <c r="A190" s="37" t="s">
        <v>1300</v>
      </c>
      <c r="B190" s="3" t="s">
        <v>462</v>
      </c>
      <c r="C190" s="7">
        <f t="shared" si="208"/>
        <v>1712540</v>
      </c>
      <c r="D190" s="2">
        <f t="shared" si="209"/>
        <v>294140</v>
      </c>
      <c r="E190" s="2">
        <f>700*420.2</f>
        <v>294140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1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8">
        <v>412</v>
      </c>
      <c r="R190" s="2">
        <f t="shared" si="210"/>
        <v>1318400</v>
      </c>
      <c r="S190" s="2">
        <v>0</v>
      </c>
      <c r="T190" s="2">
        <v>100000</v>
      </c>
      <c r="U190" s="6" t="e">
        <f t="shared" si="180"/>
        <v>#DIV/0!</v>
      </c>
      <c r="V190" s="1"/>
      <c r="W190" s="1"/>
      <c r="X190" s="1"/>
      <c r="Y190" s="1"/>
      <c r="Z190" s="1"/>
      <c r="AA190" s="1"/>
      <c r="AB190" s="3"/>
    </row>
    <row r="191" spans="1:28" ht="22.9" customHeight="1" x14ac:dyDescent="0.25">
      <c r="A191" s="37" t="s">
        <v>1301</v>
      </c>
      <c r="B191" s="9" t="s">
        <v>463</v>
      </c>
      <c r="C191" s="7">
        <f t="shared" si="208"/>
        <v>7705970</v>
      </c>
      <c r="D191" s="2">
        <f t="shared" si="209"/>
        <v>375970</v>
      </c>
      <c r="E191" s="2">
        <f>700*537.1</f>
        <v>375970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1">
        <v>0</v>
      </c>
      <c r="L191" s="2">
        <v>0</v>
      </c>
      <c r="M191" s="2">
        <v>790</v>
      </c>
      <c r="N191" s="2">
        <f t="shared" ref="N191:N193" si="211">M191*6600</f>
        <v>5214000</v>
      </c>
      <c r="O191" s="2">
        <v>0</v>
      </c>
      <c r="P191" s="2">
        <v>0</v>
      </c>
      <c r="Q191" s="8">
        <v>630</v>
      </c>
      <c r="R191" s="2">
        <f t="shared" si="210"/>
        <v>2016000</v>
      </c>
      <c r="S191" s="2">
        <v>0</v>
      </c>
      <c r="T191" s="2">
        <v>100000</v>
      </c>
      <c r="U191" s="6">
        <f t="shared" si="180"/>
        <v>6600</v>
      </c>
      <c r="V191" s="1"/>
      <c r="W191" s="1"/>
      <c r="X191" s="1"/>
      <c r="Y191" s="1"/>
      <c r="Z191" s="1"/>
      <c r="AA191" s="1"/>
      <c r="AB191" s="3"/>
    </row>
    <row r="192" spans="1:28" ht="22.9" customHeight="1" x14ac:dyDescent="0.25">
      <c r="A192" s="37" t="s">
        <v>1302</v>
      </c>
      <c r="B192" s="9" t="s">
        <v>464</v>
      </c>
      <c r="C192" s="7">
        <f t="shared" si="208"/>
        <v>7739720</v>
      </c>
      <c r="D192" s="2">
        <f t="shared" si="209"/>
        <v>380519.99999999994</v>
      </c>
      <c r="E192" s="2">
        <f>700*362.4</f>
        <v>253679.99999999997</v>
      </c>
      <c r="F192" s="2">
        <v>0</v>
      </c>
      <c r="G192" s="2">
        <f>350*362.4</f>
        <v>126839.99999999999</v>
      </c>
      <c r="H192" s="2">
        <v>0</v>
      </c>
      <c r="I192" s="2">
        <v>0</v>
      </c>
      <c r="J192" s="2">
        <v>0</v>
      </c>
      <c r="K192" s="21">
        <v>0</v>
      </c>
      <c r="L192" s="2">
        <v>0</v>
      </c>
      <c r="M192" s="2">
        <v>792</v>
      </c>
      <c r="N192" s="2">
        <f t="shared" si="211"/>
        <v>5227200</v>
      </c>
      <c r="O192" s="2">
        <v>0</v>
      </c>
      <c r="P192" s="2">
        <v>0</v>
      </c>
      <c r="Q192" s="8">
        <v>635</v>
      </c>
      <c r="R192" s="2">
        <f t="shared" si="210"/>
        <v>2032000</v>
      </c>
      <c r="S192" s="2">
        <v>0</v>
      </c>
      <c r="T192" s="2">
        <v>100000</v>
      </c>
      <c r="U192" s="6">
        <f t="shared" si="180"/>
        <v>6600</v>
      </c>
      <c r="V192" s="1"/>
      <c r="W192" s="1"/>
      <c r="X192" s="1"/>
      <c r="Y192" s="1"/>
      <c r="Z192" s="1"/>
      <c r="AA192" s="1"/>
      <c r="AB192" s="3"/>
    </row>
    <row r="193" spans="1:28" ht="22.9" customHeight="1" x14ac:dyDescent="0.25">
      <c r="A193" s="37" t="s">
        <v>1303</v>
      </c>
      <c r="B193" s="9" t="s">
        <v>465</v>
      </c>
      <c r="C193" s="7">
        <f t="shared" si="208"/>
        <v>5845435</v>
      </c>
      <c r="D193" s="2">
        <f t="shared" si="209"/>
        <v>275835</v>
      </c>
      <c r="E193" s="2">
        <f>700*262.7</f>
        <v>183890</v>
      </c>
      <c r="F193" s="2">
        <v>0</v>
      </c>
      <c r="G193" s="2">
        <f>350*262.7</f>
        <v>91945</v>
      </c>
      <c r="H193" s="2">
        <v>0</v>
      </c>
      <c r="I193" s="2">
        <v>0</v>
      </c>
      <c r="J193" s="2">
        <v>0</v>
      </c>
      <c r="K193" s="21">
        <v>0</v>
      </c>
      <c r="L193" s="2">
        <v>0</v>
      </c>
      <c r="M193" s="2">
        <v>580</v>
      </c>
      <c r="N193" s="2">
        <f t="shared" si="211"/>
        <v>3828000</v>
      </c>
      <c r="O193" s="2">
        <v>0</v>
      </c>
      <c r="P193" s="2">
        <v>0</v>
      </c>
      <c r="Q193" s="8">
        <v>513</v>
      </c>
      <c r="R193" s="2">
        <f t="shared" si="210"/>
        <v>1641600</v>
      </c>
      <c r="S193" s="2">
        <v>0</v>
      </c>
      <c r="T193" s="2">
        <v>100000</v>
      </c>
      <c r="U193" s="6">
        <f t="shared" si="180"/>
        <v>6600</v>
      </c>
      <c r="V193" s="1"/>
      <c r="W193" s="1"/>
      <c r="X193" s="1"/>
      <c r="Y193" s="1"/>
      <c r="Z193" s="1"/>
      <c r="AA193" s="1"/>
      <c r="AB193" s="3"/>
    </row>
    <row r="194" spans="1:28" ht="45" customHeight="1" x14ac:dyDescent="0.25">
      <c r="A194" s="43" t="s">
        <v>471</v>
      </c>
      <c r="B194" s="43"/>
      <c r="C194" s="1">
        <f>SUM(C195:C197)</f>
        <v>14327118</v>
      </c>
      <c r="D194" s="1">
        <f t="shared" ref="D194:T194" si="212">SUM(D195:D197)</f>
        <v>6547080</v>
      </c>
      <c r="E194" s="1">
        <f t="shared" si="212"/>
        <v>1817760</v>
      </c>
      <c r="F194" s="1">
        <f t="shared" si="212"/>
        <v>3375840</v>
      </c>
      <c r="G194" s="1">
        <f t="shared" si="212"/>
        <v>819960</v>
      </c>
      <c r="H194" s="1">
        <f t="shared" si="212"/>
        <v>0</v>
      </c>
      <c r="I194" s="1">
        <f t="shared" si="212"/>
        <v>533520</v>
      </c>
      <c r="J194" s="1">
        <f t="shared" si="212"/>
        <v>0</v>
      </c>
      <c r="K194" s="33">
        <f t="shared" si="212"/>
        <v>0</v>
      </c>
      <c r="L194" s="1">
        <f t="shared" si="212"/>
        <v>0</v>
      </c>
      <c r="M194" s="1">
        <f t="shared" si="212"/>
        <v>681.23</v>
      </c>
      <c r="N194" s="1">
        <f t="shared" si="212"/>
        <v>4496118</v>
      </c>
      <c r="O194" s="1">
        <f t="shared" si="212"/>
        <v>0</v>
      </c>
      <c r="P194" s="1">
        <f t="shared" si="212"/>
        <v>0</v>
      </c>
      <c r="Q194" s="1">
        <f t="shared" si="212"/>
        <v>885.6</v>
      </c>
      <c r="R194" s="1">
        <f t="shared" si="212"/>
        <v>2833920</v>
      </c>
      <c r="S194" s="1">
        <f t="shared" si="212"/>
        <v>150000</v>
      </c>
      <c r="T194" s="1">
        <f t="shared" si="212"/>
        <v>300000</v>
      </c>
      <c r="U194" s="3" t="e">
        <f>C194+#REF!+#REF!</f>
        <v>#REF!</v>
      </c>
    </row>
    <row r="195" spans="1:28" ht="22.9" customHeight="1" x14ac:dyDescent="0.25">
      <c r="A195" s="37" t="s">
        <v>1304</v>
      </c>
      <c r="B195" s="9" t="s">
        <v>472</v>
      </c>
      <c r="C195" s="7">
        <f t="shared" ref="C195:C197" si="213">D195+L195+N195+P195+R195+S195+T195</f>
        <v>5807888</v>
      </c>
      <c r="D195" s="2">
        <f t="shared" ref="D195:D197" si="214">SUM(E195:J195)</f>
        <v>1183930</v>
      </c>
      <c r="E195" s="2">
        <f>700*503.8</f>
        <v>352660</v>
      </c>
      <c r="F195" s="2">
        <f>1300*503.8</f>
        <v>654940</v>
      </c>
      <c r="G195" s="2">
        <f>350*503.8</f>
        <v>176330</v>
      </c>
      <c r="H195" s="2">
        <f>400*0</f>
        <v>0</v>
      </c>
      <c r="I195" s="2">
        <f>250*0</f>
        <v>0</v>
      </c>
      <c r="J195" s="2">
        <f t="shared" ref="J195" si="215">350*0</f>
        <v>0</v>
      </c>
      <c r="K195" s="21">
        <v>0</v>
      </c>
      <c r="L195" s="2">
        <v>0</v>
      </c>
      <c r="M195" s="8">
        <v>432.03</v>
      </c>
      <c r="N195" s="2">
        <f>M195*6600</f>
        <v>2851398</v>
      </c>
      <c r="O195" s="2">
        <v>0</v>
      </c>
      <c r="P195" s="2">
        <v>0</v>
      </c>
      <c r="Q195" s="2">
        <v>475.8</v>
      </c>
      <c r="R195" s="2">
        <f t="shared" si="210"/>
        <v>1522560</v>
      </c>
      <c r="S195" s="2">
        <v>150000</v>
      </c>
      <c r="T195" s="2">
        <v>100000</v>
      </c>
      <c r="U195" s="6">
        <f t="shared" si="180"/>
        <v>6600</v>
      </c>
      <c r="V195" s="1"/>
      <c r="W195" s="1"/>
      <c r="X195" s="1"/>
      <c r="Y195" s="1"/>
      <c r="Z195" s="1"/>
      <c r="AA195" s="1"/>
      <c r="AB195" s="3"/>
    </row>
    <row r="196" spans="1:28" ht="22.9" customHeight="1" x14ac:dyDescent="0.25">
      <c r="A196" s="37" t="s">
        <v>1305</v>
      </c>
      <c r="B196" s="9" t="s">
        <v>473</v>
      </c>
      <c r="C196" s="7">
        <f t="shared" si="213"/>
        <v>3795390</v>
      </c>
      <c r="D196" s="2">
        <f t="shared" si="214"/>
        <v>739310.00000000012</v>
      </c>
      <c r="E196" s="2">
        <f>700*314.6</f>
        <v>220220.00000000003</v>
      </c>
      <c r="F196" s="2">
        <f>1300*314.6</f>
        <v>408980.00000000006</v>
      </c>
      <c r="G196" s="2">
        <f>350*314.6</f>
        <v>110110.00000000001</v>
      </c>
      <c r="H196" s="2">
        <v>0</v>
      </c>
      <c r="I196" s="2">
        <v>0</v>
      </c>
      <c r="J196" s="2">
        <v>0</v>
      </c>
      <c r="K196" s="21">
        <v>0</v>
      </c>
      <c r="L196" s="2">
        <v>0</v>
      </c>
      <c r="M196" s="2">
        <v>249.2</v>
      </c>
      <c r="N196" s="2">
        <f>M196*6600</f>
        <v>1644720</v>
      </c>
      <c r="O196" s="2">
        <v>0</v>
      </c>
      <c r="P196" s="2">
        <v>0</v>
      </c>
      <c r="Q196" s="8">
        <v>409.8</v>
      </c>
      <c r="R196" s="2">
        <f t="shared" si="210"/>
        <v>1311360</v>
      </c>
      <c r="S196" s="2">
        <v>0</v>
      </c>
      <c r="T196" s="2">
        <v>100000</v>
      </c>
      <c r="U196" s="6">
        <f t="shared" si="180"/>
        <v>6600</v>
      </c>
      <c r="V196" s="1"/>
      <c r="W196" s="1"/>
      <c r="X196" s="1"/>
      <c r="Y196" s="1"/>
      <c r="Z196" s="1"/>
      <c r="AA196" s="1"/>
      <c r="AB196" s="3"/>
    </row>
    <row r="197" spans="1:28" ht="22.9" customHeight="1" x14ac:dyDescent="0.25">
      <c r="A197" s="37" t="s">
        <v>1306</v>
      </c>
      <c r="B197" s="9" t="s">
        <v>474</v>
      </c>
      <c r="C197" s="7">
        <f t="shared" si="213"/>
        <v>4723840</v>
      </c>
      <c r="D197" s="2">
        <f t="shared" si="214"/>
        <v>4623840</v>
      </c>
      <c r="E197" s="2">
        <f>700*1778.4</f>
        <v>1244880</v>
      </c>
      <c r="F197" s="2">
        <f>1300*1778.4</f>
        <v>2311920</v>
      </c>
      <c r="G197" s="2">
        <f>300*1778.4</f>
        <v>533520</v>
      </c>
      <c r="H197" s="2">
        <v>0</v>
      </c>
      <c r="I197" s="2">
        <f>300*1778.4</f>
        <v>533520</v>
      </c>
      <c r="J197" s="2">
        <v>0</v>
      </c>
      <c r="K197" s="21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100000</v>
      </c>
      <c r="U197" s="6" t="e">
        <f t="shared" si="180"/>
        <v>#DIV/0!</v>
      </c>
      <c r="V197" s="1"/>
      <c r="W197" s="1"/>
      <c r="X197" s="1"/>
      <c r="Y197" s="1"/>
      <c r="Z197" s="1"/>
      <c r="AA197" s="1"/>
      <c r="AB197" s="3"/>
    </row>
    <row r="198" spans="1:28" ht="45" customHeight="1" x14ac:dyDescent="0.25">
      <c r="A198" s="43" t="s">
        <v>483</v>
      </c>
      <c r="B198" s="43"/>
      <c r="C198" s="1">
        <f>SUM(C199)</f>
        <v>4325326</v>
      </c>
      <c r="D198" s="1">
        <f t="shared" ref="D198:T198" si="216">SUM(D199)</f>
        <v>1004510</v>
      </c>
      <c r="E198" s="1">
        <f t="shared" si="216"/>
        <v>540890</v>
      </c>
      <c r="F198" s="1">
        <f t="shared" si="216"/>
        <v>0</v>
      </c>
      <c r="G198" s="1">
        <f t="shared" si="216"/>
        <v>231810</v>
      </c>
      <c r="H198" s="1">
        <f t="shared" si="216"/>
        <v>0</v>
      </c>
      <c r="I198" s="1">
        <f t="shared" si="216"/>
        <v>231810</v>
      </c>
      <c r="J198" s="1">
        <f t="shared" si="216"/>
        <v>0</v>
      </c>
      <c r="K198" s="33">
        <f t="shared" si="216"/>
        <v>0</v>
      </c>
      <c r="L198" s="1">
        <f t="shared" si="216"/>
        <v>0</v>
      </c>
      <c r="M198" s="1">
        <f t="shared" si="216"/>
        <v>113.36</v>
      </c>
      <c r="N198" s="1">
        <f t="shared" si="216"/>
        <v>748176</v>
      </c>
      <c r="O198" s="1">
        <f t="shared" si="216"/>
        <v>0</v>
      </c>
      <c r="P198" s="1">
        <f t="shared" si="216"/>
        <v>0</v>
      </c>
      <c r="Q198" s="1">
        <f t="shared" si="216"/>
        <v>772.7</v>
      </c>
      <c r="R198" s="1">
        <f t="shared" si="216"/>
        <v>2472640</v>
      </c>
      <c r="S198" s="1">
        <f t="shared" si="216"/>
        <v>0</v>
      </c>
      <c r="T198" s="1">
        <f t="shared" si="216"/>
        <v>100000</v>
      </c>
      <c r="U198" s="3" t="e">
        <f>C198+#REF!+#REF!</f>
        <v>#REF!</v>
      </c>
    </row>
    <row r="199" spans="1:28" ht="22.9" customHeight="1" x14ac:dyDescent="0.25">
      <c r="A199" s="37" t="s">
        <v>1307</v>
      </c>
      <c r="B199" s="9" t="s">
        <v>484</v>
      </c>
      <c r="C199" s="7">
        <f t="shared" ref="C199" si="217">D199+L199+N199+P199+R199+S199+T199</f>
        <v>4325326</v>
      </c>
      <c r="D199" s="2">
        <f t="shared" ref="D199" si="218">SUM(E199:J199)</f>
        <v>1004510</v>
      </c>
      <c r="E199" s="2">
        <f>700*772.7</f>
        <v>540890</v>
      </c>
      <c r="F199" s="2">
        <v>0</v>
      </c>
      <c r="G199" s="2">
        <f>300*772.7</f>
        <v>231810</v>
      </c>
      <c r="H199" s="2">
        <v>0</v>
      </c>
      <c r="I199" s="2">
        <f>300*772.7</f>
        <v>231810</v>
      </c>
      <c r="J199" s="2">
        <v>0</v>
      </c>
      <c r="K199" s="21">
        <v>0</v>
      </c>
      <c r="L199" s="2">
        <v>0</v>
      </c>
      <c r="M199" s="2">
        <v>113.36</v>
      </c>
      <c r="N199" s="2">
        <f>M199*6600</f>
        <v>748176</v>
      </c>
      <c r="O199" s="2">
        <v>0</v>
      </c>
      <c r="P199" s="2">
        <v>0</v>
      </c>
      <c r="Q199" s="2">
        <v>772.7</v>
      </c>
      <c r="R199" s="2">
        <f t="shared" ref="R199:R228" si="219">Q199*3200</f>
        <v>2472640</v>
      </c>
      <c r="S199" s="2">
        <v>0</v>
      </c>
      <c r="T199" s="2">
        <v>100000</v>
      </c>
      <c r="U199" s="6">
        <f t="shared" si="180"/>
        <v>6600</v>
      </c>
      <c r="V199" s="1"/>
      <c r="W199" s="1"/>
      <c r="X199" s="1"/>
      <c r="Y199" s="1"/>
      <c r="Z199" s="1"/>
      <c r="AA199" s="1"/>
      <c r="AB199" s="3"/>
    </row>
    <row r="200" spans="1:28" ht="45" customHeight="1" x14ac:dyDescent="0.25">
      <c r="A200" s="43" t="s">
        <v>495</v>
      </c>
      <c r="B200" s="43"/>
      <c r="C200" s="1">
        <f>SUM(C201:C204)</f>
        <v>13342954</v>
      </c>
      <c r="D200" s="1">
        <f t="shared" ref="D200:T200" si="220">SUM(D201:D204)</f>
        <v>3329194</v>
      </c>
      <c r="E200" s="1">
        <f t="shared" si="220"/>
        <v>975422</v>
      </c>
      <c r="F200" s="1">
        <f t="shared" si="220"/>
        <v>767572.00000000012</v>
      </c>
      <c r="G200" s="1">
        <f t="shared" si="220"/>
        <v>475860.00000000006</v>
      </c>
      <c r="H200" s="1">
        <f t="shared" si="220"/>
        <v>634480</v>
      </c>
      <c r="I200" s="1">
        <f t="shared" si="220"/>
        <v>475860.00000000006</v>
      </c>
      <c r="J200" s="1">
        <f t="shared" si="220"/>
        <v>0</v>
      </c>
      <c r="K200" s="33">
        <f t="shared" si="220"/>
        <v>0</v>
      </c>
      <c r="L200" s="1">
        <f t="shared" si="220"/>
        <v>0</v>
      </c>
      <c r="M200" s="1">
        <f t="shared" si="220"/>
        <v>809.6</v>
      </c>
      <c r="N200" s="1">
        <f t="shared" si="220"/>
        <v>5343360</v>
      </c>
      <c r="O200" s="1">
        <f t="shared" si="220"/>
        <v>0</v>
      </c>
      <c r="P200" s="1">
        <f t="shared" si="220"/>
        <v>0</v>
      </c>
      <c r="Q200" s="1">
        <f t="shared" si="220"/>
        <v>1147</v>
      </c>
      <c r="R200" s="1">
        <f t="shared" si="220"/>
        <v>3670400</v>
      </c>
      <c r="S200" s="1">
        <f t="shared" si="220"/>
        <v>600000</v>
      </c>
      <c r="T200" s="1">
        <f t="shared" si="220"/>
        <v>400000</v>
      </c>
      <c r="U200" s="3" t="e">
        <f>C200+#REF!+#REF!</f>
        <v>#REF!</v>
      </c>
    </row>
    <row r="201" spans="1:28" ht="22.9" customHeight="1" x14ac:dyDescent="0.25">
      <c r="A201" s="37" t="s">
        <v>1308</v>
      </c>
      <c r="B201" s="9" t="s">
        <v>496</v>
      </c>
      <c r="C201" s="7">
        <f>D201+L201+N201+P201+R201+S201+T201</f>
        <v>2195600</v>
      </c>
      <c r="D201" s="2">
        <f t="shared" ref="D201:D204" si="221">SUM(E201:J201)</f>
        <v>0</v>
      </c>
      <c r="E201" s="18">
        <v>0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34">
        <v>0</v>
      </c>
      <c r="L201" s="18">
        <v>0</v>
      </c>
      <c r="M201" s="18">
        <v>0</v>
      </c>
      <c r="N201" s="18">
        <v>0</v>
      </c>
      <c r="O201" s="18">
        <v>0</v>
      </c>
      <c r="P201" s="18">
        <v>0</v>
      </c>
      <c r="Q201" s="18">
        <v>608</v>
      </c>
      <c r="R201" s="2">
        <f t="shared" si="219"/>
        <v>1945600</v>
      </c>
      <c r="S201" s="2">
        <v>150000</v>
      </c>
      <c r="T201" s="2">
        <v>100000</v>
      </c>
      <c r="U201" s="6" t="e">
        <f t="shared" si="180"/>
        <v>#DIV/0!</v>
      </c>
      <c r="V201" s="1"/>
      <c r="W201" s="1"/>
      <c r="X201" s="1"/>
      <c r="Y201" s="1"/>
      <c r="Z201" s="1"/>
      <c r="AA201" s="1"/>
      <c r="AB201" s="3"/>
    </row>
    <row r="202" spans="1:28" ht="22.9" customHeight="1" x14ac:dyDescent="0.25">
      <c r="A202" s="37" t="s">
        <v>1309</v>
      </c>
      <c r="B202" s="9" t="s">
        <v>497</v>
      </c>
      <c r="C202" s="7">
        <f t="shared" ref="C202" si="222">D202+L202+N202+P202+R202+S202+T202</f>
        <v>5859680</v>
      </c>
      <c r="D202" s="2">
        <f t="shared" si="221"/>
        <v>1771320.0000000002</v>
      </c>
      <c r="E202" s="2">
        <f>700*590.44</f>
        <v>413308.00000000006</v>
      </c>
      <c r="F202" s="2">
        <f>1300*590.44</f>
        <v>767572.00000000012</v>
      </c>
      <c r="G202" s="2">
        <f>300*590.44</f>
        <v>177132.00000000003</v>
      </c>
      <c r="H202" s="2">
        <f>400*590.44</f>
        <v>236176.00000000003</v>
      </c>
      <c r="I202" s="2">
        <f>300*590.44</f>
        <v>177132.00000000003</v>
      </c>
      <c r="J202" s="18">
        <v>0</v>
      </c>
      <c r="K202" s="34">
        <v>0</v>
      </c>
      <c r="L202" s="18">
        <v>0</v>
      </c>
      <c r="M202" s="18">
        <v>452.6</v>
      </c>
      <c r="N202" s="2">
        <f>M202*6600</f>
        <v>2987160</v>
      </c>
      <c r="O202" s="18">
        <v>0</v>
      </c>
      <c r="P202" s="18">
        <v>0</v>
      </c>
      <c r="Q202" s="18">
        <v>266</v>
      </c>
      <c r="R202" s="2">
        <f t="shared" si="219"/>
        <v>851200</v>
      </c>
      <c r="S202" s="2">
        <v>150000</v>
      </c>
      <c r="T202" s="2">
        <v>100000</v>
      </c>
      <c r="U202" s="6">
        <f>N202/M202</f>
        <v>6600</v>
      </c>
      <c r="V202" s="1"/>
      <c r="W202" s="1"/>
      <c r="X202" s="1"/>
      <c r="Y202" s="1"/>
      <c r="Z202" s="1"/>
      <c r="AA202" s="1"/>
      <c r="AB202" s="3"/>
    </row>
    <row r="203" spans="1:28" ht="22.9" customHeight="1" x14ac:dyDescent="0.25">
      <c r="A203" s="37" t="s">
        <v>1310</v>
      </c>
      <c r="B203" s="9" t="s">
        <v>498</v>
      </c>
      <c r="C203" s="7">
        <f t="shared" ref="C203:C204" si="223">D203+L203+N203+P203+R203+S203+T203</f>
        <v>1118830</v>
      </c>
      <c r="D203" s="2">
        <f t="shared" si="221"/>
        <v>868830</v>
      </c>
      <c r="E203" s="2">
        <f>700*397.7</f>
        <v>278390</v>
      </c>
      <c r="F203" s="18">
        <v>0</v>
      </c>
      <c r="G203" s="2">
        <f t="shared" ref="G203" si="224">300*590.44</f>
        <v>177132.00000000003</v>
      </c>
      <c r="H203" s="2">
        <f t="shared" ref="H203" si="225">400*590.44</f>
        <v>236176.00000000003</v>
      </c>
      <c r="I203" s="2">
        <f t="shared" ref="I203" si="226">300*590.44</f>
        <v>177132.00000000003</v>
      </c>
      <c r="J203" s="18">
        <v>0</v>
      </c>
      <c r="K203" s="34">
        <v>0</v>
      </c>
      <c r="L203" s="18">
        <v>0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  <c r="R203" s="18">
        <v>0</v>
      </c>
      <c r="S203" s="2">
        <v>150000</v>
      </c>
      <c r="T203" s="2">
        <v>100000</v>
      </c>
      <c r="U203" s="6" t="e">
        <f t="shared" si="180"/>
        <v>#DIV/0!</v>
      </c>
      <c r="V203" s="1"/>
      <c r="W203" s="1"/>
      <c r="X203" s="1"/>
      <c r="Y203" s="1"/>
      <c r="Z203" s="1"/>
      <c r="AA203" s="1"/>
      <c r="AB203" s="3"/>
    </row>
    <row r="204" spans="1:28" ht="22.9" customHeight="1" x14ac:dyDescent="0.25">
      <c r="A204" s="37" t="s">
        <v>1311</v>
      </c>
      <c r="B204" s="9" t="s">
        <v>499</v>
      </c>
      <c r="C204" s="7">
        <f t="shared" si="223"/>
        <v>4168844</v>
      </c>
      <c r="D204" s="2">
        <f t="shared" si="221"/>
        <v>689044</v>
      </c>
      <c r="E204" s="2">
        <f>700*405.32</f>
        <v>283724</v>
      </c>
      <c r="F204" s="18">
        <v>0</v>
      </c>
      <c r="G204" s="2">
        <f>300*405.32</f>
        <v>121596</v>
      </c>
      <c r="H204" s="2">
        <f>400*405.32</f>
        <v>162128</v>
      </c>
      <c r="I204" s="2">
        <f>300*405.32</f>
        <v>121596</v>
      </c>
      <c r="J204" s="18">
        <v>0</v>
      </c>
      <c r="K204" s="34">
        <v>0</v>
      </c>
      <c r="L204" s="18">
        <v>0</v>
      </c>
      <c r="M204" s="18">
        <v>357</v>
      </c>
      <c r="N204" s="2">
        <f>M204*6600</f>
        <v>2356200</v>
      </c>
      <c r="O204" s="18">
        <v>0</v>
      </c>
      <c r="P204" s="18">
        <v>0</v>
      </c>
      <c r="Q204" s="18">
        <v>273</v>
      </c>
      <c r="R204" s="2">
        <f t="shared" si="219"/>
        <v>873600</v>
      </c>
      <c r="S204" s="2">
        <v>150000</v>
      </c>
      <c r="T204" s="2">
        <v>100000</v>
      </c>
      <c r="U204" s="6">
        <f t="shared" si="180"/>
        <v>6600</v>
      </c>
      <c r="V204" s="1"/>
      <c r="W204" s="1"/>
      <c r="X204" s="1"/>
      <c r="Y204" s="1"/>
      <c r="Z204" s="1"/>
      <c r="AA204" s="1"/>
      <c r="AB204" s="3"/>
    </row>
    <row r="205" spans="1:28" ht="45" customHeight="1" x14ac:dyDescent="0.25">
      <c r="A205" s="43" t="s">
        <v>509</v>
      </c>
      <c r="B205" s="43"/>
      <c r="C205" s="1">
        <f>SUM(C206:C207)</f>
        <v>10792114</v>
      </c>
      <c r="D205" s="1">
        <f t="shared" ref="D205:T205" si="227">SUM(D206:D207)</f>
        <v>2382094</v>
      </c>
      <c r="E205" s="1">
        <f t="shared" si="227"/>
        <v>641333</v>
      </c>
      <c r="F205" s="1">
        <f t="shared" si="227"/>
        <v>1191047</v>
      </c>
      <c r="G205" s="1">
        <f t="shared" si="227"/>
        <v>274857</v>
      </c>
      <c r="H205" s="1">
        <f t="shared" si="227"/>
        <v>0</v>
      </c>
      <c r="I205" s="1">
        <f t="shared" si="227"/>
        <v>274857</v>
      </c>
      <c r="J205" s="1">
        <f t="shared" si="227"/>
        <v>0</v>
      </c>
      <c r="K205" s="33">
        <f t="shared" si="227"/>
        <v>0</v>
      </c>
      <c r="L205" s="1">
        <f t="shared" si="227"/>
        <v>0</v>
      </c>
      <c r="M205" s="1">
        <f t="shared" si="227"/>
        <v>708.5</v>
      </c>
      <c r="N205" s="1">
        <f t="shared" si="227"/>
        <v>4676100</v>
      </c>
      <c r="O205" s="1">
        <f t="shared" si="227"/>
        <v>0</v>
      </c>
      <c r="P205" s="1">
        <f t="shared" si="227"/>
        <v>0</v>
      </c>
      <c r="Q205" s="1">
        <f t="shared" si="227"/>
        <v>1010.5999999999999</v>
      </c>
      <c r="R205" s="1">
        <f t="shared" si="227"/>
        <v>3233920</v>
      </c>
      <c r="S205" s="1">
        <f t="shared" si="227"/>
        <v>300000</v>
      </c>
      <c r="T205" s="1">
        <f t="shared" si="227"/>
        <v>200000</v>
      </c>
      <c r="U205" s="3" t="e">
        <f>C205+#REF!+#REF!</f>
        <v>#REF!</v>
      </c>
    </row>
    <row r="206" spans="1:28" ht="22.9" customHeight="1" x14ac:dyDescent="0.25">
      <c r="A206" s="37" t="s">
        <v>1312</v>
      </c>
      <c r="B206" s="9" t="s">
        <v>510</v>
      </c>
      <c r="C206" s="7">
        <f t="shared" ref="C206:C207" si="228">D206+L206+N206+P206+R206+S206+T206</f>
        <v>3822080</v>
      </c>
      <c r="D206" s="2">
        <f t="shared" ref="D206:D207" si="229">SUM(E206:J206)</f>
        <v>799500</v>
      </c>
      <c r="E206" s="2">
        <f>700*307.5</f>
        <v>215250</v>
      </c>
      <c r="F206" s="2">
        <f>1300*307.5</f>
        <v>399750</v>
      </c>
      <c r="G206" s="2">
        <f>300*307.5</f>
        <v>92250</v>
      </c>
      <c r="H206" s="2">
        <v>0</v>
      </c>
      <c r="I206" s="2">
        <f>300*307.5</f>
        <v>92250</v>
      </c>
      <c r="J206" s="18">
        <v>0</v>
      </c>
      <c r="K206" s="34">
        <v>0</v>
      </c>
      <c r="L206" s="18">
        <v>0</v>
      </c>
      <c r="M206" s="18">
        <v>242.9</v>
      </c>
      <c r="N206" s="2">
        <f t="shared" ref="N206:N218" si="230">M206*6600</f>
        <v>1603140</v>
      </c>
      <c r="O206" s="18">
        <v>0</v>
      </c>
      <c r="P206" s="18">
        <v>0</v>
      </c>
      <c r="Q206" s="18">
        <v>365.45</v>
      </c>
      <c r="R206" s="2">
        <f t="shared" si="219"/>
        <v>1169440</v>
      </c>
      <c r="S206" s="2">
        <v>150000</v>
      </c>
      <c r="T206" s="2">
        <v>100000</v>
      </c>
      <c r="U206" s="6">
        <f t="shared" si="180"/>
        <v>6600</v>
      </c>
      <c r="V206" s="1"/>
      <c r="W206" s="1"/>
      <c r="X206" s="1"/>
      <c r="Y206" s="1"/>
      <c r="Z206" s="1"/>
      <c r="AA206" s="1"/>
      <c r="AB206" s="3"/>
    </row>
    <row r="207" spans="1:28" ht="22.9" customHeight="1" x14ac:dyDescent="0.25">
      <c r="A207" s="37" t="s">
        <v>1313</v>
      </c>
      <c r="B207" s="9" t="s">
        <v>511</v>
      </c>
      <c r="C207" s="7">
        <f t="shared" si="228"/>
        <v>6970034</v>
      </c>
      <c r="D207" s="2">
        <f t="shared" si="229"/>
        <v>1582594.0000000002</v>
      </c>
      <c r="E207" s="2">
        <f>700*608.69</f>
        <v>426083.00000000006</v>
      </c>
      <c r="F207" s="2">
        <f>1300*608.69</f>
        <v>791297.00000000012</v>
      </c>
      <c r="G207" s="2">
        <f>300*608.69</f>
        <v>182607.00000000003</v>
      </c>
      <c r="H207" s="2">
        <v>0</v>
      </c>
      <c r="I207" s="2">
        <f>300*608.69</f>
        <v>182607.00000000003</v>
      </c>
      <c r="J207" s="18">
        <v>0</v>
      </c>
      <c r="K207" s="34">
        <v>0</v>
      </c>
      <c r="L207" s="18">
        <v>0</v>
      </c>
      <c r="M207" s="18">
        <v>465.6</v>
      </c>
      <c r="N207" s="2">
        <f t="shared" si="230"/>
        <v>3072960</v>
      </c>
      <c r="O207" s="18">
        <v>0</v>
      </c>
      <c r="P207" s="18">
        <v>0</v>
      </c>
      <c r="Q207" s="18">
        <v>645.15</v>
      </c>
      <c r="R207" s="2">
        <f t="shared" si="219"/>
        <v>2064480</v>
      </c>
      <c r="S207" s="2">
        <v>150000</v>
      </c>
      <c r="T207" s="2">
        <v>100000</v>
      </c>
      <c r="U207" s="6">
        <f t="shared" si="180"/>
        <v>6600</v>
      </c>
      <c r="V207" s="1"/>
      <c r="W207" s="1"/>
      <c r="X207" s="1"/>
      <c r="Y207" s="1"/>
      <c r="Z207" s="1"/>
      <c r="AA207" s="1"/>
      <c r="AB207" s="3"/>
    </row>
    <row r="208" spans="1:28" ht="45" customHeight="1" x14ac:dyDescent="0.25">
      <c r="A208" s="43" t="s">
        <v>517</v>
      </c>
      <c r="B208" s="43"/>
      <c r="C208" s="1">
        <f>SUM(C209:C210)</f>
        <v>9551200</v>
      </c>
      <c r="D208" s="1">
        <f t="shared" ref="D208:T208" si="231">SUM(D209:D210)</f>
        <v>767200</v>
      </c>
      <c r="E208" s="1">
        <f t="shared" si="231"/>
        <v>537040</v>
      </c>
      <c r="F208" s="1">
        <f t="shared" si="231"/>
        <v>0</v>
      </c>
      <c r="G208" s="1">
        <f t="shared" si="231"/>
        <v>230160</v>
      </c>
      <c r="H208" s="1">
        <f t="shared" si="231"/>
        <v>0</v>
      </c>
      <c r="I208" s="1">
        <f t="shared" si="231"/>
        <v>0</v>
      </c>
      <c r="J208" s="1">
        <f t="shared" si="231"/>
        <v>0</v>
      </c>
      <c r="K208" s="33">
        <f t="shared" si="231"/>
        <v>0</v>
      </c>
      <c r="L208" s="1">
        <f t="shared" si="231"/>
        <v>0</v>
      </c>
      <c r="M208" s="1">
        <f t="shared" si="231"/>
        <v>700</v>
      </c>
      <c r="N208" s="1">
        <f t="shared" si="231"/>
        <v>4620000</v>
      </c>
      <c r="O208" s="1">
        <f t="shared" si="231"/>
        <v>520</v>
      </c>
      <c r="P208" s="1">
        <f t="shared" si="231"/>
        <v>624000</v>
      </c>
      <c r="Q208" s="1">
        <f t="shared" si="231"/>
        <v>950</v>
      </c>
      <c r="R208" s="1">
        <f t="shared" si="231"/>
        <v>3040000</v>
      </c>
      <c r="S208" s="1">
        <f t="shared" si="231"/>
        <v>300000</v>
      </c>
      <c r="T208" s="1">
        <f t="shared" si="231"/>
        <v>200000</v>
      </c>
      <c r="U208" s="3" t="e">
        <f>C208+#REF!+#REF!</f>
        <v>#REF!</v>
      </c>
    </row>
    <row r="209" spans="1:28" ht="22.9" customHeight="1" x14ac:dyDescent="0.25">
      <c r="A209" s="37" t="s">
        <v>1314</v>
      </c>
      <c r="B209" s="9" t="s">
        <v>518</v>
      </c>
      <c r="C209" s="7">
        <f t="shared" ref="C209:C210" si="232">D209+L209+N209+P209+R209+S209+T209</f>
        <v>4634500</v>
      </c>
      <c r="D209" s="2">
        <f t="shared" ref="D209:D210" si="233">SUM(E209:J209)</f>
        <v>368500</v>
      </c>
      <c r="E209" s="2">
        <f>700*368.5</f>
        <v>257950</v>
      </c>
      <c r="F209" s="18">
        <v>0</v>
      </c>
      <c r="G209" s="2">
        <f>300*368.5</f>
        <v>110550</v>
      </c>
      <c r="H209" s="18">
        <v>0</v>
      </c>
      <c r="I209" s="18">
        <v>0</v>
      </c>
      <c r="J209" s="18">
        <v>0</v>
      </c>
      <c r="K209" s="34">
        <v>0</v>
      </c>
      <c r="L209" s="18">
        <v>0</v>
      </c>
      <c r="M209" s="18">
        <v>340</v>
      </c>
      <c r="N209" s="2">
        <f t="shared" si="230"/>
        <v>2244000</v>
      </c>
      <c r="O209" s="18">
        <v>250</v>
      </c>
      <c r="P209" s="18">
        <f>O209*1200</f>
        <v>300000</v>
      </c>
      <c r="Q209" s="18">
        <v>460</v>
      </c>
      <c r="R209" s="2">
        <f t="shared" si="219"/>
        <v>1472000</v>
      </c>
      <c r="S209" s="2">
        <v>150000</v>
      </c>
      <c r="T209" s="2">
        <v>100000</v>
      </c>
      <c r="U209" s="6">
        <f t="shared" si="180"/>
        <v>6600</v>
      </c>
      <c r="V209" s="1"/>
      <c r="W209" s="1"/>
      <c r="X209" s="1"/>
      <c r="Y209" s="1"/>
      <c r="Z209" s="1"/>
      <c r="AA209" s="1"/>
      <c r="AB209" s="3"/>
    </row>
    <row r="210" spans="1:28" ht="22.9" customHeight="1" x14ac:dyDescent="0.25">
      <c r="A210" s="37" t="s">
        <v>1315</v>
      </c>
      <c r="B210" s="9" t="s">
        <v>519</v>
      </c>
      <c r="C210" s="7">
        <f t="shared" si="232"/>
        <v>4916700</v>
      </c>
      <c r="D210" s="2">
        <f t="shared" si="233"/>
        <v>398700</v>
      </c>
      <c r="E210" s="2">
        <f>700*398.7</f>
        <v>279090</v>
      </c>
      <c r="F210" s="18">
        <v>0</v>
      </c>
      <c r="G210" s="2">
        <f>300*398.7</f>
        <v>119610</v>
      </c>
      <c r="H210" s="18">
        <v>0</v>
      </c>
      <c r="I210" s="18">
        <v>0</v>
      </c>
      <c r="J210" s="18">
        <v>0</v>
      </c>
      <c r="K210" s="34">
        <v>0</v>
      </c>
      <c r="L210" s="18">
        <v>0</v>
      </c>
      <c r="M210" s="18">
        <v>360</v>
      </c>
      <c r="N210" s="2">
        <f t="shared" si="230"/>
        <v>2376000</v>
      </c>
      <c r="O210" s="18">
        <v>270</v>
      </c>
      <c r="P210" s="18">
        <f>O210*1200</f>
        <v>324000</v>
      </c>
      <c r="Q210" s="18">
        <v>490</v>
      </c>
      <c r="R210" s="2">
        <f t="shared" si="219"/>
        <v>1568000</v>
      </c>
      <c r="S210" s="2">
        <v>150000</v>
      </c>
      <c r="T210" s="2">
        <v>100000</v>
      </c>
      <c r="U210" s="6">
        <f t="shared" si="180"/>
        <v>6600</v>
      </c>
      <c r="V210" s="1"/>
      <c r="W210" s="1"/>
      <c r="X210" s="1"/>
      <c r="Y210" s="1"/>
      <c r="Z210" s="1"/>
      <c r="AA210" s="1"/>
      <c r="AB210" s="3"/>
    </row>
    <row r="211" spans="1:28" ht="45" customHeight="1" x14ac:dyDescent="0.25">
      <c r="A211" s="43" t="s">
        <v>527</v>
      </c>
      <c r="B211" s="43"/>
      <c r="C211" s="1">
        <f t="shared" ref="C211:T211" si="234">SUM(C212:C230)</f>
        <v>226216109</v>
      </c>
      <c r="D211" s="1">
        <f t="shared" si="234"/>
        <v>86647448</v>
      </c>
      <c r="E211" s="1">
        <f t="shared" si="234"/>
        <v>22167516</v>
      </c>
      <c r="F211" s="1">
        <f t="shared" si="234"/>
        <v>40682044</v>
      </c>
      <c r="G211" s="1">
        <f t="shared" si="234"/>
        <v>9500364</v>
      </c>
      <c r="H211" s="1">
        <f t="shared" si="234"/>
        <v>4797160</v>
      </c>
      <c r="I211" s="1">
        <f t="shared" si="234"/>
        <v>9500364</v>
      </c>
      <c r="J211" s="1">
        <f t="shared" si="234"/>
        <v>0</v>
      </c>
      <c r="K211" s="33">
        <f t="shared" si="234"/>
        <v>0</v>
      </c>
      <c r="L211" s="1">
        <f t="shared" si="234"/>
        <v>0</v>
      </c>
      <c r="M211" s="1">
        <f t="shared" si="234"/>
        <v>12297.040000000003</v>
      </c>
      <c r="N211" s="1">
        <f t="shared" si="234"/>
        <v>77574909</v>
      </c>
      <c r="O211" s="1">
        <f t="shared" si="234"/>
        <v>2351.2200000000003</v>
      </c>
      <c r="P211" s="1">
        <f t="shared" si="234"/>
        <v>2821464</v>
      </c>
      <c r="Q211" s="1">
        <f t="shared" si="234"/>
        <v>17928.840000000004</v>
      </c>
      <c r="R211" s="1">
        <f t="shared" si="234"/>
        <v>57372288</v>
      </c>
      <c r="S211" s="1">
        <f t="shared" si="234"/>
        <v>0</v>
      </c>
      <c r="T211" s="1">
        <f t="shared" si="234"/>
        <v>1800000</v>
      </c>
      <c r="U211" s="3" t="e">
        <f>C211+#REF!+#REF!</f>
        <v>#REF!</v>
      </c>
    </row>
    <row r="212" spans="1:28" ht="22.9" customHeight="1" x14ac:dyDescent="0.25">
      <c r="A212" s="37" t="s">
        <v>1316</v>
      </c>
      <c r="B212" s="9" t="s">
        <v>528</v>
      </c>
      <c r="C212" s="7">
        <f t="shared" ref="C212:C228" si="235">D212+L212+N212+P212+R212+S212+T212</f>
        <v>4245720</v>
      </c>
      <c r="D212" s="2">
        <f t="shared" ref="D212:D228" si="236">SUM(E212:J212)</f>
        <v>486200</v>
      </c>
      <c r="E212" s="2">
        <f>700*374</f>
        <v>261800</v>
      </c>
      <c r="F212" s="2">
        <v>0</v>
      </c>
      <c r="G212" s="2">
        <f>300*374</f>
        <v>112200</v>
      </c>
      <c r="H212" s="2">
        <v>0</v>
      </c>
      <c r="I212" s="2">
        <f>300*374</f>
        <v>112200</v>
      </c>
      <c r="J212" s="2">
        <v>0</v>
      </c>
      <c r="K212" s="21">
        <v>0</v>
      </c>
      <c r="L212" s="2">
        <v>0</v>
      </c>
      <c r="M212" s="2">
        <v>356.8</v>
      </c>
      <c r="N212" s="2">
        <f t="shared" si="230"/>
        <v>2354880</v>
      </c>
      <c r="O212" s="2">
        <v>0</v>
      </c>
      <c r="P212" s="2">
        <v>0</v>
      </c>
      <c r="Q212" s="2">
        <v>407.7</v>
      </c>
      <c r="R212" s="2">
        <f t="shared" si="219"/>
        <v>1304640</v>
      </c>
      <c r="S212" s="2">
        <v>0</v>
      </c>
      <c r="T212" s="2">
        <v>100000</v>
      </c>
      <c r="U212" s="6">
        <f t="shared" si="180"/>
        <v>6600</v>
      </c>
      <c r="V212" s="1"/>
      <c r="W212" s="1"/>
      <c r="X212" s="1"/>
      <c r="Y212" s="1"/>
      <c r="Z212" s="1"/>
      <c r="AA212" s="1"/>
      <c r="AB212" s="3"/>
    </row>
    <row r="213" spans="1:28" ht="22.9" customHeight="1" x14ac:dyDescent="0.25">
      <c r="A213" s="37" t="s">
        <v>1317</v>
      </c>
      <c r="B213" s="9" t="s">
        <v>529</v>
      </c>
      <c r="C213" s="7">
        <f t="shared" si="235"/>
        <v>14230020</v>
      </c>
      <c r="D213" s="2">
        <f t="shared" si="236"/>
        <v>4108780</v>
      </c>
      <c r="E213" s="2">
        <f>700*1580.3</f>
        <v>1106210</v>
      </c>
      <c r="F213" s="2">
        <f>1300*1580.3</f>
        <v>2054390</v>
      </c>
      <c r="G213" s="2">
        <f>300*1580.3</f>
        <v>474090</v>
      </c>
      <c r="H213" s="8">
        <v>0</v>
      </c>
      <c r="I213" s="2">
        <f>300*1580.3</f>
        <v>474090</v>
      </c>
      <c r="J213" s="2">
        <v>0</v>
      </c>
      <c r="K213" s="32">
        <v>0</v>
      </c>
      <c r="L213" s="8">
        <v>0</v>
      </c>
      <c r="M213" s="8">
        <v>903.4</v>
      </c>
      <c r="N213" s="2">
        <f t="shared" si="230"/>
        <v>5962440</v>
      </c>
      <c r="O213" s="8">
        <v>41</v>
      </c>
      <c r="P213" s="8">
        <f>O213*1200</f>
        <v>49200</v>
      </c>
      <c r="Q213" s="8">
        <v>1253</v>
      </c>
      <c r="R213" s="2">
        <f t="shared" si="219"/>
        <v>4009600</v>
      </c>
      <c r="S213" s="2">
        <v>0</v>
      </c>
      <c r="T213" s="2">
        <v>100000</v>
      </c>
      <c r="U213" s="6">
        <f t="shared" si="180"/>
        <v>6600</v>
      </c>
      <c r="V213" s="1"/>
      <c r="W213" s="1"/>
      <c r="X213" s="1"/>
      <c r="Y213" s="1"/>
      <c r="Z213" s="1"/>
      <c r="AA213" s="1"/>
      <c r="AB213" s="3"/>
    </row>
    <row r="214" spans="1:28" ht="22.9" customHeight="1" x14ac:dyDescent="0.25">
      <c r="A214" s="37" t="s">
        <v>1318</v>
      </c>
      <c r="B214" s="9" t="s">
        <v>530</v>
      </c>
      <c r="C214" s="7">
        <f t="shared" si="235"/>
        <v>9289580</v>
      </c>
      <c r="D214" s="2">
        <f t="shared" si="236"/>
        <v>2678520</v>
      </c>
      <c r="E214" s="2">
        <f>700*1030.2</f>
        <v>721140</v>
      </c>
      <c r="F214" s="2">
        <f>1300*1030.2</f>
        <v>1339260</v>
      </c>
      <c r="G214" s="2">
        <f>300*1030.2</f>
        <v>309060</v>
      </c>
      <c r="H214" s="8">
        <v>0</v>
      </c>
      <c r="I214" s="2">
        <f>300*1030.2</f>
        <v>309060</v>
      </c>
      <c r="J214" s="2">
        <v>0</v>
      </c>
      <c r="K214" s="32">
        <v>0</v>
      </c>
      <c r="L214" s="8">
        <v>0</v>
      </c>
      <c r="M214" s="8">
        <v>568.1</v>
      </c>
      <c r="N214" s="2">
        <f t="shared" si="230"/>
        <v>3749460</v>
      </c>
      <c r="O214" s="8">
        <v>32</v>
      </c>
      <c r="P214" s="8">
        <f>O214*1200</f>
        <v>38400</v>
      </c>
      <c r="Q214" s="8">
        <v>851</v>
      </c>
      <c r="R214" s="2">
        <f t="shared" si="219"/>
        <v>2723200</v>
      </c>
      <c r="S214" s="2">
        <v>0</v>
      </c>
      <c r="T214" s="2">
        <v>100000</v>
      </c>
      <c r="U214" s="6">
        <f t="shared" si="180"/>
        <v>6600</v>
      </c>
      <c r="V214" s="1"/>
      <c r="W214" s="1"/>
      <c r="X214" s="1"/>
      <c r="Y214" s="1"/>
      <c r="Z214" s="1"/>
      <c r="AA214" s="1"/>
      <c r="AB214" s="3"/>
    </row>
    <row r="215" spans="1:28" ht="22.9" customHeight="1" x14ac:dyDescent="0.25">
      <c r="A215" s="37" t="s">
        <v>1319</v>
      </c>
      <c r="B215" s="9" t="s">
        <v>531</v>
      </c>
      <c r="C215" s="7">
        <f t="shared" si="235"/>
        <v>4264420</v>
      </c>
      <c r="D215" s="2">
        <f t="shared" ref="D215" si="237">SUM(E215:J215)</f>
        <v>4164420</v>
      </c>
      <c r="E215" s="2">
        <f>700*1601.7</f>
        <v>1121190</v>
      </c>
      <c r="F215" s="2">
        <f>1300*1601.7</f>
        <v>2082210</v>
      </c>
      <c r="G215" s="2">
        <f>300*1601.7</f>
        <v>480510</v>
      </c>
      <c r="H215" s="8">
        <v>0</v>
      </c>
      <c r="I215" s="2">
        <f>300*1601.7</f>
        <v>480510</v>
      </c>
      <c r="J215" s="2">
        <v>0</v>
      </c>
      <c r="K215" s="32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2">
        <v>0</v>
      </c>
      <c r="S215" s="2">
        <v>0</v>
      </c>
      <c r="T215" s="2">
        <v>100000</v>
      </c>
      <c r="U215" s="6" t="e">
        <f t="shared" si="180"/>
        <v>#DIV/0!</v>
      </c>
      <c r="V215" s="1"/>
      <c r="W215" s="1"/>
      <c r="X215" s="1"/>
      <c r="Y215" s="1"/>
      <c r="Z215" s="1"/>
      <c r="AA215" s="1"/>
      <c r="AB215" s="3"/>
    </row>
    <row r="216" spans="1:28" ht="22.9" customHeight="1" x14ac:dyDescent="0.25">
      <c r="A216" s="37" t="s">
        <v>1320</v>
      </c>
      <c r="B216" s="9" t="s">
        <v>532</v>
      </c>
      <c r="C216" s="7">
        <f t="shared" si="235"/>
        <v>17332692</v>
      </c>
      <c r="D216" s="2">
        <f t="shared" si="236"/>
        <v>5465408</v>
      </c>
      <c r="E216" s="2">
        <f>700*2102.08</f>
        <v>1471456</v>
      </c>
      <c r="F216" s="2">
        <f>1300*2102.08</f>
        <v>2732704</v>
      </c>
      <c r="G216" s="2">
        <f>300*2102.08</f>
        <v>630624</v>
      </c>
      <c r="H216" s="8">
        <v>0</v>
      </c>
      <c r="I216" s="2">
        <f>300*2102.08</f>
        <v>630624</v>
      </c>
      <c r="J216" s="2">
        <v>0</v>
      </c>
      <c r="K216" s="32">
        <v>0</v>
      </c>
      <c r="L216" s="8">
        <v>0</v>
      </c>
      <c r="M216" s="8">
        <v>913.1</v>
      </c>
      <c r="N216" s="2">
        <f t="shared" si="230"/>
        <v>6026460</v>
      </c>
      <c r="O216" s="8">
        <v>537.62</v>
      </c>
      <c r="P216" s="8">
        <f>O216*1200</f>
        <v>645144</v>
      </c>
      <c r="Q216" s="8">
        <v>1592.4</v>
      </c>
      <c r="R216" s="2">
        <f t="shared" si="219"/>
        <v>5095680</v>
      </c>
      <c r="S216" s="2">
        <v>0</v>
      </c>
      <c r="T216" s="2">
        <v>100000</v>
      </c>
      <c r="U216" s="6">
        <f t="shared" ref="U216:U279" si="238">N216/M216</f>
        <v>6600</v>
      </c>
      <c r="V216" s="1"/>
      <c r="W216" s="1"/>
      <c r="X216" s="1"/>
      <c r="Y216" s="1"/>
      <c r="Z216" s="1"/>
      <c r="AA216" s="1"/>
      <c r="AB216" s="3"/>
    </row>
    <row r="217" spans="1:28" ht="22.9" customHeight="1" x14ac:dyDescent="0.25">
      <c r="A217" s="37" t="s">
        <v>1321</v>
      </c>
      <c r="B217" s="9" t="s">
        <v>533</v>
      </c>
      <c r="C217" s="7">
        <f t="shared" si="235"/>
        <v>3132784</v>
      </c>
      <c r="D217" s="2">
        <f t="shared" si="236"/>
        <v>2422800</v>
      </c>
      <c r="E217" s="2">
        <f>700*807.6</f>
        <v>565320</v>
      </c>
      <c r="F217" s="2">
        <f>1300*807.6</f>
        <v>1049880</v>
      </c>
      <c r="G217" s="2">
        <f>300*807.6</f>
        <v>242280</v>
      </c>
      <c r="H217" s="2">
        <f>400*807.6</f>
        <v>323040</v>
      </c>
      <c r="I217" s="2">
        <f>300*807.6</f>
        <v>242280</v>
      </c>
      <c r="J217" s="2">
        <v>0</v>
      </c>
      <c r="K217" s="21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190.62</v>
      </c>
      <c r="R217" s="2">
        <f t="shared" si="219"/>
        <v>609984</v>
      </c>
      <c r="S217" s="2">
        <v>0</v>
      </c>
      <c r="T217" s="2">
        <v>100000</v>
      </c>
      <c r="U217" s="6" t="e">
        <f t="shared" si="238"/>
        <v>#DIV/0!</v>
      </c>
      <c r="V217" s="1"/>
      <c r="W217" s="1"/>
      <c r="X217" s="1"/>
      <c r="Y217" s="1"/>
      <c r="Z217" s="1"/>
      <c r="AA217" s="1"/>
      <c r="AB217" s="3"/>
    </row>
    <row r="218" spans="1:28" ht="22.9" customHeight="1" x14ac:dyDescent="0.25">
      <c r="A218" s="37" t="s">
        <v>1322</v>
      </c>
      <c r="B218" s="9" t="s">
        <v>534</v>
      </c>
      <c r="C218" s="7">
        <f t="shared" si="235"/>
        <v>22203682</v>
      </c>
      <c r="D218" s="2">
        <f t="shared" si="236"/>
        <v>10818300</v>
      </c>
      <c r="E218" s="2">
        <f>700*3606.1</f>
        <v>2524270</v>
      </c>
      <c r="F218" s="2">
        <f>1300*3606.1</f>
        <v>4687930</v>
      </c>
      <c r="G218" s="2">
        <f>300*3606.1</f>
        <v>1081830</v>
      </c>
      <c r="H218" s="2">
        <f>400*3606.1</f>
        <v>1442440</v>
      </c>
      <c r="I218" s="2">
        <f>300*3606.1</f>
        <v>1081830</v>
      </c>
      <c r="J218" s="2">
        <v>0</v>
      </c>
      <c r="K218" s="21">
        <v>0</v>
      </c>
      <c r="L218" s="2">
        <v>0</v>
      </c>
      <c r="M218" s="2">
        <v>1192.67</v>
      </c>
      <c r="N218" s="2">
        <f t="shared" si="230"/>
        <v>7871622.0000000009</v>
      </c>
      <c r="O218" s="2">
        <v>0</v>
      </c>
      <c r="P218" s="2">
        <v>0</v>
      </c>
      <c r="Q218" s="2">
        <v>1066.8</v>
      </c>
      <c r="R218" s="2">
        <f t="shared" si="219"/>
        <v>3413760</v>
      </c>
      <c r="S218" s="2">
        <v>0</v>
      </c>
      <c r="T218" s="2">
        <v>100000</v>
      </c>
      <c r="U218" s="6">
        <f t="shared" si="238"/>
        <v>6600</v>
      </c>
      <c r="V218" s="1"/>
      <c r="W218" s="1"/>
      <c r="X218" s="1"/>
      <c r="Y218" s="1"/>
      <c r="Z218" s="1"/>
      <c r="AA218" s="1"/>
      <c r="AB218" s="3"/>
    </row>
    <row r="219" spans="1:28" ht="22.9" customHeight="1" x14ac:dyDescent="0.25">
      <c r="A219" s="37" t="s">
        <v>1323</v>
      </c>
      <c r="B219" s="9" t="s">
        <v>535</v>
      </c>
      <c r="C219" s="7">
        <f t="shared" si="235"/>
        <v>11079680</v>
      </c>
      <c r="D219" s="2">
        <f t="shared" si="236"/>
        <v>879580</v>
      </c>
      <c r="E219" s="2">
        <f>700*338.3</f>
        <v>236810</v>
      </c>
      <c r="F219" s="2">
        <f>1300*338.3</f>
        <v>439790</v>
      </c>
      <c r="G219" s="2">
        <f>300*338.3</f>
        <v>101490</v>
      </c>
      <c r="H219" s="8">
        <v>0</v>
      </c>
      <c r="I219" s="2">
        <f>300*338.3</f>
        <v>101490</v>
      </c>
      <c r="J219" s="2">
        <v>0</v>
      </c>
      <c r="K219" s="32">
        <v>0</v>
      </c>
      <c r="L219" s="8">
        <v>0</v>
      </c>
      <c r="M219" s="8">
        <v>884.5</v>
      </c>
      <c r="N219" s="2">
        <f t="shared" ref="N219:N221" si="239">M219*6600</f>
        <v>5837700</v>
      </c>
      <c r="O219" s="8">
        <v>0</v>
      </c>
      <c r="P219" s="8">
        <v>0</v>
      </c>
      <c r="Q219" s="8">
        <v>1332</v>
      </c>
      <c r="R219" s="2">
        <f t="shared" si="219"/>
        <v>4262400</v>
      </c>
      <c r="S219" s="2">
        <v>0</v>
      </c>
      <c r="T219" s="2">
        <v>100000</v>
      </c>
      <c r="U219" s="6">
        <f t="shared" si="238"/>
        <v>6600</v>
      </c>
      <c r="V219" s="1"/>
      <c r="W219" s="1"/>
      <c r="X219" s="1"/>
      <c r="Y219" s="1"/>
      <c r="Z219" s="1"/>
      <c r="AA219" s="1"/>
      <c r="AB219" s="3"/>
    </row>
    <row r="220" spans="1:28" ht="22.9" customHeight="1" x14ac:dyDescent="0.25">
      <c r="A220" s="37" t="s">
        <v>1324</v>
      </c>
      <c r="B220" s="9" t="s">
        <v>536</v>
      </c>
      <c r="C220" s="7">
        <f t="shared" si="235"/>
        <v>21255260</v>
      </c>
      <c r="D220" s="2">
        <f t="shared" si="236"/>
        <v>6994260</v>
      </c>
      <c r="E220" s="2">
        <f>700*2690.1</f>
        <v>1883070</v>
      </c>
      <c r="F220" s="2">
        <f>1300*2690.1</f>
        <v>3497130</v>
      </c>
      <c r="G220" s="2">
        <f>300*2690.1</f>
        <v>807030</v>
      </c>
      <c r="H220" s="8">
        <v>0</v>
      </c>
      <c r="I220" s="2">
        <f>300*2690.1</f>
        <v>807030</v>
      </c>
      <c r="J220" s="2">
        <v>0</v>
      </c>
      <c r="K220" s="32">
        <v>0</v>
      </c>
      <c r="L220" s="8">
        <v>0</v>
      </c>
      <c r="M220" s="8">
        <v>1134.2</v>
      </c>
      <c r="N220" s="2">
        <f t="shared" si="239"/>
        <v>7485720</v>
      </c>
      <c r="O220" s="8">
        <v>113.4</v>
      </c>
      <c r="P220" s="8">
        <f>O220*1200</f>
        <v>136080</v>
      </c>
      <c r="Q220" s="8">
        <v>2043.5</v>
      </c>
      <c r="R220" s="2">
        <f t="shared" si="219"/>
        <v>6539200</v>
      </c>
      <c r="S220" s="2">
        <v>0</v>
      </c>
      <c r="T220" s="2">
        <v>100000</v>
      </c>
      <c r="U220" s="6">
        <f t="shared" si="238"/>
        <v>6600</v>
      </c>
      <c r="V220" s="1"/>
      <c r="W220" s="1"/>
      <c r="X220" s="1"/>
      <c r="Y220" s="1"/>
      <c r="Z220" s="1"/>
      <c r="AA220" s="1"/>
      <c r="AB220" s="3"/>
    </row>
    <row r="221" spans="1:28" ht="22.9" customHeight="1" x14ac:dyDescent="0.25">
      <c r="A221" s="37" t="s">
        <v>1325</v>
      </c>
      <c r="B221" s="9" t="s">
        <v>537</v>
      </c>
      <c r="C221" s="7">
        <f t="shared" si="235"/>
        <v>21225656</v>
      </c>
      <c r="D221" s="2">
        <f t="shared" si="236"/>
        <v>7053540</v>
      </c>
      <c r="E221" s="2">
        <f>700*2712.9</f>
        <v>1899030</v>
      </c>
      <c r="F221" s="2">
        <f>1300*2712.9</f>
        <v>3526770</v>
      </c>
      <c r="G221" s="2">
        <f>300*2712.9</f>
        <v>813870</v>
      </c>
      <c r="H221" s="8">
        <v>0</v>
      </c>
      <c r="I221" s="2">
        <f>300*2712.9</f>
        <v>813870</v>
      </c>
      <c r="J221" s="2">
        <v>0</v>
      </c>
      <c r="K221" s="32">
        <v>0</v>
      </c>
      <c r="L221" s="8">
        <v>0</v>
      </c>
      <c r="M221" s="8">
        <v>1115.9000000000001</v>
      </c>
      <c r="N221" s="2">
        <f t="shared" si="239"/>
        <v>7364940.0000000009</v>
      </c>
      <c r="O221" s="8">
        <v>106.3</v>
      </c>
      <c r="P221" s="8">
        <f>O221*1200</f>
        <v>127560</v>
      </c>
      <c r="Q221" s="8">
        <v>2056.13</v>
      </c>
      <c r="R221" s="2">
        <f t="shared" si="219"/>
        <v>6579616</v>
      </c>
      <c r="S221" s="2">
        <v>0</v>
      </c>
      <c r="T221" s="2">
        <v>100000</v>
      </c>
      <c r="U221" s="6">
        <f t="shared" si="238"/>
        <v>6600</v>
      </c>
      <c r="V221" s="1"/>
      <c r="W221" s="1"/>
      <c r="X221" s="1"/>
      <c r="Y221" s="1"/>
      <c r="Z221" s="1"/>
      <c r="AA221" s="1"/>
      <c r="AB221" s="3"/>
    </row>
    <row r="222" spans="1:28" ht="22.9" customHeight="1" x14ac:dyDescent="0.25">
      <c r="A222" s="37" t="s">
        <v>1326</v>
      </c>
      <c r="B222" s="9" t="s">
        <v>538</v>
      </c>
      <c r="C222" s="7">
        <f t="shared" si="235"/>
        <v>7421265</v>
      </c>
      <c r="D222" s="2">
        <f t="shared" si="236"/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32">
        <v>0</v>
      </c>
      <c r="L222" s="8">
        <v>0</v>
      </c>
      <c r="M222" s="8">
        <v>1667.7</v>
      </c>
      <c r="N222" s="8">
        <f>M222*4450</f>
        <v>7421265</v>
      </c>
      <c r="O222" s="8">
        <v>0</v>
      </c>
      <c r="P222" s="8">
        <v>0</v>
      </c>
      <c r="Q222" s="8">
        <v>0</v>
      </c>
      <c r="R222" s="2">
        <v>0</v>
      </c>
      <c r="S222" s="2">
        <v>0</v>
      </c>
      <c r="T222" s="2">
        <v>0</v>
      </c>
      <c r="U222" s="6">
        <f t="shared" si="238"/>
        <v>4450</v>
      </c>
      <c r="V222" s="1"/>
      <c r="W222" s="1"/>
      <c r="X222" s="1"/>
      <c r="Y222" s="1"/>
      <c r="Z222" s="1"/>
      <c r="AA222" s="1"/>
      <c r="AB222" s="3"/>
    </row>
    <row r="223" spans="1:28" ht="25.15" customHeight="1" x14ac:dyDescent="0.25">
      <c r="A223" s="37" t="s">
        <v>1327</v>
      </c>
      <c r="B223" s="9" t="s">
        <v>539</v>
      </c>
      <c r="C223" s="7">
        <f t="shared" si="235"/>
        <v>17308820</v>
      </c>
      <c r="D223" s="2">
        <f t="shared" si="236"/>
        <v>5532280.0000000009</v>
      </c>
      <c r="E223" s="2">
        <f>700*2127.8</f>
        <v>1489460.0000000002</v>
      </c>
      <c r="F223" s="2">
        <f>1300*2127.8</f>
        <v>2766140.0000000005</v>
      </c>
      <c r="G223" s="2">
        <f>300*2127.8</f>
        <v>638340</v>
      </c>
      <c r="H223" s="8">
        <v>0</v>
      </c>
      <c r="I223" s="2">
        <f>300*2127.8</f>
        <v>638340</v>
      </c>
      <c r="J223" s="2">
        <v>0</v>
      </c>
      <c r="K223" s="32">
        <v>0</v>
      </c>
      <c r="L223" s="8">
        <v>0</v>
      </c>
      <c r="M223" s="8">
        <v>888.7</v>
      </c>
      <c r="N223" s="2">
        <f t="shared" ref="N223" si="240">M223*6600</f>
        <v>5865420</v>
      </c>
      <c r="O223" s="8">
        <v>564.20000000000005</v>
      </c>
      <c r="P223" s="8">
        <f>O223*1200</f>
        <v>677040</v>
      </c>
      <c r="Q223" s="8">
        <v>1604.4</v>
      </c>
      <c r="R223" s="2">
        <f t="shared" si="219"/>
        <v>5134080</v>
      </c>
      <c r="S223" s="2">
        <v>0</v>
      </c>
      <c r="T223" s="2">
        <v>100000</v>
      </c>
      <c r="U223" s="6">
        <f t="shared" si="238"/>
        <v>6600</v>
      </c>
      <c r="V223" s="1"/>
      <c r="W223" s="1"/>
      <c r="X223" s="1"/>
      <c r="Y223" s="1"/>
      <c r="Z223" s="1"/>
      <c r="AA223" s="1"/>
      <c r="AB223" s="3"/>
    </row>
    <row r="224" spans="1:28" ht="25.15" customHeight="1" x14ac:dyDescent="0.25">
      <c r="A224" s="37" t="s">
        <v>1328</v>
      </c>
      <c r="B224" s="9" t="s">
        <v>540</v>
      </c>
      <c r="C224" s="7">
        <f t="shared" si="235"/>
        <v>6723280</v>
      </c>
      <c r="D224" s="2">
        <f t="shared" si="236"/>
        <v>4969200</v>
      </c>
      <c r="E224" s="2">
        <f>700*1656.4</f>
        <v>1159480</v>
      </c>
      <c r="F224" s="2">
        <f>1300*1656.4</f>
        <v>2153320</v>
      </c>
      <c r="G224" s="2">
        <f>300*1656.4</f>
        <v>496920</v>
      </c>
      <c r="H224" s="2">
        <f>400*1656.4</f>
        <v>662560</v>
      </c>
      <c r="I224" s="2">
        <f>300*1656.4</f>
        <v>496920</v>
      </c>
      <c r="J224" s="2">
        <v>0</v>
      </c>
      <c r="K224" s="21">
        <v>0</v>
      </c>
      <c r="L224" s="2">
        <v>0</v>
      </c>
      <c r="M224" s="2">
        <v>0</v>
      </c>
      <c r="N224" s="2">
        <v>0</v>
      </c>
      <c r="O224" s="2">
        <v>50</v>
      </c>
      <c r="P224" s="8">
        <f t="shared" ref="P224:P226" si="241">O224*1200</f>
        <v>60000</v>
      </c>
      <c r="Q224" s="2">
        <v>498.15</v>
      </c>
      <c r="R224" s="2">
        <f t="shared" si="219"/>
        <v>1594080</v>
      </c>
      <c r="S224" s="2">
        <v>0</v>
      </c>
      <c r="T224" s="2">
        <v>100000</v>
      </c>
      <c r="U224" s="6" t="e">
        <f t="shared" si="238"/>
        <v>#DIV/0!</v>
      </c>
      <c r="V224" s="1"/>
      <c r="W224" s="1"/>
      <c r="X224" s="1"/>
      <c r="Y224" s="1"/>
      <c r="Z224" s="1"/>
      <c r="AA224" s="1"/>
      <c r="AB224" s="3"/>
    </row>
    <row r="225" spans="1:28" ht="25.15" customHeight="1" x14ac:dyDescent="0.25">
      <c r="A225" s="37" t="s">
        <v>1329</v>
      </c>
      <c r="B225" s="9" t="s">
        <v>541</v>
      </c>
      <c r="C225" s="7">
        <f t="shared" si="235"/>
        <v>6785320</v>
      </c>
      <c r="D225" s="2">
        <f t="shared" si="236"/>
        <v>5015400</v>
      </c>
      <c r="E225" s="2">
        <f>700*1671.8</f>
        <v>1170260</v>
      </c>
      <c r="F225" s="2">
        <f>1300*1671.8</f>
        <v>2173340</v>
      </c>
      <c r="G225" s="2">
        <f>300*1671.8</f>
        <v>501540</v>
      </c>
      <c r="H225" s="2">
        <f>400*1671.8</f>
        <v>668720</v>
      </c>
      <c r="I225" s="2">
        <f>300*1671.8</f>
        <v>501540</v>
      </c>
      <c r="J225" s="2">
        <v>0</v>
      </c>
      <c r="K225" s="21">
        <v>0</v>
      </c>
      <c r="L225" s="2">
        <v>0</v>
      </c>
      <c r="M225" s="2">
        <v>0</v>
      </c>
      <c r="N225" s="2">
        <v>0</v>
      </c>
      <c r="O225" s="2">
        <v>50</v>
      </c>
      <c r="P225" s="8">
        <f t="shared" si="241"/>
        <v>60000</v>
      </c>
      <c r="Q225" s="2">
        <v>503.1</v>
      </c>
      <c r="R225" s="2">
        <f t="shared" si="219"/>
        <v>1609920</v>
      </c>
      <c r="S225" s="2">
        <v>0</v>
      </c>
      <c r="T225" s="2">
        <v>100000</v>
      </c>
      <c r="U225" s="6" t="e">
        <f t="shared" si="238"/>
        <v>#DIV/0!</v>
      </c>
      <c r="V225" s="1"/>
      <c r="W225" s="1"/>
      <c r="X225" s="1"/>
      <c r="Y225" s="1"/>
      <c r="Z225" s="1"/>
      <c r="AA225" s="1"/>
      <c r="AB225" s="3"/>
    </row>
    <row r="226" spans="1:28" ht="25.15" customHeight="1" x14ac:dyDescent="0.25">
      <c r="A226" s="37" t="s">
        <v>1330</v>
      </c>
      <c r="B226" s="9" t="s">
        <v>542</v>
      </c>
      <c r="C226" s="7">
        <f t="shared" si="235"/>
        <v>1853400</v>
      </c>
      <c r="D226" s="2">
        <f t="shared" si="236"/>
        <v>1734200</v>
      </c>
      <c r="E226" s="2">
        <f>700*667</f>
        <v>466900</v>
      </c>
      <c r="F226" s="2">
        <f>1300*667</f>
        <v>867100</v>
      </c>
      <c r="G226" s="2">
        <f>300*667</f>
        <v>200100</v>
      </c>
      <c r="H226" s="2">
        <v>0</v>
      </c>
      <c r="I226" s="2">
        <f>300*667</f>
        <v>200100</v>
      </c>
      <c r="J226" s="2">
        <v>0</v>
      </c>
      <c r="K226" s="21">
        <v>0</v>
      </c>
      <c r="L226" s="2">
        <v>0</v>
      </c>
      <c r="M226" s="2">
        <v>0</v>
      </c>
      <c r="N226" s="2">
        <v>0</v>
      </c>
      <c r="O226" s="2">
        <v>16</v>
      </c>
      <c r="P226" s="8">
        <f t="shared" si="241"/>
        <v>19200</v>
      </c>
      <c r="Q226" s="2">
        <v>0</v>
      </c>
      <c r="R226" s="2">
        <f t="shared" si="219"/>
        <v>0</v>
      </c>
      <c r="S226" s="2">
        <v>0</v>
      </c>
      <c r="T226" s="2">
        <v>100000</v>
      </c>
      <c r="U226" s="6" t="e">
        <f t="shared" si="238"/>
        <v>#DIV/0!</v>
      </c>
      <c r="V226" s="1"/>
      <c r="W226" s="1"/>
      <c r="X226" s="1"/>
      <c r="Y226" s="1"/>
      <c r="Z226" s="1"/>
      <c r="AA226" s="1"/>
      <c r="AB226" s="3"/>
    </row>
    <row r="227" spans="1:28" ht="25.15" customHeight="1" x14ac:dyDescent="0.25">
      <c r="A227" s="37" t="s">
        <v>1331</v>
      </c>
      <c r="B227" s="9" t="s">
        <v>543</v>
      </c>
      <c r="C227" s="7">
        <f t="shared" si="235"/>
        <v>16506592</v>
      </c>
      <c r="D227" s="2">
        <f t="shared" si="236"/>
        <v>6319200</v>
      </c>
      <c r="E227" s="2">
        <f>700*2106.4</f>
        <v>1474480</v>
      </c>
      <c r="F227" s="2">
        <f>1300*2106.4</f>
        <v>2738320</v>
      </c>
      <c r="G227" s="2">
        <f>300*2106.4</f>
        <v>631920</v>
      </c>
      <c r="H227" s="2">
        <f>400*2106.4</f>
        <v>842560</v>
      </c>
      <c r="I227" s="2">
        <f>300*2106.4</f>
        <v>631920</v>
      </c>
      <c r="J227" s="2">
        <v>0</v>
      </c>
      <c r="K227" s="21">
        <v>0</v>
      </c>
      <c r="L227" s="2">
        <v>0</v>
      </c>
      <c r="M227" s="2">
        <v>1217.1199999999999</v>
      </c>
      <c r="N227" s="2">
        <f t="shared" ref="N227:N228" si="242">M227*6600</f>
        <v>8032991.9999999991</v>
      </c>
      <c r="O227" s="2">
        <v>0</v>
      </c>
      <c r="P227" s="2">
        <v>0</v>
      </c>
      <c r="Q227" s="2">
        <v>642</v>
      </c>
      <c r="R227" s="2">
        <f t="shared" si="219"/>
        <v>2054400</v>
      </c>
      <c r="S227" s="2">
        <v>0</v>
      </c>
      <c r="T227" s="2">
        <v>100000</v>
      </c>
      <c r="U227" s="6">
        <f t="shared" si="238"/>
        <v>6600</v>
      </c>
      <c r="V227" s="1"/>
      <c r="W227" s="1"/>
      <c r="X227" s="1"/>
      <c r="Y227" s="1"/>
      <c r="Z227" s="1"/>
      <c r="AA227" s="1"/>
      <c r="AB227" s="3"/>
    </row>
    <row r="228" spans="1:28" ht="25.15" customHeight="1" x14ac:dyDescent="0.25">
      <c r="A228" s="37" t="s">
        <v>1332</v>
      </c>
      <c r="B228" s="9" t="s">
        <v>544</v>
      </c>
      <c r="C228" s="7">
        <f t="shared" si="235"/>
        <v>14501206</v>
      </c>
      <c r="D228" s="2">
        <f t="shared" si="236"/>
        <v>6433800</v>
      </c>
      <c r="E228" s="2">
        <f>700*2144.6</f>
        <v>1501220</v>
      </c>
      <c r="F228" s="2">
        <f>1300*2144.6</f>
        <v>2787980</v>
      </c>
      <c r="G228" s="2">
        <f>300*2144.6</f>
        <v>643380</v>
      </c>
      <c r="H228" s="2">
        <f>400*2144.6</f>
        <v>857840</v>
      </c>
      <c r="I228" s="2">
        <f>300*2144.6</f>
        <v>643380</v>
      </c>
      <c r="J228" s="2">
        <v>0</v>
      </c>
      <c r="K228" s="21">
        <v>0</v>
      </c>
      <c r="L228" s="2">
        <v>0</v>
      </c>
      <c r="M228" s="2">
        <v>893.35</v>
      </c>
      <c r="N228" s="2">
        <f t="shared" si="242"/>
        <v>5896110</v>
      </c>
      <c r="O228" s="2">
        <v>0</v>
      </c>
      <c r="P228" s="2">
        <v>0</v>
      </c>
      <c r="Q228" s="2">
        <v>647.28</v>
      </c>
      <c r="R228" s="2">
        <f t="shared" si="219"/>
        <v>2071296</v>
      </c>
      <c r="S228" s="2">
        <v>0</v>
      </c>
      <c r="T228" s="2">
        <v>100000</v>
      </c>
      <c r="U228" s="6">
        <f t="shared" si="238"/>
        <v>6600</v>
      </c>
      <c r="V228" s="1"/>
      <c r="W228" s="1"/>
      <c r="X228" s="1"/>
      <c r="Y228" s="1"/>
      <c r="Z228" s="1"/>
      <c r="AA228" s="1"/>
      <c r="AB228" s="3"/>
    </row>
    <row r="229" spans="1:28" ht="25.15" customHeight="1" x14ac:dyDescent="0.25">
      <c r="A229" s="37" t="s">
        <v>1333</v>
      </c>
      <c r="B229" s="9" t="s">
        <v>545</v>
      </c>
      <c r="C229" s="7">
        <f>D229+L229+N229+P229+R229+S229+T229</f>
        <v>9321612</v>
      </c>
      <c r="D229" s="2">
        <f>SUM(E229:J229)</f>
        <v>2624960</v>
      </c>
      <c r="E229" s="2">
        <f>700*1009.6</f>
        <v>706720</v>
      </c>
      <c r="F229" s="2">
        <f>1300*1009.6</f>
        <v>1312480</v>
      </c>
      <c r="G229" s="2">
        <f>300*1009.6</f>
        <v>302880</v>
      </c>
      <c r="H229" s="8">
        <v>0</v>
      </c>
      <c r="I229" s="2">
        <f>300*1009.6</f>
        <v>302880</v>
      </c>
      <c r="J229" s="2">
        <v>0</v>
      </c>
      <c r="K229" s="32">
        <v>0</v>
      </c>
      <c r="L229" s="8">
        <v>0</v>
      </c>
      <c r="M229" s="2">
        <v>561.5</v>
      </c>
      <c r="N229" s="2">
        <f>M229*6600</f>
        <v>3705900</v>
      </c>
      <c r="O229" s="2">
        <v>0</v>
      </c>
      <c r="P229" s="2">
        <v>0</v>
      </c>
      <c r="Q229" s="2">
        <v>903.36</v>
      </c>
      <c r="R229" s="2">
        <f>Q229*3200</f>
        <v>2890752</v>
      </c>
      <c r="S229" s="2">
        <v>0</v>
      </c>
      <c r="T229" s="2">
        <v>100000</v>
      </c>
      <c r="U229" s="6">
        <f>N229/M229</f>
        <v>6600</v>
      </c>
      <c r="V229" s="1"/>
      <c r="W229" s="1"/>
      <c r="X229" s="1"/>
      <c r="Y229" s="1"/>
      <c r="Z229" s="1"/>
      <c r="AA229" s="1"/>
      <c r="AB229" s="3"/>
    </row>
    <row r="230" spans="1:28" ht="25.15" customHeight="1" x14ac:dyDescent="0.25">
      <c r="A230" s="37" t="s">
        <v>1334</v>
      </c>
      <c r="B230" s="9" t="s">
        <v>546</v>
      </c>
      <c r="C230" s="7">
        <f>D230+L230+N230+P230+R230+S230+T230</f>
        <v>17535120</v>
      </c>
      <c r="D230" s="2">
        <f>SUM(E230:J230)</f>
        <v>8946600</v>
      </c>
      <c r="E230" s="2">
        <f>700*3441</f>
        <v>2408700</v>
      </c>
      <c r="F230" s="2">
        <f>1300*3441</f>
        <v>4473300</v>
      </c>
      <c r="G230" s="2">
        <f>300*3441</f>
        <v>1032300</v>
      </c>
      <c r="H230" s="8">
        <v>0</v>
      </c>
      <c r="I230" s="2">
        <f>300*3441</f>
        <v>1032300</v>
      </c>
      <c r="J230" s="2">
        <v>0</v>
      </c>
      <c r="K230" s="32">
        <v>0</v>
      </c>
      <c r="L230" s="8">
        <v>0</v>
      </c>
      <c r="M230" s="2">
        <v>0</v>
      </c>
      <c r="N230" s="2">
        <v>0</v>
      </c>
      <c r="O230" s="2">
        <v>840.7</v>
      </c>
      <c r="P230" s="8">
        <f>O230*1200</f>
        <v>1008840</v>
      </c>
      <c r="Q230" s="2">
        <v>2337.4</v>
      </c>
      <c r="R230" s="2">
        <f>Q230*3200</f>
        <v>7479680</v>
      </c>
      <c r="S230" s="2">
        <v>0</v>
      </c>
      <c r="T230" s="2">
        <v>100000</v>
      </c>
      <c r="U230" s="6" t="e">
        <f>N230/M230</f>
        <v>#DIV/0!</v>
      </c>
      <c r="V230" s="1"/>
      <c r="W230" s="1"/>
      <c r="X230" s="1"/>
      <c r="Y230" s="1"/>
      <c r="Z230" s="1"/>
      <c r="AA230" s="1"/>
      <c r="AB230" s="3"/>
    </row>
    <row r="231" spans="1:28" ht="45" customHeight="1" x14ac:dyDescent="0.25">
      <c r="A231" s="43" t="s">
        <v>584</v>
      </c>
      <c r="B231" s="43"/>
      <c r="C231" s="1">
        <f>SUM(C232:C233)</f>
        <v>6541668</v>
      </c>
      <c r="D231" s="1">
        <f t="shared" ref="D231:T231" si="243">SUM(D232:D233)</f>
        <v>527670</v>
      </c>
      <c r="E231" s="1">
        <f t="shared" si="243"/>
        <v>284130</v>
      </c>
      <c r="F231" s="1">
        <f t="shared" si="243"/>
        <v>0</v>
      </c>
      <c r="G231" s="1">
        <f t="shared" si="243"/>
        <v>121770</v>
      </c>
      <c r="H231" s="1">
        <f t="shared" si="243"/>
        <v>0</v>
      </c>
      <c r="I231" s="1">
        <f t="shared" si="243"/>
        <v>121770</v>
      </c>
      <c r="J231" s="1">
        <f t="shared" si="243"/>
        <v>0</v>
      </c>
      <c r="K231" s="33">
        <f t="shared" si="243"/>
        <v>0</v>
      </c>
      <c r="L231" s="1">
        <f t="shared" si="243"/>
        <v>0</v>
      </c>
      <c r="M231" s="1">
        <f t="shared" si="243"/>
        <v>637.03</v>
      </c>
      <c r="N231" s="1">
        <f t="shared" si="243"/>
        <v>4204398</v>
      </c>
      <c r="O231" s="1">
        <f t="shared" si="243"/>
        <v>0</v>
      </c>
      <c r="P231" s="1">
        <f t="shared" si="243"/>
        <v>0</v>
      </c>
      <c r="Q231" s="1">
        <f t="shared" si="243"/>
        <v>440.5</v>
      </c>
      <c r="R231" s="1">
        <f t="shared" si="243"/>
        <v>1409600</v>
      </c>
      <c r="S231" s="1">
        <f t="shared" si="243"/>
        <v>0</v>
      </c>
      <c r="T231" s="1">
        <f t="shared" si="243"/>
        <v>400000</v>
      </c>
      <c r="U231" s="3" t="e">
        <f>C231+#REF!+#REF!</f>
        <v>#REF!</v>
      </c>
    </row>
    <row r="232" spans="1:28" ht="25.15" customHeight="1" x14ac:dyDescent="0.25">
      <c r="A232" s="37" t="s">
        <v>1335</v>
      </c>
      <c r="B232" s="9" t="s">
        <v>585</v>
      </c>
      <c r="C232" s="7">
        <f t="shared" ref="C232" si="244">D232+L232+N232+P232+R232+S232+T232</f>
        <v>1950000</v>
      </c>
      <c r="D232" s="2">
        <f t="shared" ref="D232" si="245">SUM(E232:J232)</f>
        <v>0</v>
      </c>
      <c r="E232" s="2">
        <v>0</v>
      </c>
      <c r="F232" s="2">
        <v>0</v>
      </c>
      <c r="G232" s="2">
        <v>0</v>
      </c>
      <c r="H232" s="8">
        <v>0</v>
      </c>
      <c r="I232" s="2">
        <v>0</v>
      </c>
      <c r="J232" s="2">
        <v>0</v>
      </c>
      <c r="K232" s="32">
        <v>0</v>
      </c>
      <c r="L232" s="8">
        <v>0</v>
      </c>
      <c r="M232" s="2">
        <v>250</v>
      </c>
      <c r="N232" s="2">
        <f t="shared" ref="N232:N235" si="246">M232*6600</f>
        <v>1650000</v>
      </c>
      <c r="O232" s="2">
        <v>0</v>
      </c>
      <c r="P232" s="2">
        <v>0</v>
      </c>
      <c r="Q232" s="2">
        <v>0</v>
      </c>
      <c r="R232" s="2">
        <f t="shared" ref="R232:R235" si="247">Q232*3200</f>
        <v>0</v>
      </c>
      <c r="S232" s="2">
        <v>0</v>
      </c>
      <c r="T232" s="2">
        <v>300000</v>
      </c>
      <c r="U232" s="6">
        <f t="shared" si="238"/>
        <v>6600</v>
      </c>
      <c r="V232" s="1"/>
      <c r="W232" s="1"/>
      <c r="X232" s="1"/>
      <c r="Y232" s="1"/>
      <c r="Z232" s="1"/>
      <c r="AA232" s="1"/>
      <c r="AB232" s="3"/>
    </row>
    <row r="233" spans="1:28" ht="25.15" customHeight="1" x14ac:dyDescent="0.25">
      <c r="A233" s="37" t="s">
        <v>1336</v>
      </c>
      <c r="B233" s="9" t="s">
        <v>586</v>
      </c>
      <c r="C233" s="7">
        <f t="shared" ref="C233" si="248">D233+L233+N233+P233+R233+S233+T233</f>
        <v>4591668</v>
      </c>
      <c r="D233" s="2">
        <f t="shared" ref="D233" si="249">SUM(E233:J233)</f>
        <v>527670</v>
      </c>
      <c r="E233" s="2">
        <f>700*405.9</f>
        <v>284130</v>
      </c>
      <c r="F233" s="2">
        <v>0</v>
      </c>
      <c r="G233" s="2">
        <f>300*405.9</f>
        <v>121770</v>
      </c>
      <c r="H233" s="2">
        <v>0</v>
      </c>
      <c r="I233" s="2">
        <f>300*405.9</f>
        <v>121770</v>
      </c>
      <c r="J233" s="2">
        <v>0</v>
      </c>
      <c r="K233" s="21">
        <v>0</v>
      </c>
      <c r="L233" s="2">
        <v>0</v>
      </c>
      <c r="M233" s="2">
        <v>387.03</v>
      </c>
      <c r="N233" s="2">
        <f t="shared" si="246"/>
        <v>2554398</v>
      </c>
      <c r="O233" s="2">
        <v>0</v>
      </c>
      <c r="P233" s="2">
        <v>0</v>
      </c>
      <c r="Q233" s="2">
        <v>440.5</v>
      </c>
      <c r="R233" s="2">
        <f t="shared" si="247"/>
        <v>1409600</v>
      </c>
      <c r="S233" s="2">
        <v>0</v>
      </c>
      <c r="T233" s="2">
        <v>100000</v>
      </c>
      <c r="U233" s="6">
        <f t="shared" si="238"/>
        <v>6600.0000000000009</v>
      </c>
      <c r="V233" s="1"/>
      <c r="W233" s="1"/>
      <c r="X233" s="1"/>
      <c r="Y233" s="1"/>
      <c r="Z233" s="1"/>
      <c r="AA233" s="1"/>
      <c r="AB233" s="3"/>
    </row>
    <row r="234" spans="1:28" ht="45" customHeight="1" x14ac:dyDescent="0.25">
      <c r="A234" s="43" t="s">
        <v>591</v>
      </c>
      <c r="B234" s="43"/>
      <c r="C234" s="1">
        <f>SUM(C235)</f>
        <v>6510620</v>
      </c>
      <c r="D234" s="1">
        <f t="shared" ref="D234:T234" si="250">SUM(D235)</f>
        <v>2088600.0000000002</v>
      </c>
      <c r="E234" s="1">
        <f t="shared" si="250"/>
        <v>487340.00000000006</v>
      </c>
      <c r="F234" s="1">
        <f t="shared" si="250"/>
        <v>905060.00000000012</v>
      </c>
      <c r="G234" s="1">
        <f t="shared" si="250"/>
        <v>208860</v>
      </c>
      <c r="H234" s="1">
        <f t="shared" si="250"/>
        <v>278480</v>
      </c>
      <c r="I234" s="1">
        <f t="shared" si="250"/>
        <v>208860</v>
      </c>
      <c r="J234" s="1">
        <f t="shared" si="250"/>
        <v>0</v>
      </c>
      <c r="K234" s="33">
        <f t="shared" si="250"/>
        <v>0</v>
      </c>
      <c r="L234" s="1">
        <f t="shared" si="250"/>
        <v>0</v>
      </c>
      <c r="M234" s="1">
        <f t="shared" si="250"/>
        <v>434.9</v>
      </c>
      <c r="N234" s="1">
        <f t="shared" si="250"/>
        <v>2870340</v>
      </c>
      <c r="O234" s="1">
        <f t="shared" si="250"/>
        <v>50</v>
      </c>
      <c r="P234" s="1">
        <f t="shared" si="250"/>
        <v>60000</v>
      </c>
      <c r="Q234" s="1">
        <f t="shared" si="250"/>
        <v>434.9</v>
      </c>
      <c r="R234" s="1">
        <f t="shared" si="250"/>
        <v>1391680</v>
      </c>
      <c r="S234" s="1">
        <f t="shared" si="250"/>
        <v>0</v>
      </c>
      <c r="T234" s="1">
        <f t="shared" si="250"/>
        <v>100000</v>
      </c>
      <c r="U234" s="3" t="e">
        <f>C234+#REF!+#REF!</f>
        <v>#REF!</v>
      </c>
    </row>
    <row r="235" spans="1:28" ht="25.15" customHeight="1" x14ac:dyDescent="0.25">
      <c r="A235" s="37" t="s">
        <v>1337</v>
      </c>
      <c r="B235" s="9" t="s">
        <v>592</v>
      </c>
      <c r="C235" s="7">
        <f t="shared" ref="C235" si="251">D235+L235+N235+P235+R235+S235+T235</f>
        <v>6510620</v>
      </c>
      <c r="D235" s="2">
        <f t="shared" ref="D235" si="252">SUM(E235:J235)</f>
        <v>2088600.0000000002</v>
      </c>
      <c r="E235" s="2">
        <f>700*696.2</f>
        <v>487340.00000000006</v>
      </c>
      <c r="F235" s="2">
        <f>1300*696.2</f>
        <v>905060.00000000012</v>
      </c>
      <c r="G235" s="2">
        <f>300*696.2</f>
        <v>208860</v>
      </c>
      <c r="H235" s="2">
        <f>400*696.2</f>
        <v>278480</v>
      </c>
      <c r="I235" s="2">
        <f>300*696.2</f>
        <v>208860</v>
      </c>
      <c r="J235" s="2">
        <v>0</v>
      </c>
      <c r="K235" s="21">
        <v>0</v>
      </c>
      <c r="L235" s="2">
        <v>0</v>
      </c>
      <c r="M235" s="2">
        <v>434.9</v>
      </c>
      <c r="N235" s="2">
        <f t="shared" si="246"/>
        <v>2870340</v>
      </c>
      <c r="O235" s="2">
        <v>50</v>
      </c>
      <c r="P235" s="8">
        <f t="shared" ref="P235" si="253">O235*1200</f>
        <v>60000</v>
      </c>
      <c r="Q235" s="2">
        <v>434.9</v>
      </c>
      <c r="R235" s="2">
        <f t="shared" si="247"/>
        <v>1391680</v>
      </c>
      <c r="S235" s="1">
        <v>0</v>
      </c>
      <c r="T235" s="2">
        <v>100000</v>
      </c>
      <c r="U235" s="6">
        <f t="shared" si="238"/>
        <v>6600</v>
      </c>
      <c r="V235" s="1"/>
      <c r="W235" s="1"/>
      <c r="X235" s="1"/>
      <c r="Y235" s="1"/>
      <c r="Z235" s="1"/>
      <c r="AA235" s="1"/>
      <c r="AB235" s="3"/>
    </row>
    <row r="236" spans="1:28" ht="45" customHeight="1" x14ac:dyDescent="0.25">
      <c r="A236" s="43" t="s">
        <v>594</v>
      </c>
      <c r="B236" s="43"/>
      <c r="C236" s="1">
        <f>SUM(C237:C238)</f>
        <v>7423991</v>
      </c>
      <c r="D236" s="1">
        <f t="shared" ref="D236:T236" si="254">SUM(D237:D238)</f>
        <v>1762761</v>
      </c>
      <c r="E236" s="1">
        <f t="shared" si="254"/>
        <v>949179</v>
      </c>
      <c r="F236" s="1">
        <f t="shared" si="254"/>
        <v>0</v>
      </c>
      <c r="G236" s="1">
        <f t="shared" si="254"/>
        <v>406791</v>
      </c>
      <c r="H236" s="1">
        <f t="shared" si="254"/>
        <v>0</v>
      </c>
      <c r="I236" s="1">
        <f t="shared" si="254"/>
        <v>406791</v>
      </c>
      <c r="J236" s="1">
        <f t="shared" si="254"/>
        <v>0</v>
      </c>
      <c r="K236" s="33">
        <f t="shared" si="254"/>
        <v>0</v>
      </c>
      <c r="L236" s="1">
        <f t="shared" si="254"/>
        <v>0</v>
      </c>
      <c r="M236" s="1">
        <f t="shared" si="254"/>
        <v>555.75</v>
      </c>
      <c r="N236" s="1">
        <f t="shared" si="254"/>
        <v>3667950</v>
      </c>
      <c r="O236" s="1">
        <f t="shared" si="254"/>
        <v>0</v>
      </c>
      <c r="P236" s="1">
        <f t="shared" si="254"/>
        <v>0</v>
      </c>
      <c r="Q236" s="1">
        <f t="shared" si="254"/>
        <v>560.4</v>
      </c>
      <c r="R236" s="1">
        <f t="shared" si="254"/>
        <v>1793280</v>
      </c>
      <c r="S236" s="1">
        <f t="shared" si="254"/>
        <v>0</v>
      </c>
      <c r="T236" s="1">
        <f t="shared" si="254"/>
        <v>200000</v>
      </c>
      <c r="U236" s="3" t="e">
        <f>C236+#REF!+#REF!</f>
        <v>#REF!</v>
      </c>
    </row>
    <row r="237" spans="1:28" ht="22.9" customHeight="1" x14ac:dyDescent="0.25">
      <c r="A237" s="37" t="s">
        <v>1338</v>
      </c>
      <c r="B237" s="9" t="s">
        <v>595</v>
      </c>
      <c r="C237" s="7">
        <f t="shared" ref="C237" si="255">D237+L237+N237+P237+R237+S237+T237</f>
        <v>987861</v>
      </c>
      <c r="D237" s="2">
        <f t="shared" ref="D237" si="256">SUM(E237:J237)</f>
        <v>887861</v>
      </c>
      <c r="E237" s="2">
        <f>700*682.97</f>
        <v>478079</v>
      </c>
      <c r="F237" s="2">
        <v>0</v>
      </c>
      <c r="G237" s="2">
        <f>300*682.97</f>
        <v>204891</v>
      </c>
      <c r="H237" s="2">
        <v>0</v>
      </c>
      <c r="I237" s="2">
        <f>300*682.97</f>
        <v>204891</v>
      </c>
      <c r="J237" s="2">
        <v>0</v>
      </c>
      <c r="K237" s="21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100000</v>
      </c>
      <c r="U237" s="6" t="e">
        <f t="shared" si="238"/>
        <v>#DIV/0!</v>
      </c>
      <c r="V237" s="1"/>
      <c r="W237" s="1"/>
      <c r="X237" s="1"/>
      <c r="Y237" s="1"/>
      <c r="Z237" s="1"/>
      <c r="AA237" s="1"/>
      <c r="AB237" s="3"/>
    </row>
    <row r="238" spans="1:28" ht="22.9" customHeight="1" x14ac:dyDescent="0.25">
      <c r="A238" s="37" t="s">
        <v>1339</v>
      </c>
      <c r="B238" s="9" t="s">
        <v>596</v>
      </c>
      <c r="C238" s="7">
        <f t="shared" ref="C238" si="257">D238+L238+N238+P238+R238+S238+T238</f>
        <v>6436130</v>
      </c>
      <c r="D238" s="2">
        <f t="shared" ref="D238" si="258">SUM(E238:J238)</f>
        <v>874900</v>
      </c>
      <c r="E238" s="2">
        <f>700*673</f>
        <v>471100</v>
      </c>
      <c r="F238" s="2">
        <v>0</v>
      </c>
      <c r="G238" s="2">
        <f>300*673</f>
        <v>201900</v>
      </c>
      <c r="H238" s="2">
        <v>0</v>
      </c>
      <c r="I238" s="2">
        <f>300*673</f>
        <v>201900</v>
      </c>
      <c r="J238" s="2">
        <v>0</v>
      </c>
      <c r="K238" s="21">
        <v>0</v>
      </c>
      <c r="L238" s="2">
        <v>0</v>
      </c>
      <c r="M238" s="2">
        <v>555.75</v>
      </c>
      <c r="N238" s="2">
        <f t="shared" ref="N238:N242" si="259">M238*6600</f>
        <v>3667950</v>
      </c>
      <c r="O238" s="2">
        <v>0</v>
      </c>
      <c r="P238" s="2">
        <v>0</v>
      </c>
      <c r="Q238" s="2">
        <v>560.4</v>
      </c>
      <c r="R238" s="2">
        <f t="shared" ref="R238" si="260">Q238*3200</f>
        <v>1793280</v>
      </c>
      <c r="S238" s="2">
        <v>0</v>
      </c>
      <c r="T238" s="2">
        <v>100000</v>
      </c>
      <c r="U238" s="6">
        <f t="shared" si="238"/>
        <v>6600</v>
      </c>
      <c r="V238" s="1"/>
      <c r="W238" s="1"/>
      <c r="X238" s="1"/>
      <c r="Y238" s="1"/>
      <c r="Z238" s="1"/>
      <c r="AA238" s="1"/>
      <c r="AB238" s="3"/>
    </row>
    <row r="239" spans="1:28" ht="45" customHeight="1" x14ac:dyDescent="0.25">
      <c r="A239" s="43" t="s">
        <v>601</v>
      </c>
      <c r="B239" s="43"/>
      <c r="C239" s="1">
        <f>SUM(C240)</f>
        <v>4812250</v>
      </c>
      <c r="D239" s="1">
        <f t="shared" ref="D239:T239" si="261">SUM(D240)</f>
        <v>562250</v>
      </c>
      <c r="E239" s="1">
        <f t="shared" si="261"/>
        <v>302750</v>
      </c>
      <c r="F239" s="1">
        <f t="shared" si="261"/>
        <v>0</v>
      </c>
      <c r="G239" s="1">
        <f t="shared" si="261"/>
        <v>129750</v>
      </c>
      <c r="H239" s="1">
        <f t="shared" si="261"/>
        <v>0</v>
      </c>
      <c r="I239" s="1">
        <f t="shared" si="261"/>
        <v>129750</v>
      </c>
      <c r="J239" s="1">
        <f t="shared" si="261"/>
        <v>0</v>
      </c>
      <c r="K239" s="33">
        <f t="shared" si="261"/>
        <v>0</v>
      </c>
      <c r="L239" s="1">
        <f t="shared" si="261"/>
        <v>0</v>
      </c>
      <c r="M239" s="1">
        <f t="shared" si="261"/>
        <v>450</v>
      </c>
      <c r="N239" s="1">
        <f t="shared" si="261"/>
        <v>2970000</v>
      </c>
      <c r="O239" s="1">
        <f t="shared" si="261"/>
        <v>50</v>
      </c>
      <c r="P239" s="1">
        <f t="shared" si="261"/>
        <v>60000</v>
      </c>
      <c r="Q239" s="1">
        <f t="shared" si="261"/>
        <v>350</v>
      </c>
      <c r="R239" s="1">
        <f t="shared" si="261"/>
        <v>1120000</v>
      </c>
      <c r="S239" s="1">
        <f t="shared" si="261"/>
        <v>0</v>
      </c>
      <c r="T239" s="1">
        <f t="shared" si="261"/>
        <v>100000</v>
      </c>
      <c r="U239" s="3" t="e">
        <f>C239+#REF!+#REF!</f>
        <v>#REF!</v>
      </c>
    </row>
    <row r="240" spans="1:28" ht="22.9" customHeight="1" x14ac:dyDescent="0.25">
      <c r="A240" s="37" t="s">
        <v>1340</v>
      </c>
      <c r="B240" s="9" t="s">
        <v>602</v>
      </c>
      <c r="C240" s="7">
        <f t="shared" ref="C240" si="262">D240+L240+N240+P240+R240+S240+T240</f>
        <v>4812250</v>
      </c>
      <c r="D240" s="2">
        <f t="shared" ref="D240" si="263">SUM(E240:J240)</f>
        <v>562250</v>
      </c>
      <c r="E240" s="2">
        <f>700*432.5</f>
        <v>302750</v>
      </c>
      <c r="F240" s="2">
        <v>0</v>
      </c>
      <c r="G240" s="2">
        <f>300*432.5</f>
        <v>129750</v>
      </c>
      <c r="H240" s="2">
        <v>0</v>
      </c>
      <c r="I240" s="2">
        <f>300*432.5</f>
        <v>129750</v>
      </c>
      <c r="J240" s="2">
        <v>0</v>
      </c>
      <c r="K240" s="21">
        <v>0</v>
      </c>
      <c r="L240" s="2">
        <v>0</v>
      </c>
      <c r="M240" s="2">
        <v>450</v>
      </c>
      <c r="N240" s="2">
        <f t="shared" si="259"/>
        <v>2970000</v>
      </c>
      <c r="O240" s="2">
        <v>50</v>
      </c>
      <c r="P240" s="8">
        <f t="shared" ref="P240" si="264">O240*1200</f>
        <v>60000</v>
      </c>
      <c r="Q240" s="2">
        <v>350</v>
      </c>
      <c r="R240" s="2">
        <f t="shared" ref="R240:R249" si="265">Q240*3200</f>
        <v>1120000</v>
      </c>
      <c r="S240" s="2">
        <v>0</v>
      </c>
      <c r="T240" s="2">
        <v>100000</v>
      </c>
      <c r="U240" s="6">
        <f t="shared" si="238"/>
        <v>6600</v>
      </c>
      <c r="V240" s="1"/>
      <c r="W240" s="1"/>
      <c r="X240" s="1"/>
      <c r="Y240" s="1"/>
      <c r="Z240" s="1"/>
      <c r="AA240" s="1"/>
      <c r="AB240" s="3"/>
    </row>
    <row r="241" spans="1:28" ht="45" customHeight="1" x14ac:dyDescent="0.25">
      <c r="A241" s="43" t="s">
        <v>605</v>
      </c>
      <c r="B241" s="43"/>
      <c r="C241" s="1">
        <f>SUM(C242:C243)</f>
        <v>7639150</v>
      </c>
      <c r="D241" s="1">
        <f t="shared" ref="D241:T241" si="266">SUM(D242:D243)</f>
        <v>1259110</v>
      </c>
      <c r="E241" s="1">
        <f t="shared" si="266"/>
        <v>614110</v>
      </c>
      <c r="F241" s="1">
        <f t="shared" si="266"/>
        <v>381810</v>
      </c>
      <c r="G241" s="1">
        <f t="shared" si="266"/>
        <v>263190</v>
      </c>
      <c r="H241" s="1">
        <f t="shared" si="266"/>
        <v>0</v>
      </c>
      <c r="I241" s="1">
        <f t="shared" si="266"/>
        <v>0</v>
      </c>
      <c r="J241" s="1">
        <f t="shared" si="266"/>
        <v>0</v>
      </c>
      <c r="K241" s="33">
        <f t="shared" si="266"/>
        <v>0</v>
      </c>
      <c r="L241" s="1">
        <f t="shared" si="266"/>
        <v>0</v>
      </c>
      <c r="M241" s="1">
        <f t="shared" si="266"/>
        <v>567.4</v>
      </c>
      <c r="N241" s="1">
        <f t="shared" si="266"/>
        <v>3744840</v>
      </c>
      <c r="O241" s="1">
        <f t="shared" si="266"/>
        <v>0</v>
      </c>
      <c r="P241" s="1">
        <f t="shared" si="266"/>
        <v>0</v>
      </c>
      <c r="Q241" s="1">
        <f t="shared" si="266"/>
        <v>761</v>
      </c>
      <c r="R241" s="1">
        <f t="shared" si="266"/>
        <v>2435200</v>
      </c>
      <c r="S241" s="1">
        <f t="shared" si="266"/>
        <v>0</v>
      </c>
      <c r="T241" s="1">
        <f t="shared" si="266"/>
        <v>200000</v>
      </c>
      <c r="U241" s="3" t="e">
        <f>C241+#REF!+#REF!</f>
        <v>#REF!</v>
      </c>
    </row>
    <row r="242" spans="1:28" ht="22.9" customHeight="1" x14ac:dyDescent="0.25">
      <c r="A242" s="37" t="s">
        <v>1341</v>
      </c>
      <c r="B242" s="9" t="s">
        <v>606</v>
      </c>
      <c r="C242" s="7">
        <f t="shared" ref="C242:C243" si="267">D242+L242+N242+P242+R242+S242+T242</f>
        <v>5899160</v>
      </c>
      <c r="D242" s="2">
        <f t="shared" ref="D242:D243" si="268">SUM(E242:J242)</f>
        <v>583600</v>
      </c>
      <c r="E242" s="2">
        <f>700*583.6</f>
        <v>408520</v>
      </c>
      <c r="F242" s="2">
        <v>0</v>
      </c>
      <c r="G242" s="2">
        <f>300*583.6</f>
        <v>175080</v>
      </c>
      <c r="H242" s="2">
        <v>0</v>
      </c>
      <c r="I242" s="2">
        <v>0</v>
      </c>
      <c r="J242" s="2">
        <v>0</v>
      </c>
      <c r="K242" s="21">
        <v>0</v>
      </c>
      <c r="L242" s="2">
        <v>0</v>
      </c>
      <c r="M242" s="2">
        <v>567.4</v>
      </c>
      <c r="N242" s="2">
        <f t="shared" si="259"/>
        <v>3744840</v>
      </c>
      <c r="O242" s="2">
        <v>0</v>
      </c>
      <c r="P242" s="2">
        <v>0</v>
      </c>
      <c r="Q242" s="2">
        <v>459.6</v>
      </c>
      <c r="R242" s="2">
        <f t="shared" si="265"/>
        <v>1470720</v>
      </c>
      <c r="S242" s="2">
        <v>0</v>
      </c>
      <c r="T242" s="2">
        <v>100000</v>
      </c>
      <c r="U242" s="6">
        <f t="shared" si="238"/>
        <v>6600</v>
      </c>
      <c r="V242" s="1"/>
      <c r="W242" s="1"/>
      <c r="X242" s="1"/>
      <c r="Y242" s="1"/>
      <c r="Z242" s="1"/>
      <c r="AA242" s="1"/>
      <c r="AB242" s="3"/>
    </row>
    <row r="243" spans="1:28" ht="22.9" customHeight="1" x14ac:dyDescent="0.25">
      <c r="A243" s="37" t="s">
        <v>1342</v>
      </c>
      <c r="B243" s="9" t="s">
        <v>607</v>
      </c>
      <c r="C243" s="7">
        <f t="shared" si="267"/>
        <v>1739990</v>
      </c>
      <c r="D243" s="2">
        <f t="shared" si="268"/>
        <v>675510</v>
      </c>
      <c r="E243" s="2">
        <f>700*293.7</f>
        <v>205590</v>
      </c>
      <c r="F243" s="2">
        <f>1300*293.7</f>
        <v>381810</v>
      </c>
      <c r="G243" s="2">
        <f>300*293.7</f>
        <v>88110</v>
      </c>
      <c r="H243" s="2">
        <v>0</v>
      </c>
      <c r="I243" s="2">
        <v>0</v>
      </c>
      <c r="J243" s="2">
        <v>0</v>
      </c>
      <c r="K243" s="21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301.39999999999998</v>
      </c>
      <c r="R243" s="2">
        <f t="shared" si="265"/>
        <v>964479.99999999988</v>
      </c>
      <c r="S243" s="2">
        <v>0</v>
      </c>
      <c r="T243" s="2">
        <v>100000</v>
      </c>
      <c r="U243" s="6" t="e">
        <f t="shared" si="238"/>
        <v>#DIV/0!</v>
      </c>
      <c r="V243" s="1"/>
      <c r="W243" s="1"/>
      <c r="X243" s="1"/>
      <c r="Y243" s="1"/>
      <c r="Z243" s="1"/>
      <c r="AA243" s="1"/>
      <c r="AB243" s="3"/>
    </row>
    <row r="244" spans="1:28" ht="45" customHeight="1" x14ac:dyDescent="0.25">
      <c r="A244" s="43" t="s">
        <v>616</v>
      </c>
      <c r="B244" s="43"/>
      <c r="C244" s="1">
        <f>SUM(C245:C246)</f>
        <v>9802240</v>
      </c>
      <c r="D244" s="1">
        <f t="shared" ref="D244:T244" si="269">SUM(D245:D246)</f>
        <v>693840</v>
      </c>
      <c r="E244" s="1">
        <f t="shared" si="269"/>
        <v>693840</v>
      </c>
      <c r="F244" s="1">
        <f t="shared" si="269"/>
        <v>0</v>
      </c>
      <c r="G244" s="1">
        <f t="shared" si="269"/>
        <v>0</v>
      </c>
      <c r="H244" s="1">
        <f t="shared" si="269"/>
        <v>0</v>
      </c>
      <c r="I244" s="1">
        <f t="shared" si="269"/>
        <v>0</v>
      </c>
      <c r="J244" s="1">
        <f t="shared" si="269"/>
        <v>0</v>
      </c>
      <c r="K244" s="33">
        <f t="shared" si="269"/>
        <v>0</v>
      </c>
      <c r="L244" s="1">
        <f t="shared" si="269"/>
        <v>0</v>
      </c>
      <c r="M244" s="1">
        <f t="shared" si="269"/>
        <v>878</v>
      </c>
      <c r="N244" s="1">
        <f t="shared" si="269"/>
        <v>5794800</v>
      </c>
      <c r="O244" s="1">
        <f t="shared" si="269"/>
        <v>0</v>
      </c>
      <c r="P244" s="1">
        <f t="shared" si="269"/>
        <v>0</v>
      </c>
      <c r="Q244" s="1">
        <f t="shared" si="269"/>
        <v>973</v>
      </c>
      <c r="R244" s="1">
        <f t="shared" si="269"/>
        <v>3113600</v>
      </c>
      <c r="S244" s="1">
        <f t="shared" si="269"/>
        <v>0</v>
      </c>
      <c r="T244" s="1">
        <f t="shared" si="269"/>
        <v>200000</v>
      </c>
      <c r="U244" s="3" t="e">
        <f>C244+#REF!+#REF!</f>
        <v>#REF!</v>
      </c>
    </row>
    <row r="245" spans="1:28" ht="22.9" customHeight="1" x14ac:dyDescent="0.25">
      <c r="A245" s="37" t="s">
        <v>1343</v>
      </c>
      <c r="B245" s="9" t="s">
        <v>612</v>
      </c>
      <c r="C245" s="7">
        <f t="shared" ref="C245:C246" si="270">D245+L245+N245+P245+R245+S245+T245</f>
        <v>5785310</v>
      </c>
      <c r="D245" s="2">
        <f t="shared" ref="D245:D246" si="271">SUM(E245:J245)</f>
        <v>412509.99999999994</v>
      </c>
      <c r="E245" s="2">
        <f>700*589.3</f>
        <v>412509.99999999994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1">
        <v>0</v>
      </c>
      <c r="L245" s="2">
        <v>0</v>
      </c>
      <c r="M245" s="2">
        <v>524</v>
      </c>
      <c r="N245" s="2">
        <f t="shared" ref="N245:N253" si="272">M245*6600</f>
        <v>3458400</v>
      </c>
      <c r="O245" s="2">
        <v>0</v>
      </c>
      <c r="P245" s="2">
        <v>0</v>
      </c>
      <c r="Q245" s="2">
        <v>567</v>
      </c>
      <c r="R245" s="2">
        <f t="shared" si="265"/>
        <v>1814400</v>
      </c>
      <c r="S245" s="2">
        <v>0</v>
      </c>
      <c r="T245" s="2">
        <v>100000</v>
      </c>
      <c r="U245" s="6">
        <f t="shared" si="238"/>
        <v>6600</v>
      </c>
      <c r="V245" s="1"/>
      <c r="W245" s="1"/>
      <c r="X245" s="1"/>
      <c r="Y245" s="1"/>
      <c r="Z245" s="1"/>
      <c r="AA245" s="1"/>
      <c r="AB245" s="3"/>
    </row>
    <row r="246" spans="1:28" ht="22.9" customHeight="1" x14ac:dyDescent="0.25">
      <c r="A246" s="37" t="s">
        <v>1344</v>
      </c>
      <c r="B246" s="9" t="s">
        <v>613</v>
      </c>
      <c r="C246" s="7">
        <f t="shared" si="270"/>
        <v>4016930</v>
      </c>
      <c r="D246" s="2">
        <f t="shared" si="271"/>
        <v>281330</v>
      </c>
      <c r="E246" s="2">
        <f>700*401.9</f>
        <v>281330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1">
        <v>0</v>
      </c>
      <c r="L246" s="2">
        <v>0</v>
      </c>
      <c r="M246" s="2">
        <v>354</v>
      </c>
      <c r="N246" s="2">
        <f t="shared" si="272"/>
        <v>2336400</v>
      </c>
      <c r="O246" s="2">
        <v>0</v>
      </c>
      <c r="P246" s="2">
        <v>0</v>
      </c>
      <c r="Q246" s="2">
        <v>406</v>
      </c>
      <c r="R246" s="2">
        <f t="shared" si="265"/>
        <v>1299200</v>
      </c>
      <c r="S246" s="2">
        <v>0</v>
      </c>
      <c r="T246" s="2">
        <v>100000</v>
      </c>
      <c r="U246" s="6">
        <f t="shared" si="238"/>
        <v>6600</v>
      </c>
      <c r="V246" s="1"/>
      <c r="W246" s="1"/>
      <c r="X246" s="1"/>
      <c r="Y246" s="1"/>
      <c r="Z246" s="1"/>
      <c r="AA246" s="1"/>
      <c r="AB246" s="3"/>
    </row>
    <row r="247" spans="1:28" ht="45" customHeight="1" x14ac:dyDescent="0.25">
      <c r="A247" s="43" t="s">
        <v>626</v>
      </c>
      <c r="B247" s="43"/>
      <c r="C247" s="1">
        <f>SUM(C248:C249)</f>
        <v>11718200</v>
      </c>
      <c r="D247" s="1">
        <f t="shared" ref="D247:T247" si="273">SUM(D248:D249)</f>
        <v>827400</v>
      </c>
      <c r="E247" s="1">
        <f t="shared" si="273"/>
        <v>827400</v>
      </c>
      <c r="F247" s="1">
        <f t="shared" si="273"/>
        <v>0</v>
      </c>
      <c r="G247" s="1">
        <f t="shared" si="273"/>
        <v>0</v>
      </c>
      <c r="H247" s="1">
        <f t="shared" si="273"/>
        <v>0</v>
      </c>
      <c r="I247" s="1">
        <f t="shared" si="273"/>
        <v>0</v>
      </c>
      <c r="J247" s="1">
        <f t="shared" si="273"/>
        <v>0</v>
      </c>
      <c r="K247" s="33">
        <f t="shared" si="273"/>
        <v>0</v>
      </c>
      <c r="L247" s="1">
        <f t="shared" si="273"/>
        <v>0</v>
      </c>
      <c r="M247" s="1">
        <f t="shared" si="273"/>
        <v>1070</v>
      </c>
      <c r="N247" s="1">
        <f t="shared" si="273"/>
        <v>7062000</v>
      </c>
      <c r="O247" s="1">
        <f t="shared" si="273"/>
        <v>0</v>
      </c>
      <c r="P247" s="1">
        <f t="shared" si="273"/>
        <v>0</v>
      </c>
      <c r="Q247" s="1">
        <f t="shared" si="273"/>
        <v>1134</v>
      </c>
      <c r="R247" s="1">
        <f t="shared" si="273"/>
        <v>3628800</v>
      </c>
      <c r="S247" s="1">
        <f t="shared" si="273"/>
        <v>0</v>
      </c>
      <c r="T247" s="1">
        <f t="shared" si="273"/>
        <v>200000</v>
      </c>
      <c r="U247" s="3" t="e">
        <f>C247+#REF!+#REF!</f>
        <v>#REF!</v>
      </c>
    </row>
    <row r="248" spans="1:28" ht="22.9" customHeight="1" x14ac:dyDescent="0.25">
      <c r="A248" s="37" t="s">
        <v>1345</v>
      </c>
      <c r="B248" s="9" t="s">
        <v>618</v>
      </c>
      <c r="C248" s="7">
        <f t="shared" ref="C248:C249" si="274">D248+L248+N248+P248+R248+S248+T248</f>
        <v>4853800</v>
      </c>
      <c r="D248" s="2">
        <f t="shared" ref="D248:D249" si="275">SUM(E248:J248)</f>
        <v>365400</v>
      </c>
      <c r="E248" s="2">
        <f>700*522</f>
        <v>365400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1">
        <v>0</v>
      </c>
      <c r="L248" s="2">
        <v>0</v>
      </c>
      <c r="M248" s="2">
        <v>390</v>
      </c>
      <c r="N248" s="2">
        <f t="shared" si="272"/>
        <v>2574000</v>
      </c>
      <c r="O248" s="2">
        <v>0</v>
      </c>
      <c r="P248" s="2">
        <v>0</v>
      </c>
      <c r="Q248" s="2">
        <v>567</v>
      </c>
      <c r="R248" s="2">
        <f t="shared" si="265"/>
        <v>1814400</v>
      </c>
      <c r="S248" s="2">
        <v>0</v>
      </c>
      <c r="T248" s="2">
        <v>100000</v>
      </c>
      <c r="U248" s="6">
        <f t="shared" si="238"/>
        <v>6600</v>
      </c>
      <c r="V248" s="1"/>
      <c r="W248" s="1"/>
      <c r="X248" s="1"/>
      <c r="Y248" s="1"/>
      <c r="Z248" s="1"/>
      <c r="AA248" s="1"/>
      <c r="AB248" s="3"/>
    </row>
    <row r="249" spans="1:28" ht="22.9" customHeight="1" x14ac:dyDescent="0.25">
      <c r="A249" s="37" t="s">
        <v>1346</v>
      </c>
      <c r="B249" s="9" t="s">
        <v>619</v>
      </c>
      <c r="C249" s="7">
        <f t="shared" si="274"/>
        <v>6864400</v>
      </c>
      <c r="D249" s="2">
        <f t="shared" si="275"/>
        <v>462000</v>
      </c>
      <c r="E249" s="2">
        <f>700*660</f>
        <v>462000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1">
        <v>0</v>
      </c>
      <c r="L249" s="2">
        <v>0</v>
      </c>
      <c r="M249" s="2">
        <v>680</v>
      </c>
      <c r="N249" s="2">
        <f t="shared" si="272"/>
        <v>4488000</v>
      </c>
      <c r="O249" s="2">
        <v>0</v>
      </c>
      <c r="P249" s="2">
        <v>0</v>
      </c>
      <c r="Q249" s="2">
        <v>567</v>
      </c>
      <c r="R249" s="2">
        <f t="shared" si="265"/>
        <v>1814400</v>
      </c>
      <c r="S249" s="2">
        <v>0</v>
      </c>
      <c r="T249" s="2">
        <v>100000</v>
      </c>
      <c r="U249" s="6">
        <f t="shared" si="238"/>
        <v>6600</v>
      </c>
      <c r="V249" s="1"/>
      <c r="W249" s="1"/>
      <c r="X249" s="1"/>
      <c r="Y249" s="1"/>
      <c r="Z249" s="1"/>
      <c r="AA249" s="1"/>
      <c r="AB249" s="3"/>
    </row>
    <row r="250" spans="1:28" ht="45" customHeight="1" x14ac:dyDescent="0.25">
      <c r="A250" s="43" t="s">
        <v>2195</v>
      </c>
      <c r="B250" s="43"/>
      <c r="C250" s="1">
        <f>SUM(C251:C362)</f>
        <v>610438355.17000008</v>
      </c>
      <c r="D250" s="1">
        <f t="shared" ref="D250:T250" si="276">SUM(D251:D362)</f>
        <v>191589273.5</v>
      </c>
      <c r="E250" s="1">
        <f t="shared" si="276"/>
        <v>43539797</v>
      </c>
      <c r="F250" s="1">
        <f t="shared" si="276"/>
        <v>85853183</v>
      </c>
      <c r="G250" s="1">
        <f t="shared" si="276"/>
        <v>18811756.5</v>
      </c>
      <c r="H250" s="1">
        <f t="shared" si="276"/>
        <v>24791164</v>
      </c>
      <c r="I250" s="1">
        <f t="shared" si="276"/>
        <v>18593373</v>
      </c>
      <c r="J250" s="1">
        <f t="shared" si="276"/>
        <v>0</v>
      </c>
      <c r="K250" s="33">
        <f t="shared" si="276"/>
        <v>0</v>
      </c>
      <c r="L250" s="1">
        <f t="shared" si="276"/>
        <v>0</v>
      </c>
      <c r="M250" s="1">
        <f t="shared" si="276"/>
        <v>42118.340000000004</v>
      </c>
      <c r="N250" s="1">
        <f t="shared" si="276"/>
        <v>275334824</v>
      </c>
      <c r="O250" s="1">
        <f t="shared" si="276"/>
        <v>2829.3999999999996</v>
      </c>
      <c r="P250" s="1">
        <f t="shared" si="276"/>
        <v>3395280</v>
      </c>
      <c r="Q250" s="1">
        <f t="shared" si="276"/>
        <v>42750.340000000004</v>
      </c>
      <c r="R250" s="1">
        <f t="shared" si="276"/>
        <v>136801088</v>
      </c>
      <c r="S250" s="1">
        <f t="shared" si="276"/>
        <v>150000</v>
      </c>
      <c r="T250" s="1">
        <f t="shared" si="276"/>
        <v>5650000</v>
      </c>
      <c r="U250" s="3" t="e">
        <f>C250+#REF!+#REF!</f>
        <v>#REF!</v>
      </c>
    </row>
    <row r="251" spans="1:28" ht="22.9" customHeight="1" x14ac:dyDescent="0.25">
      <c r="A251" s="37" t="s">
        <v>1347</v>
      </c>
      <c r="B251" s="9" t="s">
        <v>629</v>
      </c>
      <c r="C251" s="7">
        <f t="shared" ref="C251:C272" si="277">D251+L251+N251+P251+R251+S251+T251</f>
        <v>6454800</v>
      </c>
      <c r="D251" s="2">
        <f t="shared" ref="D251:D272" si="278">SUM(E251:J251)</f>
        <v>0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1">
        <v>0</v>
      </c>
      <c r="L251" s="2">
        <v>0</v>
      </c>
      <c r="M251" s="2">
        <v>978</v>
      </c>
      <c r="N251" s="2">
        <f t="shared" si="272"/>
        <v>6454800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6">
        <f t="shared" si="238"/>
        <v>6600</v>
      </c>
      <c r="V251" s="2"/>
      <c r="W251" s="1"/>
      <c r="X251" s="1"/>
      <c r="Y251" s="1"/>
      <c r="Z251" s="1"/>
      <c r="AA251" s="1"/>
      <c r="AB251" s="3"/>
    </row>
    <row r="252" spans="1:28" ht="22.9" customHeight="1" x14ac:dyDescent="0.25">
      <c r="A252" s="37" t="s">
        <v>1348</v>
      </c>
      <c r="B252" s="9" t="s">
        <v>630</v>
      </c>
      <c r="C252" s="7">
        <f t="shared" si="277"/>
        <v>3214200</v>
      </c>
      <c r="D252" s="2">
        <f t="shared" si="278"/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1">
        <v>0</v>
      </c>
      <c r="L252" s="2">
        <v>0</v>
      </c>
      <c r="M252" s="2">
        <v>487</v>
      </c>
      <c r="N252" s="2">
        <f t="shared" si="272"/>
        <v>3214200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6">
        <f t="shared" si="238"/>
        <v>6600</v>
      </c>
      <c r="V252" s="2"/>
      <c r="W252" s="1"/>
      <c r="X252" s="1"/>
      <c r="Y252" s="1"/>
      <c r="Z252" s="1"/>
      <c r="AA252" s="1"/>
      <c r="AB252" s="3"/>
    </row>
    <row r="253" spans="1:28" ht="22.9" customHeight="1" x14ac:dyDescent="0.25">
      <c r="A253" s="37" t="s">
        <v>1349</v>
      </c>
      <c r="B253" s="9" t="s">
        <v>631</v>
      </c>
      <c r="C253" s="7">
        <f t="shared" ref="C253:C254" si="279">D253+L253+N253+P253+R253+S253+T253</f>
        <v>11819960</v>
      </c>
      <c r="D253" s="2">
        <f t="shared" ref="D253:D254" si="280">SUM(E253:J253)</f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1">
        <v>0</v>
      </c>
      <c r="L253" s="2">
        <v>0</v>
      </c>
      <c r="M253" s="2">
        <v>1087</v>
      </c>
      <c r="N253" s="2">
        <f t="shared" si="272"/>
        <v>7174200</v>
      </c>
      <c r="O253" s="2">
        <v>0</v>
      </c>
      <c r="P253" s="2">
        <v>0</v>
      </c>
      <c r="Q253" s="2">
        <v>1451.8</v>
      </c>
      <c r="R253" s="2">
        <f t="shared" ref="R253:R255" si="281">Q253*3200</f>
        <v>4645760</v>
      </c>
      <c r="S253" s="2">
        <v>0</v>
      </c>
      <c r="T253" s="2">
        <v>0</v>
      </c>
      <c r="U253" s="6">
        <f t="shared" si="238"/>
        <v>6600</v>
      </c>
      <c r="V253" s="2">
        <f>Q253*U253</f>
        <v>9581880</v>
      </c>
      <c r="W253" s="1"/>
      <c r="X253" s="1"/>
      <c r="Y253" s="1"/>
      <c r="Z253" s="1"/>
      <c r="AA253" s="1"/>
      <c r="AB253" s="3"/>
    </row>
    <row r="254" spans="1:28" ht="22.9" customHeight="1" x14ac:dyDescent="0.25">
      <c r="A254" s="37" t="s">
        <v>1350</v>
      </c>
      <c r="B254" s="20" t="s">
        <v>632</v>
      </c>
      <c r="C254" s="7">
        <f t="shared" si="279"/>
        <v>3098300</v>
      </c>
      <c r="D254" s="2">
        <f t="shared" si="280"/>
        <v>1374300</v>
      </c>
      <c r="E254" s="2">
        <f>700*458.1</f>
        <v>320670</v>
      </c>
      <c r="F254" s="2">
        <f>1300*458.1</f>
        <v>595530</v>
      </c>
      <c r="G254" s="2">
        <f>300*458.1</f>
        <v>137430</v>
      </c>
      <c r="H254" s="2">
        <f>400*458.1</f>
        <v>183240</v>
      </c>
      <c r="I254" s="2">
        <f>300*458.1</f>
        <v>137430</v>
      </c>
      <c r="J254" s="2">
        <v>0</v>
      </c>
      <c r="K254" s="21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507.5</v>
      </c>
      <c r="R254" s="2">
        <f t="shared" si="281"/>
        <v>1624000</v>
      </c>
      <c r="S254" s="2">
        <v>0</v>
      </c>
      <c r="T254" s="2">
        <v>100000</v>
      </c>
      <c r="U254" s="6" t="e">
        <f t="shared" si="238"/>
        <v>#DIV/0!</v>
      </c>
      <c r="V254" s="2" t="e">
        <f>Q254*U254</f>
        <v>#DIV/0!</v>
      </c>
      <c r="W254" s="1"/>
      <c r="X254" s="1"/>
      <c r="Y254" s="1"/>
      <c r="Z254" s="1"/>
      <c r="AA254" s="1"/>
      <c r="AB254" s="3"/>
    </row>
    <row r="255" spans="1:28" ht="22.9" customHeight="1" x14ac:dyDescent="0.25">
      <c r="A255" s="37" t="s">
        <v>1351</v>
      </c>
      <c r="B255" s="20" t="s">
        <v>633</v>
      </c>
      <c r="C255" s="7">
        <f t="shared" ref="C255" si="282">D255+L255+N255+P255+R255+S255+T255</f>
        <v>3512380</v>
      </c>
      <c r="D255" s="2">
        <f t="shared" ref="D255" si="283">SUM(E255:J255)</f>
        <v>1585500</v>
      </c>
      <c r="E255" s="2">
        <f>700*528.5</f>
        <v>369950</v>
      </c>
      <c r="F255" s="2">
        <f>1300*528.5</f>
        <v>687050</v>
      </c>
      <c r="G255" s="2">
        <f>300*528.5</f>
        <v>158550</v>
      </c>
      <c r="H255" s="2">
        <f>400*528.5</f>
        <v>211400</v>
      </c>
      <c r="I255" s="2">
        <f>300*528.5</f>
        <v>158550</v>
      </c>
      <c r="J255" s="2">
        <v>0</v>
      </c>
      <c r="K255" s="21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570.9</v>
      </c>
      <c r="R255" s="2">
        <f t="shared" si="281"/>
        <v>1826880</v>
      </c>
      <c r="S255" s="2">
        <v>0</v>
      </c>
      <c r="T255" s="2">
        <v>100000</v>
      </c>
      <c r="U255" s="6" t="e">
        <f t="shared" si="238"/>
        <v>#DIV/0!</v>
      </c>
      <c r="V255" s="2" t="e">
        <f>Q255*U255</f>
        <v>#DIV/0!</v>
      </c>
      <c r="W255" s="1"/>
      <c r="X255" s="1"/>
      <c r="Y255" s="1"/>
      <c r="Z255" s="1"/>
      <c r="AA255" s="1"/>
      <c r="AB255" s="3"/>
    </row>
    <row r="256" spans="1:28" ht="22.9" customHeight="1" x14ac:dyDescent="0.25">
      <c r="A256" s="37" t="s">
        <v>1352</v>
      </c>
      <c r="B256" s="20" t="s">
        <v>634</v>
      </c>
      <c r="C256" s="7">
        <f t="shared" ref="C256" si="284">D256+L256+N256+P256+R256+S256+T256</f>
        <v>1972300</v>
      </c>
      <c r="D256" s="2">
        <f t="shared" ref="D256" si="285">SUM(E256:J256)</f>
        <v>1872300</v>
      </c>
      <c r="E256" s="2">
        <f>700*624.1</f>
        <v>436870</v>
      </c>
      <c r="F256" s="2">
        <f>1300*624.1</f>
        <v>811330</v>
      </c>
      <c r="G256" s="2">
        <f>300*624.1</f>
        <v>187230</v>
      </c>
      <c r="H256" s="2">
        <f>400*624.1</f>
        <v>249640</v>
      </c>
      <c r="I256" s="2">
        <f>300*624.1</f>
        <v>187230</v>
      </c>
      <c r="J256" s="2">
        <v>0</v>
      </c>
      <c r="K256" s="21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100000</v>
      </c>
      <c r="U256" s="6" t="e">
        <f t="shared" si="238"/>
        <v>#DIV/0!</v>
      </c>
      <c r="V256" s="2"/>
      <c r="W256" s="1"/>
      <c r="X256" s="1"/>
      <c r="Y256" s="1"/>
      <c r="Z256" s="1"/>
      <c r="AA256" s="1"/>
      <c r="AB256" s="3"/>
    </row>
    <row r="257" spans="1:28" ht="22.9" customHeight="1" x14ac:dyDescent="0.25">
      <c r="A257" s="37" t="s">
        <v>1353</v>
      </c>
      <c r="B257" s="20" t="s">
        <v>635</v>
      </c>
      <c r="C257" s="7">
        <f t="shared" ref="C257" si="286">D257+L257+N257+P257+R257+S257+T257</f>
        <v>2849040</v>
      </c>
      <c r="D257" s="2">
        <f t="shared" ref="D257" si="287">SUM(E257:J257)</f>
        <v>1362160</v>
      </c>
      <c r="E257" s="2">
        <f>700*624.1</f>
        <v>436870</v>
      </c>
      <c r="F257" s="2">
        <f>1300*402.3</f>
        <v>522990</v>
      </c>
      <c r="G257" s="2">
        <f>300*402.3</f>
        <v>120690</v>
      </c>
      <c r="H257" s="2">
        <f>400*402.3</f>
        <v>160920</v>
      </c>
      <c r="I257" s="2">
        <f>300*402.3</f>
        <v>120690</v>
      </c>
      <c r="J257" s="2">
        <v>0</v>
      </c>
      <c r="K257" s="21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433.4</v>
      </c>
      <c r="R257" s="2">
        <f t="shared" ref="R257" si="288">Q257*3200</f>
        <v>1386880</v>
      </c>
      <c r="S257" s="2">
        <v>0</v>
      </c>
      <c r="T257" s="2">
        <v>100000</v>
      </c>
      <c r="U257" s="6" t="e">
        <f t="shared" si="238"/>
        <v>#DIV/0!</v>
      </c>
      <c r="V257" s="2" t="e">
        <f>Q257*U257</f>
        <v>#DIV/0!</v>
      </c>
      <c r="W257" s="1"/>
      <c r="X257" s="1"/>
      <c r="Y257" s="1"/>
      <c r="Z257" s="1"/>
      <c r="AA257" s="1"/>
      <c r="AB257" s="3"/>
    </row>
    <row r="258" spans="1:28" ht="22.9" customHeight="1" x14ac:dyDescent="0.25">
      <c r="A258" s="37" t="s">
        <v>1354</v>
      </c>
      <c r="B258" s="20" t="s">
        <v>636</v>
      </c>
      <c r="C258" s="7">
        <f t="shared" ref="C258:C259" si="289">D258+L258+N258+P258+R258+S258+T258</f>
        <v>2177160</v>
      </c>
      <c r="D258" s="2">
        <f t="shared" ref="D258:D259" si="290">SUM(E258:J258)</f>
        <v>844199.99999999988</v>
      </c>
      <c r="E258" s="2">
        <f>700*281.4</f>
        <v>196979.99999999997</v>
      </c>
      <c r="F258" s="2">
        <f>1300*281.4</f>
        <v>365819.99999999994</v>
      </c>
      <c r="G258" s="2">
        <f>300*281.4</f>
        <v>84420</v>
      </c>
      <c r="H258" s="2">
        <f>400*281.4</f>
        <v>112559.99999999999</v>
      </c>
      <c r="I258" s="2">
        <f>300*281.4</f>
        <v>84420</v>
      </c>
      <c r="J258" s="2">
        <v>0</v>
      </c>
      <c r="K258" s="21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385.3</v>
      </c>
      <c r="R258" s="2">
        <f t="shared" ref="R258" si="291">Q258*3200</f>
        <v>1232960</v>
      </c>
      <c r="S258" s="2">
        <v>0</v>
      </c>
      <c r="T258" s="2">
        <v>100000</v>
      </c>
      <c r="U258" s="6" t="e">
        <f t="shared" si="238"/>
        <v>#DIV/0!</v>
      </c>
      <c r="V258" s="2" t="e">
        <f>Q258*U258</f>
        <v>#DIV/0!</v>
      </c>
      <c r="W258" s="1"/>
      <c r="X258" s="1"/>
      <c r="Y258" s="1"/>
      <c r="Z258" s="1"/>
      <c r="AA258" s="1"/>
      <c r="AB258" s="3"/>
    </row>
    <row r="259" spans="1:28" ht="22.9" customHeight="1" x14ac:dyDescent="0.25">
      <c r="A259" s="37" t="s">
        <v>1355</v>
      </c>
      <c r="B259" s="20" t="s">
        <v>637</v>
      </c>
      <c r="C259" s="7">
        <f t="shared" si="289"/>
        <v>1461100</v>
      </c>
      <c r="D259" s="2">
        <f t="shared" si="290"/>
        <v>1361100</v>
      </c>
      <c r="E259" s="2">
        <f>700*453.7</f>
        <v>317590</v>
      </c>
      <c r="F259" s="2">
        <f>1300*453.7</f>
        <v>589810</v>
      </c>
      <c r="G259" s="2">
        <f>300*453.7</f>
        <v>136110</v>
      </c>
      <c r="H259" s="2">
        <f>400*453.7</f>
        <v>181480</v>
      </c>
      <c r="I259" s="2">
        <f>300*453.7</f>
        <v>136110</v>
      </c>
      <c r="J259" s="2">
        <v>0</v>
      </c>
      <c r="K259" s="21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100000</v>
      </c>
      <c r="U259" s="6" t="e">
        <f t="shared" si="238"/>
        <v>#DIV/0!</v>
      </c>
      <c r="V259" s="2"/>
      <c r="W259" s="1"/>
      <c r="X259" s="1"/>
      <c r="Y259" s="1"/>
      <c r="Z259" s="1"/>
      <c r="AA259" s="1"/>
      <c r="AB259" s="3"/>
    </row>
    <row r="260" spans="1:28" ht="22.9" customHeight="1" x14ac:dyDescent="0.25">
      <c r="A260" s="37" t="s">
        <v>1356</v>
      </c>
      <c r="B260" s="20" t="s">
        <v>638</v>
      </c>
      <c r="C260" s="7">
        <f t="shared" ref="C260" si="292">D260+L260+N260+P260+R260+S260+T260</f>
        <v>1482400</v>
      </c>
      <c r="D260" s="2">
        <f t="shared" ref="D260:D262" si="293">SUM(E260:J260)</f>
        <v>1382400</v>
      </c>
      <c r="E260" s="2">
        <f>700*460.8</f>
        <v>322560</v>
      </c>
      <c r="F260" s="2">
        <f>1300*460.8</f>
        <v>599040</v>
      </c>
      <c r="G260" s="2">
        <f>300*460.8</f>
        <v>138240</v>
      </c>
      <c r="H260" s="2">
        <f>400*460.8</f>
        <v>184320</v>
      </c>
      <c r="I260" s="2">
        <f>300*460.8</f>
        <v>138240</v>
      </c>
      <c r="J260" s="2">
        <v>0</v>
      </c>
      <c r="K260" s="21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100000</v>
      </c>
      <c r="U260" s="6" t="e">
        <f t="shared" si="238"/>
        <v>#DIV/0!</v>
      </c>
      <c r="V260" s="2"/>
      <c r="W260" s="1"/>
      <c r="X260" s="1"/>
      <c r="Y260" s="1"/>
      <c r="Z260" s="1"/>
      <c r="AA260" s="1"/>
      <c r="AB260" s="3"/>
    </row>
    <row r="261" spans="1:28" ht="22.9" customHeight="1" x14ac:dyDescent="0.25">
      <c r="A261" s="37" t="s">
        <v>1357</v>
      </c>
      <c r="B261" s="9" t="s">
        <v>639</v>
      </c>
      <c r="C261" s="7">
        <f>D261+L261+M261+N261+R261+S261+T261</f>
        <v>2579010.7000000002</v>
      </c>
      <c r="D261" s="2">
        <f t="shared" si="293"/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1">
        <v>0</v>
      </c>
      <c r="L261" s="2">
        <v>0</v>
      </c>
      <c r="M261" s="2">
        <v>390.7</v>
      </c>
      <c r="N261" s="2">
        <f t="shared" ref="N261" si="294">M261*6600</f>
        <v>2578620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6" t="e">
        <f>M261/#REF!</f>
        <v>#REF!</v>
      </c>
      <c r="V261" s="2"/>
      <c r="W261" s="1"/>
      <c r="X261" s="1"/>
      <c r="Y261" s="1"/>
      <c r="Z261" s="1"/>
      <c r="AA261" s="1"/>
      <c r="AB261" s="3"/>
    </row>
    <row r="262" spans="1:28" ht="22.9" customHeight="1" x14ac:dyDescent="0.25">
      <c r="A262" s="37" t="s">
        <v>1358</v>
      </c>
      <c r="B262" s="20" t="s">
        <v>640</v>
      </c>
      <c r="C262" s="7">
        <f>D262+L262+N262+P262+R262+S262+Q262</f>
        <v>1781446.5</v>
      </c>
      <c r="D262" s="2">
        <f t="shared" si="293"/>
        <v>672300</v>
      </c>
      <c r="E262" s="2">
        <f>700*224.1</f>
        <v>156870</v>
      </c>
      <c r="F262" s="2">
        <f>1300*224.1</f>
        <v>291330</v>
      </c>
      <c r="G262" s="2">
        <f>300*224.1</f>
        <v>67230</v>
      </c>
      <c r="H262" s="2">
        <f>400*224.1</f>
        <v>89640</v>
      </c>
      <c r="I262" s="2">
        <f>300*224.1</f>
        <v>67230</v>
      </c>
      <c r="J262" s="2">
        <v>0</v>
      </c>
      <c r="K262" s="21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346.5</v>
      </c>
      <c r="R262" s="2">
        <f t="shared" ref="R262" si="295">Q262*3200</f>
        <v>1108800</v>
      </c>
      <c r="S262" s="2">
        <v>0</v>
      </c>
      <c r="T262" s="2">
        <v>100000</v>
      </c>
      <c r="U262" s="6" t="e">
        <f t="shared" si="238"/>
        <v>#DIV/0!</v>
      </c>
      <c r="V262" s="2" t="e">
        <f>Q262*U262</f>
        <v>#DIV/0!</v>
      </c>
      <c r="W262" s="1"/>
      <c r="X262" s="1"/>
      <c r="Y262" s="1"/>
      <c r="Z262" s="1"/>
      <c r="AA262" s="1"/>
      <c r="AB262" s="3"/>
    </row>
    <row r="263" spans="1:28" ht="22.9" customHeight="1" x14ac:dyDescent="0.25">
      <c r="A263" s="37" t="s">
        <v>1359</v>
      </c>
      <c r="B263" s="9" t="s">
        <v>641</v>
      </c>
      <c r="C263" s="7">
        <f>D263+L263+N263+P263+R263+S263+Q263</f>
        <v>2461170</v>
      </c>
      <c r="D263" s="2">
        <f t="shared" ref="D263" si="296">SUM(E263:J263)</f>
        <v>1180770</v>
      </c>
      <c r="E263" s="2">
        <f>700*393.59</f>
        <v>275513</v>
      </c>
      <c r="F263" s="2">
        <f>1300*393.59</f>
        <v>511666.99999999994</v>
      </c>
      <c r="G263" s="2">
        <f>300*393.59</f>
        <v>118076.99999999999</v>
      </c>
      <c r="H263" s="2">
        <f>400*393.59</f>
        <v>157436</v>
      </c>
      <c r="I263" s="2">
        <f>300*393.59</f>
        <v>118076.99999999999</v>
      </c>
      <c r="J263" s="2">
        <v>0</v>
      </c>
      <c r="K263" s="21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400</v>
      </c>
      <c r="R263" s="2">
        <f t="shared" ref="R263" si="297">Q263*3200</f>
        <v>1280000</v>
      </c>
      <c r="S263" s="2">
        <v>0</v>
      </c>
      <c r="T263" s="2">
        <v>100000</v>
      </c>
      <c r="U263" s="6" t="e">
        <f t="shared" si="238"/>
        <v>#DIV/0!</v>
      </c>
      <c r="V263" s="2" t="e">
        <f>Q263*U263</f>
        <v>#DIV/0!</v>
      </c>
      <c r="W263" s="1"/>
      <c r="X263" s="1"/>
      <c r="Y263" s="1"/>
      <c r="Z263" s="1"/>
      <c r="AA263" s="1"/>
      <c r="AB263" s="3"/>
    </row>
    <row r="264" spans="1:28" ht="22.9" customHeight="1" x14ac:dyDescent="0.25">
      <c r="A264" s="37" t="s">
        <v>1360</v>
      </c>
      <c r="B264" s="9" t="s">
        <v>642</v>
      </c>
      <c r="C264" s="7">
        <f>D264+L264+N264+P264+R264+S264+Q264</f>
        <v>4754074.2</v>
      </c>
      <c r="D264" s="2">
        <f t="shared" ref="D264:D265" si="298">SUM(E264:J264)</f>
        <v>2403900</v>
      </c>
      <c r="E264" s="2">
        <f>700*801.3</f>
        <v>560910</v>
      </c>
      <c r="F264" s="2">
        <f>1300*801.3</f>
        <v>1041689.9999999999</v>
      </c>
      <c r="G264" s="2">
        <f>300*801.3</f>
        <v>240390</v>
      </c>
      <c r="H264" s="2">
        <f>400*801.3</f>
        <v>320520</v>
      </c>
      <c r="I264" s="2">
        <f>300*801.3</f>
        <v>240390</v>
      </c>
      <c r="J264" s="2">
        <v>0</v>
      </c>
      <c r="K264" s="21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734.2</v>
      </c>
      <c r="R264" s="2">
        <f t="shared" ref="R264" si="299">Q264*3200</f>
        <v>2349440</v>
      </c>
      <c r="S264" s="2">
        <v>0</v>
      </c>
      <c r="T264" s="2">
        <v>100000</v>
      </c>
      <c r="U264" s="6" t="e">
        <f t="shared" si="238"/>
        <v>#DIV/0!</v>
      </c>
      <c r="V264" s="2" t="e">
        <f>Q264*U264</f>
        <v>#DIV/0!</v>
      </c>
      <c r="W264" s="1"/>
      <c r="X264" s="1"/>
      <c r="Y264" s="1"/>
      <c r="Z264" s="1"/>
      <c r="AA264" s="1"/>
      <c r="AB264" s="3"/>
    </row>
    <row r="265" spans="1:28" ht="22.9" customHeight="1" x14ac:dyDescent="0.25">
      <c r="A265" s="37" t="s">
        <v>1361</v>
      </c>
      <c r="B265" s="9" t="s">
        <v>643</v>
      </c>
      <c r="C265" s="7">
        <f t="shared" ref="C265" si="300">D265+L265+N265+P265+R265+S265+T265</f>
        <v>2574000</v>
      </c>
      <c r="D265" s="2">
        <f t="shared" si="298"/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1">
        <v>0</v>
      </c>
      <c r="L265" s="2">
        <v>0</v>
      </c>
      <c r="M265" s="2">
        <v>390</v>
      </c>
      <c r="N265" s="2">
        <f t="shared" ref="N265" si="301">M265*6600</f>
        <v>2574000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6">
        <f t="shared" si="238"/>
        <v>6600</v>
      </c>
      <c r="V265" s="2"/>
      <c r="W265" s="1"/>
      <c r="X265" s="1"/>
      <c r="Y265" s="1"/>
      <c r="Z265" s="1"/>
      <c r="AA265" s="1"/>
      <c r="AB265" s="3"/>
    </row>
    <row r="266" spans="1:28" ht="22.9" customHeight="1" x14ac:dyDescent="0.25">
      <c r="A266" s="37" t="s">
        <v>1362</v>
      </c>
      <c r="B266" s="9" t="s">
        <v>644</v>
      </c>
      <c r="C266" s="7">
        <f>D266+L266+N266+P266+R266+S266+Q266</f>
        <v>2905967.7</v>
      </c>
      <c r="D266" s="2">
        <f t="shared" ref="D266:D267" si="302">SUM(E266:J266)</f>
        <v>1120769.9999999998</v>
      </c>
      <c r="E266" s="2">
        <f>700*373.59</f>
        <v>261512.99999999997</v>
      </c>
      <c r="F266" s="2">
        <f>1300*373.59</f>
        <v>485666.99999999994</v>
      </c>
      <c r="G266" s="2">
        <f>300*373.59</f>
        <v>112076.99999999999</v>
      </c>
      <c r="H266" s="2">
        <f>400*373.59</f>
        <v>149436</v>
      </c>
      <c r="I266" s="2">
        <f>300*373.59</f>
        <v>112076.99999999999</v>
      </c>
      <c r="J266" s="2">
        <v>0</v>
      </c>
      <c r="K266" s="21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557.70000000000005</v>
      </c>
      <c r="R266" s="2">
        <f t="shared" ref="R266" si="303">Q266*3200</f>
        <v>1784640.0000000002</v>
      </c>
      <c r="S266" s="2">
        <v>0</v>
      </c>
      <c r="T266" s="2">
        <v>100000</v>
      </c>
      <c r="U266" s="6" t="e">
        <f t="shared" si="238"/>
        <v>#DIV/0!</v>
      </c>
      <c r="V266" s="2" t="e">
        <f>Q266*U266</f>
        <v>#DIV/0!</v>
      </c>
      <c r="W266" s="1"/>
      <c r="X266" s="1"/>
      <c r="Y266" s="1"/>
      <c r="Z266" s="1"/>
      <c r="AA266" s="1"/>
      <c r="AB266" s="3"/>
    </row>
    <row r="267" spans="1:28" ht="22.9" customHeight="1" x14ac:dyDescent="0.25">
      <c r="A267" s="37" t="s">
        <v>1363</v>
      </c>
      <c r="B267" s="9" t="s">
        <v>645</v>
      </c>
      <c r="C267" s="7">
        <f t="shared" ref="C267" si="304">D267+L267+N267+P267+R267+S267+T267</f>
        <v>4358640</v>
      </c>
      <c r="D267" s="2">
        <f t="shared" si="302"/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1">
        <v>0</v>
      </c>
      <c r="L267" s="2">
        <v>0</v>
      </c>
      <c r="M267" s="2">
        <v>390</v>
      </c>
      <c r="N267" s="2">
        <f t="shared" ref="N267:N272" si="305">M267*6600</f>
        <v>2574000</v>
      </c>
      <c r="O267" s="2">
        <v>0</v>
      </c>
      <c r="P267" s="2">
        <v>0</v>
      </c>
      <c r="Q267" s="2">
        <v>557.70000000000005</v>
      </c>
      <c r="R267" s="2">
        <f t="shared" ref="R267" si="306">Q267*3200</f>
        <v>1784640.0000000002</v>
      </c>
      <c r="S267" s="2">
        <v>0</v>
      </c>
      <c r="T267" s="2">
        <v>0</v>
      </c>
      <c r="U267" s="6">
        <f t="shared" si="238"/>
        <v>6600</v>
      </c>
      <c r="V267" s="2"/>
      <c r="W267" s="1"/>
      <c r="X267" s="1"/>
      <c r="Y267" s="1"/>
      <c r="Z267" s="1"/>
      <c r="AA267" s="1"/>
      <c r="AB267" s="3"/>
    </row>
    <row r="268" spans="1:28" ht="22.9" customHeight="1" x14ac:dyDescent="0.25">
      <c r="A268" s="37" t="s">
        <v>1364</v>
      </c>
      <c r="B268" s="9" t="s">
        <v>646</v>
      </c>
      <c r="C268" s="7">
        <f t="shared" ref="C268" si="307">D268+L268+N268+P268+R268+S268+T268</f>
        <v>2348928</v>
      </c>
      <c r="D268" s="2">
        <f t="shared" ref="D268" si="308">SUM(E268:J268)</f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1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734.04</v>
      </c>
      <c r="R268" s="2">
        <f t="shared" ref="R268" si="309">Q268*3200</f>
        <v>2348928</v>
      </c>
      <c r="S268" s="2">
        <v>0</v>
      </c>
      <c r="T268" s="2">
        <v>0</v>
      </c>
      <c r="U268" s="6" t="e">
        <f t="shared" si="238"/>
        <v>#DIV/0!</v>
      </c>
      <c r="V268" s="2" t="e">
        <f>T268*U268</f>
        <v>#DIV/0!</v>
      </c>
      <c r="W268" s="1"/>
      <c r="X268" s="1"/>
      <c r="Y268" s="1"/>
      <c r="Z268" s="1"/>
      <c r="AA268" s="1"/>
      <c r="AB268" s="3"/>
    </row>
    <row r="269" spans="1:28" ht="22.9" customHeight="1" x14ac:dyDescent="0.25">
      <c r="A269" s="37" t="s">
        <v>1365</v>
      </c>
      <c r="B269" s="9" t="s">
        <v>647</v>
      </c>
      <c r="C269" s="7">
        <f t="shared" ref="C269" si="310">D269+L269+N269+P269+R269+S269+T269</f>
        <v>1416096</v>
      </c>
      <c r="D269" s="2">
        <f t="shared" ref="D269" si="311">SUM(E269:J269)</f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1">
        <v>0</v>
      </c>
      <c r="L269" s="2">
        <v>0</v>
      </c>
      <c r="M269" s="2">
        <v>214.56</v>
      </c>
      <c r="N269" s="2">
        <f t="shared" si="305"/>
        <v>1416096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6" t="e">
        <f>M269/#REF!</f>
        <v>#REF!</v>
      </c>
      <c r="V269" s="2"/>
      <c r="W269" s="1"/>
      <c r="X269" s="1"/>
      <c r="Y269" s="1"/>
      <c r="Z269" s="1"/>
      <c r="AA269" s="1"/>
      <c r="AB269" s="3"/>
    </row>
    <row r="270" spans="1:28" ht="22.9" customHeight="1" x14ac:dyDescent="0.25">
      <c r="A270" s="37" t="s">
        <v>1366</v>
      </c>
      <c r="B270" s="9" t="s">
        <v>648</v>
      </c>
      <c r="C270" s="7">
        <f t="shared" ref="C270" si="312">D270+L270+N270+P270+R270+S270+T270</f>
        <v>1815000</v>
      </c>
      <c r="D270" s="2">
        <f t="shared" ref="D270" si="313">SUM(E270:J270)</f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1">
        <v>0</v>
      </c>
      <c r="L270" s="2">
        <v>0</v>
      </c>
      <c r="M270" s="2">
        <v>275</v>
      </c>
      <c r="N270" s="2">
        <f t="shared" si="305"/>
        <v>1815000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6" t="e">
        <f>M270/#REF!</f>
        <v>#REF!</v>
      </c>
      <c r="V270" s="2"/>
      <c r="W270" s="1"/>
      <c r="X270" s="1"/>
      <c r="Y270" s="1"/>
      <c r="Z270" s="1"/>
      <c r="AA270" s="1"/>
      <c r="AB270" s="3"/>
    </row>
    <row r="271" spans="1:28" ht="22.9" customHeight="1" x14ac:dyDescent="0.25">
      <c r="A271" s="37" t="s">
        <v>1367</v>
      </c>
      <c r="B271" s="9" t="s">
        <v>649</v>
      </c>
      <c r="C271" s="7">
        <f>D271+L271+N271+P271+R271+S271+Q271</f>
        <v>4050299.9999999995</v>
      </c>
      <c r="D271" s="2">
        <f t="shared" si="278"/>
        <v>3930299.9999999995</v>
      </c>
      <c r="E271" s="2">
        <f>700*1310.1</f>
        <v>917069.99999999988</v>
      </c>
      <c r="F271" s="2">
        <f>1300*1310.1</f>
        <v>1703129.9999999998</v>
      </c>
      <c r="G271" s="2">
        <f>300*1310.1</f>
        <v>393030</v>
      </c>
      <c r="H271" s="2">
        <f>400*1310.1</f>
        <v>524039.99999999994</v>
      </c>
      <c r="I271" s="2">
        <f>300*1310.1</f>
        <v>393030</v>
      </c>
      <c r="J271" s="2">
        <v>0</v>
      </c>
      <c r="K271" s="21">
        <v>0</v>
      </c>
      <c r="L271" s="2">
        <v>0</v>
      </c>
      <c r="M271" s="2">
        <v>0</v>
      </c>
      <c r="N271" s="2">
        <f t="shared" si="305"/>
        <v>0</v>
      </c>
      <c r="O271" s="2">
        <v>100</v>
      </c>
      <c r="P271" s="2">
        <f>O271*1200</f>
        <v>120000</v>
      </c>
      <c r="Q271" s="2">
        <v>0</v>
      </c>
      <c r="R271" s="2">
        <v>0</v>
      </c>
      <c r="S271" s="2">
        <v>0</v>
      </c>
      <c r="T271" s="2">
        <v>100000</v>
      </c>
      <c r="U271" s="6" t="e">
        <f>M271/#REF!</f>
        <v>#REF!</v>
      </c>
      <c r="V271" s="2"/>
      <c r="W271" s="1"/>
      <c r="X271" s="1"/>
      <c r="Y271" s="1"/>
      <c r="Z271" s="1"/>
      <c r="AA271" s="1"/>
      <c r="AB271" s="3"/>
    </row>
    <row r="272" spans="1:28" ht="22.9" customHeight="1" x14ac:dyDescent="0.25">
      <c r="A272" s="37" t="s">
        <v>1368</v>
      </c>
      <c r="B272" s="20" t="s">
        <v>650</v>
      </c>
      <c r="C272" s="7">
        <f t="shared" si="277"/>
        <v>8012400</v>
      </c>
      <c r="D272" s="2">
        <f t="shared" si="278"/>
        <v>0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0</v>
      </c>
      <c r="K272" s="21">
        <v>0</v>
      </c>
      <c r="L272" s="2">
        <v>0</v>
      </c>
      <c r="M272" s="19">
        <v>1214</v>
      </c>
      <c r="N272" s="2">
        <f t="shared" si="305"/>
        <v>8012400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6">
        <f t="shared" si="238"/>
        <v>6600</v>
      </c>
      <c r="V272" s="2"/>
      <c r="W272" s="1"/>
      <c r="X272" s="1"/>
      <c r="Y272" s="1"/>
      <c r="Z272" s="1"/>
      <c r="AA272" s="1"/>
      <c r="AB272" s="3"/>
    </row>
    <row r="273" spans="1:28" ht="22.9" customHeight="1" x14ac:dyDescent="0.25">
      <c r="A273" s="37" t="s">
        <v>1369</v>
      </c>
      <c r="B273" s="9" t="s">
        <v>651</v>
      </c>
      <c r="C273" s="7">
        <f>D273+L273+N273+P273+R273+S273+Q273</f>
        <v>6381060</v>
      </c>
      <c r="D273" s="2">
        <f t="shared" ref="D273" si="314">SUM(E273:J273)</f>
        <v>6381060</v>
      </c>
      <c r="E273" s="2">
        <f>700*2127.02</f>
        <v>1488914</v>
      </c>
      <c r="F273" s="2">
        <f>1300*2127.02</f>
        <v>2765126</v>
      </c>
      <c r="G273" s="2">
        <f>300*2127.02</f>
        <v>638106</v>
      </c>
      <c r="H273" s="2">
        <f>400*2127.02</f>
        <v>850808</v>
      </c>
      <c r="I273" s="2">
        <f>300*2127.02</f>
        <v>638106</v>
      </c>
      <c r="J273" s="2">
        <v>0</v>
      </c>
      <c r="K273" s="21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100000</v>
      </c>
      <c r="U273" s="6" t="e">
        <f t="shared" si="238"/>
        <v>#DIV/0!</v>
      </c>
      <c r="V273" s="2"/>
      <c r="W273" s="1"/>
      <c r="X273" s="1"/>
      <c r="Y273" s="1"/>
      <c r="Z273" s="1"/>
      <c r="AA273" s="1"/>
      <c r="AB273" s="3"/>
    </row>
    <row r="274" spans="1:28" ht="22.9" customHeight="1" x14ac:dyDescent="0.25">
      <c r="A274" s="37" t="s">
        <v>1370</v>
      </c>
      <c r="B274" s="9" t="s">
        <v>652</v>
      </c>
      <c r="C274" s="7">
        <f>D274+L274+N274+P274+R274+S274+Q274</f>
        <v>11473140</v>
      </c>
      <c r="D274" s="2">
        <f t="shared" ref="D274" si="315">SUM(E274:J274)</f>
        <v>11473140</v>
      </c>
      <c r="E274" s="2">
        <f>700*3824.38</f>
        <v>2677066</v>
      </c>
      <c r="F274" s="2">
        <f>1300*3824.38</f>
        <v>4971694</v>
      </c>
      <c r="G274" s="2">
        <f>300*3824.38</f>
        <v>1147314</v>
      </c>
      <c r="H274" s="2">
        <f>400*3824.38</f>
        <v>1529752</v>
      </c>
      <c r="I274" s="2">
        <f>300*3824.38</f>
        <v>1147314</v>
      </c>
      <c r="J274" s="2">
        <v>0</v>
      </c>
      <c r="K274" s="21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100000</v>
      </c>
      <c r="U274" s="6" t="e">
        <f t="shared" si="238"/>
        <v>#DIV/0!</v>
      </c>
      <c r="V274" s="2"/>
      <c r="W274" s="1"/>
      <c r="X274" s="1"/>
      <c r="Y274" s="1"/>
      <c r="Z274" s="1"/>
      <c r="AA274" s="1"/>
      <c r="AB274" s="3"/>
    </row>
    <row r="275" spans="1:28" ht="22.9" customHeight="1" x14ac:dyDescent="0.25">
      <c r="A275" s="37" t="s">
        <v>1371</v>
      </c>
      <c r="B275" s="9" t="s">
        <v>653</v>
      </c>
      <c r="C275" s="7">
        <f>D275+L275+N275+P275+R275+S275+Q275</f>
        <v>1145670</v>
      </c>
      <c r="D275" s="2">
        <f t="shared" ref="D275:D276" si="316">SUM(E275:J275)</f>
        <v>1145670</v>
      </c>
      <c r="E275" s="2">
        <f>700*381.89</f>
        <v>267323</v>
      </c>
      <c r="F275" s="2">
        <f>1300*381.89</f>
        <v>496457</v>
      </c>
      <c r="G275" s="2">
        <f>300*381.89</f>
        <v>114567</v>
      </c>
      <c r="H275" s="2">
        <f>400*381.89</f>
        <v>152756</v>
      </c>
      <c r="I275" s="2">
        <f>300*381.89</f>
        <v>114567</v>
      </c>
      <c r="J275" s="2">
        <v>0</v>
      </c>
      <c r="K275" s="21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100000</v>
      </c>
      <c r="U275" s="6" t="e">
        <f t="shared" si="238"/>
        <v>#DIV/0!</v>
      </c>
      <c r="V275" s="2">
        <v>0</v>
      </c>
      <c r="W275" s="1"/>
      <c r="X275" s="1"/>
      <c r="Y275" s="1"/>
      <c r="Z275" s="1"/>
      <c r="AA275" s="1"/>
      <c r="AB275" s="3"/>
    </row>
    <row r="276" spans="1:28" ht="22.9" customHeight="1" x14ac:dyDescent="0.25">
      <c r="A276" s="37" t="s">
        <v>1372</v>
      </c>
      <c r="B276" s="9" t="s">
        <v>654</v>
      </c>
      <c r="C276" s="7">
        <f t="shared" ref="C276" si="317">D276+L276+N276+P276+R276+S276+T276</f>
        <v>2574000</v>
      </c>
      <c r="D276" s="2">
        <f t="shared" si="316"/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1">
        <v>0</v>
      </c>
      <c r="L276" s="2">
        <v>0</v>
      </c>
      <c r="M276" s="2">
        <v>390</v>
      </c>
      <c r="N276" s="2">
        <f t="shared" ref="N276" si="318">M276*6600</f>
        <v>2574000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6">
        <f t="shared" si="238"/>
        <v>6600</v>
      </c>
      <c r="V276" s="2"/>
      <c r="W276" s="1"/>
      <c r="X276" s="1"/>
      <c r="Y276" s="1"/>
      <c r="Z276" s="1"/>
      <c r="AA276" s="1"/>
      <c r="AB276" s="3"/>
    </row>
    <row r="277" spans="1:28" ht="22.9" customHeight="1" x14ac:dyDescent="0.25">
      <c r="A277" s="37" t="s">
        <v>1373</v>
      </c>
      <c r="B277" s="20" t="s">
        <v>655</v>
      </c>
      <c r="C277" s="7">
        <f t="shared" ref="C277" si="319">D277+L277+N277+P277+R277+S277+T277</f>
        <v>3824400</v>
      </c>
      <c r="D277" s="2">
        <f t="shared" ref="D277" si="320">SUM(E277:J277)</f>
        <v>0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1">
        <v>0</v>
      </c>
      <c r="L277" s="2">
        <v>0</v>
      </c>
      <c r="M277" s="2">
        <v>534</v>
      </c>
      <c r="N277" s="2">
        <f t="shared" ref="N277" si="321">M277*6600</f>
        <v>3524400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300000</v>
      </c>
      <c r="U277" s="6">
        <f t="shared" si="238"/>
        <v>6600</v>
      </c>
      <c r="V277" s="2">
        <f>T277*U277</f>
        <v>1980000000</v>
      </c>
      <c r="W277" s="1"/>
      <c r="X277" s="1"/>
      <c r="Y277" s="1"/>
      <c r="Z277" s="1"/>
      <c r="AA277" s="1"/>
      <c r="AB277" s="3"/>
    </row>
    <row r="278" spans="1:28" ht="22.9" customHeight="1" x14ac:dyDescent="0.25">
      <c r="A278" s="37" t="s">
        <v>1374</v>
      </c>
      <c r="B278" s="9" t="s">
        <v>656</v>
      </c>
      <c r="C278" s="7">
        <f t="shared" ref="C278" si="322">D278+L278+N278+P278+R278+S278+T278</f>
        <v>5310800</v>
      </c>
      <c r="D278" s="2">
        <f t="shared" ref="D278" si="323">SUM(E278:J278)</f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1">
        <v>0</v>
      </c>
      <c r="L278" s="2">
        <v>0</v>
      </c>
      <c r="M278" s="2">
        <v>538</v>
      </c>
      <c r="N278" s="2">
        <f t="shared" ref="N278" si="324">M278*6600</f>
        <v>3550800</v>
      </c>
      <c r="O278" s="2">
        <v>0</v>
      </c>
      <c r="P278" s="2">
        <v>0</v>
      </c>
      <c r="Q278" s="2">
        <v>550</v>
      </c>
      <c r="R278" s="2">
        <f t="shared" ref="R278" si="325">Q278*3200</f>
        <v>1760000</v>
      </c>
      <c r="S278" s="2">
        <v>0</v>
      </c>
      <c r="T278" s="2">
        <v>0</v>
      </c>
      <c r="U278" s="6">
        <f t="shared" si="238"/>
        <v>6600</v>
      </c>
      <c r="V278" s="2"/>
      <c r="W278" s="1"/>
      <c r="X278" s="1"/>
      <c r="Y278" s="1"/>
      <c r="Z278" s="1"/>
      <c r="AA278" s="1"/>
      <c r="AB278" s="3"/>
    </row>
    <row r="279" spans="1:28" ht="22.9" customHeight="1" x14ac:dyDescent="0.25">
      <c r="A279" s="37" t="s">
        <v>1375</v>
      </c>
      <c r="B279" s="20" t="s">
        <v>657</v>
      </c>
      <c r="C279" s="7">
        <f t="shared" ref="C279" si="326">D279+L279+N279+P279+R279+S279+T279</f>
        <v>3550800</v>
      </c>
      <c r="D279" s="2">
        <f t="shared" ref="D279:D280" si="327">SUM(E279:J279)</f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1">
        <v>0</v>
      </c>
      <c r="L279" s="2">
        <v>0</v>
      </c>
      <c r="M279" s="2">
        <v>538</v>
      </c>
      <c r="N279" s="2">
        <f t="shared" ref="N279" si="328">M279*6600</f>
        <v>3550800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6">
        <f t="shared" si="238"/>
        <v>6600</v>
      </c>
      <c r="V279" s="2">
        <f>T279*U279</f>
        <v>0</v>
      </c>
      <c r="W279" s="1"/>
      <c r="X279" s="1"/>
      <c r="Y279" s="1"/>
      <c r="Z279" s="1"/>
      <c r="AA279" s="1"/>
      <c r="AB279" s="3"/>
    </row>
    <row r="280" spans="1:28" ht="22.9" customHeight="1" x14ac:dyDescent="0.25">
      <c r="A280" s="37" t="s">
        <v>1376</v>
      </c>
      <c r="B280" s="20" t="s">
        <v>658</v>
      </c>
      <c r="C280" s="7">
        <f t="shared" ref="C280:C285" si="329">D280+L280+N280+P280+R280+S280+Q280</f>
        <v>3511859.7</v>
      </c>
      <c r="D280" s="2">
        <f t="shared" si="327"/>
        <v>1848300</v>
      </c>
      <c r="E280" s="2">
        <f>700*616.1</f>
        <v>431270</v>
      </c>
      <c r="F280" s="2">
        <f>1300*616.1</f>
        <v>800930</v>
      </c>
      <c r="G280" s="2">
        <f>300*616.1</f>
        <v>184830</v>
      </c>
      <c r="H280" s="2">
        <f>400*616.1</f>
        <v>246440</v>
      </c>
      <c r="I280" s="2">
        <f>300*616.1</f>
        <v>184830</v>
      </c>
      <c r="J280" s="2">
        <v>0</v>
      </c>
      <c r="K280" s="21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519.70000000000005</v>
      </c>
      <c r="R280" s="2">
        <f t="shared" ref="R280" si="330">Q280*3200</f>
        <v>1663040.0000000002</v>
      </c>
      <c r="S280" s="2">
        <v>0</v>
      </c>
      <c r="T280" s="2">
        <v>100000</v>
      </c>
      <c r="U280" s="6" t="e">
        <f t="shared" ref="U280:U344" si="331">N280/M280</f>
        <v>#DIV/0!</v>
      </c>
      <c r="V280" s="2" t="e">
        <f>Q280*U280</f>
        <v>#DIV/0!</v>
      </c>
      <c r="W280" s="1"/>
      <c r="X280" s="1"/>
      <c r="Y280" s="1"/>
      <c r="Z280" s="1"/>
      <c r="AA280" s="1"/>
      <c r="AB280" s="3"/>
    </row>
    <row r="281" spans="1:28" ht="22.9" customHeight="1" x14ac:dyDescent="0.25">
      <c r="A281" s="37" t="s">
        <v>1377</v>
      </c>
      <c r="B281" s="9" t="s">
        <v>659</v>
      </c>
      <c r="C281" s="7">
        <f t="shared" si="329"/>
        <v>4332000</v>
      </c>
      <c r="D281" s="2">
        <f t="shared" ref="D281" si="332">SUM(E281:J281)</f>
        <v>2411400</v>
      </c>
      <c r="E281" s="2">
        <f>700*803.8</f>
        <v>562660</v>
      </c>
      <c r="F281" s="2">
        <f>1300*803.8</f>
        <v>1044939.9999999999</v>
      </c>
      <c r="G281" s="2">
        <f>300*803.8</f>
        <v>241140</v>
      </c>
      <c r="H281" s="2">
        <f>400*803.8</f>
        <v>321520</v>
      </c>
      <c r="I281" s="2">
        <f>300*803.8</f>
        <v>241140</v>
      </c>
      <c r="J281" s="2">
        <v>0</v>
      </c>
      <c r="K281" s="21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600</v>
      </c>
      <c r="R281" s="2">
        <f t="shared" ref="R281" si="333">Q281*3200</f>
        <v>1920000</v>
      </c>
      <c r="S281" s="2">
        <v>0</v>
      </c>
      <c r="T281" s="2">
        <v>100000</v>
      </c>
      <c r="U281" s="6" t="e">
        <f t="shared" si="331"/>
        <v>#DIV/0!</v>
      </c>
      <c r="V281" s="2"/>
      <c r="W281" s="1"/>
      <c r="X281" s="1"/>
      <c r="Y281" s="1"/>
      <c r="Z281" s="1"/>
      <c r="AA281" s="1"/>
      <c r="AB281" s="3"/>
    </row>
    <row r="282" spans="1:28" ht="22.9" customHeight="1" x14ac:dyDescent="0.25">
      <c r="A282" s="37" t="s">
        <v>1378</v>
      </c>
      <c r="B282" s="9" t="s">
        <v>660</v>
      </c>
      <c r="C282" s="7">
        <f t="shared" si="329"/>
        <v>2952840</v>
      </c>
      <c r="D282" s="2">
        <f t="shared" ref="D282" si="334">SUM(E282:J282)</f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1">
        <v>0</v>
      </c>
      <c r="L282" s="2">
        <v>0</v>
      </c>
      <c r="M282" s="2">
        <v>447.4</v>
      </c>
      <c r="N282" s="2">
        <f t="shared" ref="N282" si="335">M282*6600</f>
        <v>2952840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6">
        <f t="shared" si="331"/>
        <v>6600</v>
      </c>
      <c r="V282" s="2">
        <f>T282*U282</f>
        <v>0</v>
      </c>
      <c r="W282" s="1"/>
      <c r="X282" s="1"/>
      <c r="Y282" s="1"/>
      <c r="Z282" s="1"/>
      <c r="AA282" s="1"/>
      <c r="AB282" s="3"/>
    </row>
    <row r="283" spans="1:28" ht="22.9" customHeight="1" x14ac:dyDescent="0.25">
      <c r="A283" s="37" t="s">
        <v>1379</v>
      </c>
      <c r="B283" s="20" t="s">
        <v>661</v>
      </c>
      <c r="C283" s="7">
        <f t="shared" si="329"/>
        <v>2878260</v>
      </c>
      <c r="D283" s="2">
        <f t="shared" ref="D283" si="336">SUM(E283:J283)</f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1">
        <v>0</v>
      </c>
      <c r="L283" s="2">
        <v>0</v>
      </c>
      <c r="M283" s="2">
        <v>436.1</v>
      </c>
      <c r="N283" s="2">
        <f t="shared" ref="N283" si="337">M283*6600</f>
        <v>2878260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6">
        <f t="shared" si="331"/>
        <v>6600</v>
      </c>
      <c r="V283" s="2">
        <f>T283*U283</f>
        <v>0</v>
      </c>
      <c r="W283" s="1"/>
      <c r="X283" s="1"/>
      <c r="Y283" s="1"/>
      <c r="Z283" s="1"/>
      <c r="AA283" s="1"/>
      <c r="AB283" s="3"/>
    </row>
    <row r="284" spans="1:28" ht="22.9" customHeight="1" x14ac:dyDescent="0.25">
      <c r="A284" s="37" t="s">
        <v>1380</v>
      </c>
      <c r="B284" s="9" t="s">
        <v>662</v>
      </c>
      <c r="C284" s="7">
        <f t="shared" si="329"/>
        <v>12769241.1</v>
      </c>
      <c r="D284" s="2">
        <f t="shared" ref="D284:D286" si="338">SUM(E284:J284)</f>
        <v>0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1">
        <v>0</v>
      </c>
      <c r="L284" s="2">
        <v>0</v>
      </c>
      <c r="M284" s="2">
        <v>1100</v>
      </c>
      <c r="N284" s="2">
        <f t="shared" ref="N284" si="339">M284*6600</f>
        <v>7260000</v>
      </c>
      <c r="O284" s="2">
        <v>0</v>
      </c>
      <c r="P284" s="2">
        <v>0</v>
      </c>
      <c r="Q284" s="2">
        <v>1721.1</v>
      </c>
      <c r="R284" s="2">
        <f t="shared" ref="R284:R285" si="340">Q284*3200</f>
        <v>5507520</v>
      </c>
      <c r="S284" s="2">
        <v>0</v>
      </c>
      <c r="T284" s="2">
        <v>0</v>
      </c>
      <c r="U284" s="6">
        <f t="shared" si="331"/>
        <v>6600</v>
      </c>
      <c r="V284" s="1"/>
      <c r="W284" s="1"/>
      <c r="X284" s="1"/>
      <c r="Y284" s="1"/>
      <c r="Z284" s="1"/>
      <c r="AA284" s="1"/>
      <c r="AB284" s="3"/>
    </row>
    <row r="285" spans="1:28" ht="22.9" customHeight="1" x14ac:dyDescent="0.25">
      <c r="A285" s="37" t="s">
        <v>1381</v>
      </c>
      <c r="B285" s="9" t="s">
        <v>663</v>
      </c>
      <c r="C285" s="7">
        <f t="shared" si="329"/>
        <v>8036687.4000000004</v>
      </c>
      <c r="D285" s="2">
        <f t="shared" si="338"/>
        <v>4096620</v>
      </c>
      <c r="E285" s="2">
        <f>700*1401.54</f>
        <v>981078</v>
      </c>
      <c r="F285" s="2">
        <f>1300*1401.54</f>
        <v>1822002</v>
      </c>
      <c r="G285" s="2">
        <f>300*1041.54</f>
        <v>312462</v>
      </c>
      <c r="H285" s="2">
        <f>400*1401.54</f>
        <v>560616</v>
      </c>
      <c r="I285" s="2">
        <f>300*1401.54</f>
        <v>420462</v>
      </c>
      <c r="J285" s="2">
        <v>0</v>
      </c>
      <c r="K285" s="21">
        <v>0</v>
      </c>
      <c r="L285" s="2">
        <v>0</v>
      </c>
      <c r="M285" s="2">
        <v>0</v>
      </c>
      <c r="N285" s="2">
        <v>0</v>
      </c>
      <c r="O285" s="2">
        <v>436.1</v>
      </c>
      <c r="P285" s="2">
        <f>O285*1200</f>
        <v>523320</v>
      </c>
      <c r="Q285" s="2">
        <v>1067.4000000000001</v>
      </c>
      <c r="R285" s="2">
        <f t="shared" si="340"/>
        <v>3415680.0000000005</v>
      </c>
      <c r="S285" s="2">
        <v>0</v>
      </c>
      <c r="T285" s="2">
        <v>100000</v>
      </c>
      <c r="U285" s="6" t="e">
        <f t="shared" si="331"/>
        <v>#DIV/0!</v>
      </c>
      <c r="V285" s="1"/>
      <c r="W285" s="1"/>
      <c r="X285" s="1"/>
      <c r="Y285" s="1"/>
      <c r="Z285" s="1"/>
      <c r="AA285" s="1"/>
      <c r="AB285" s="3"/>
    </row>
    <row r="286" spans="1:28" ht="22.9" customHeight="1" x14ac:dyDescent="0.25">
      <c r="A286" s="37" t="s">
        <v>1382</v>
      </c>
      <c r="B286" s="9" t="s">
        <v>664</v>
      </c>
      <c r="C286" s="7">
        <f t="shared" ref="C286" si="341">D286+L286+N286+P286+R286+S286+T286</f>
        <v>4441800</v>
      </c>
      <c r="D286" s="2">
        <f t="shared" si="338"/>
        <v>0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1">
        <v>0</v>
      </c>
      <c r="L286" s="2">
        <v>0</v>
      </c>
      <c r="M286" s="2">
        <v>673</v>
      </c>
      <c r="N286" s="2">
        <f t="shared" ref="N286" si="342">M286*6600</f>
        <v>4441800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6">
        <f t="shared" si="331"/>
        <v>6600</v>
      </c>
      <c r="V286" s="1"/>
      <c r="W286" s="1"/>
      <c r="X286" s="1"/>
      <c r="Y286" s="1"/>
      <c r="Z286" s="1"/>
      <c r="AA286" s="1"/>
      <c r="AB286" s="3"/>
    </row>
    <row r="287" spans="1:28" ht="22.9" customHeight="1" x14ac:dyDescent="0.25">
      <c r="A287" s="37" t="s">
        <v>1383</v>
      </c>
      <c r="B287" s="20" t="s">
        <v>665</v>
      </c>
      <c r="C287" s="7">
        <f>D287+L287+N287+P287+R287+S287+Q287</f>
        <v>4649144.6100000003</v>
      </c>
      <c r="D287" s="2">
        <f t="shared" ref="D287:D288" si="343">SUM(E287:J287)</f>
        <v>2112000</v>
      </c>
      <c r="E287" s="2">
        <f>700*704</f>
        <v>492800</v>
      </c>
      <c r="F287" s="2">
        <f>1300*704</f>
        <v>915200</v>
      </c>
      <c r="G287" s="2">
        <f>300*704</f>
        <v>211200</v>
      </c>
      <c r="H287" s="2">
        <f>400*704</f>
        <v>281600</v>
      </c>
      <c r="I287" s="2">
        <f>300*704</f>
        <v>211200</v>
      </c>
      <c r="J287" s="2">
        <v>0</v>
      </c>
      <c r="K287" s="21">
        <v>0</v>
      </c>
      <c r="L287" s="2">
        <v>0</v>
      </c>
      <c r="M287" s="2">
        <v>0</v>
      </c>
      <c r="N287" s="2">
        <v>0</v>
      </c>
      <c r="O287" s="2">
        <v>0</v>
      </c>
      <c r="P287" s="2">
        <f>O287*1200</f>
        <v>0</v>
      </c>
      <c r="Q287" s="2">
        <v>792.61</v>
      </c>
      <c r="R287" s="2">
        <f t="shared" ref="R287:R288" si="344">Q287*3200</f>
        <v>2536352</v>
      </c>
      <c r="S287" s="2">
        <v>0</v>
      </c>
      <c r="T287" s="2">
        <v>100000</v>
      </c>
      <c r="U287" s="6" t="e">
        <f t="shared" si="331"/>
        <v>#DIV/0!</v>
      </c>
      <c r="V287" s="1"/>
      <c r="W287" s="1"/>
      <c r="X287" s="1"/>
      <c r="Y287" s="1"/>
      <c r="Z287" s="1"/>
      <c r="AA287" s="1"/>
      <c r="AB287" s="3"/>
    </row>
    <row r="288" spans="1:28" ht="22.9" customHeight="1" x14ac:dyDescent="0.25">
      <c r="A288" s="37" t="s">
        <v>1384</v>
      </c>
      <c r="B288" s="9" t="s">
        <v>666</v>
      </c>
      <c r="C288" s="7">
        <f t="shared" ref="C288" si="345">D288+L288+N288+P288+R288+S288+T288</f>
        <v>2917280</v>
      </c>
      <c r="D288" s="2">
        <f t="shared" si="343"/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1">
        <v>0</v>
      </c>
      <c r="L288" s="2">
        <v>0</v>
      </c>
      <c r="M288" s="2">
        <v>236</v>
      </c>
      <c r="N288" s="2">
        <f t="shared" ref="N288" si="346">M288*6600</f>
        <v>1557600</v>
      </c>
      <c r="O288" s="2">
        <v>0</v>
      </c>
      <c r="P288" s="2">
        <v>0</v>
      </c>
      <c r="Q288" s="2">
        <v>424.9</v>
      </c>
      <c r="R288" s="2">
        <f t="shared" si="344"/>
        <v>1359680</v>
      </c>
      <c r="S288" s="2">
        <v>0</v>
      </c>
      <c r="T288" s="2">
        <v>0</v>
      </c>
      <c r="U288" s="6">
        <f t="shared" si="331"/>
        <v>6600</v>
      </c>
      <c r="V288" s="1"/>
      <c r="W288" s="1"/>
      <c r="X288" s="1"/>
      <c r="Y288" s="1"/>
      <c r="Z288" s="1"/>
      <c r="AA288" s="1"/>
      <c r="AB288" s="3"/>
    </row>
    <row r="289" spans="1:28" ht="22.9" customHeight="1" x14ac:dyDescent="0.25">
      <c r="A289" s="37" t="s">
        <v>1385</v>
      </c>
      <c r="B289" s="9" t="s">
        <v>667</v>
      </c>
      <c r="C289" s="7">
        <f t="shared" ref="C289:C290" si="347">D289+L289+N289+P289+R289+S289+T289</f>
        <v>2666400</v>
      </c>
      <c r="D289" s="2">
        <f t="shared" ref="D289:D290" si="348">SUM(E289:J289)</f>
        <v>0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  <c r="K289" s="21">
        <v>0</v>
      </c>
      <c r="L289" s="2">
        <v>0</v>
      </c>
      <c r="M289" s="2">
        <v>404</v>
      </c>
      <c r="N289" s="2">
        <f t="shared" ref="N289:N290" si="349">M289*6600</f>
        <v>2666400</v>
      </c>
      <c r="O289" s="2">
        <v>0</v>
      </c>
      <c r="P289" s="2">
        <v>0</v>
      </c>
      <c r="Q289" s="2">
        <v>0</v>
      </c>
      <c r="R289" s="2">
        <f t="shared" ref="R289:R290" si="350">Q289*3200</f>
        <v>0</v>
      </c>
      <c r="S289" s="2">
        <v>0</v>
      </c>
      <c r="T289" s="2">
        <v>0</v>
      </c>
      <c r="U289" s="6">
        <f t="shared" si="331"/>
        <v>6600</v>
      </c>
      <c r="V289" s="1"/>
      <c r="W289" s="1"/>
      <c r="X289" s="1"/>
      <c r="Y289" s="1"/>
      <c r="Z289" s="1"/>
      <c r="AA289" s="1"/>
      <c r="AB289" s="3"/>
    </row>
    <row r="290" spans="1:28" ht="22.9" customHeight="1" x14ac:dyDescent="0.25">
      <c r="A290" s="37" t="s">
        <v>1386</v>
      </c>
      <c r="B290" s="9" t="s">
        <v>668</v>
      </c>
      <c r="C290" s="7">
        <f t="shared" si="347"/>
        <v>1663040.0000000002</v>
      </c>
      <c r="D290" s="2">
        <f t="shared" si="348"/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1">
        <v>0</v>
      </c>
      <c r="L290" s="2">
        <v>0</v>
      </c>
      <c r="M290" s="2">
        <v>0</v>
      </c>
      <c r="N290" s="2">
        <f t="shared" si="349"/>
        <v>0</v>
      </c>
      <c r="O290" s="2">
        <v>0</v>
      </c>
      <c r="P290" s="2">
        <v>0</v>
      </c>
      <c r="Q290" s="2">
        <v>519.70000000000005</v>
      </c>
      <c r="R290" s="2">
        <f t="shared" si="350"/>
        <v>1663040.0000000002</v>
      </c>
      <c r="S290" s="2">
        <v>0</v>
      </c>
      <c r="T290" s="2">
        <v>0</v>
      </c>
      <c r="U290" s="6" t="e">
        <f t="shared" si="331"/>
        <v>#DIV/0!</v>
      </c>
      <c r="V290" s="1"/>
      <c r="W290" s="1"/>
      <c r="X290" s="1"/>
      <c r="Y290" s="1"/>
      <c r="Z290" s="1"/>
      <c r="AA290" s="1"/>
      <c r="AB290" s="3"/>
    </row>
    <row r="291" spans="1:28" ht="22.9" customHeight="1" x14ac:dyDescent="0.25">
      <c r="A291" s="37" t="s">
        <v>1387</v>
      </c>
      <c r="B291" s="9" t="s">
        <v>669</v>
      </c>
      <c r="C291" s="7">
        <f t="shared" ref="C291" si="351">D291+L291+N291+P291+R291+S291+T291</f>
        <v>2666400</v>
      </c>
      <c r="D291" s="2">
        <f t="shared" ref="D291" si="352">SUM(E291:J291)</f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1">
        <v>0</v>
      </c>
      <c r="L291" s="2">
        <v>0</v>
      </c>
      <c r="M291" s="2">
        <v>404</v>
      </c>
      <c r="N291" s="2">
        <f t="shared" ref="N291" si="353">M291*6600</f>
        <v>2666400</v>
      </c>
      <c r="O291" s="2">
        <v>0</v>
      </c>
      <c r="P291" s="2">
        <v>0</v>
      </c>
      <c r="Q291" s="2">
        <v>0</v>
      </c>
      <c r="R291" s="2">
        <f t="shared" ref="R291" si="354">Q291*3200</f>
        <v>0</v>
      </c>
      <c r="S291" s="2">
        <v>0</v>
      </c>
      <c r="T291" s="2">
        <v>0</v>
      </c>
      <c r="U291" s="6">
        <f t="shared" si="331"/>
        <v>6600</v>
      </c>
      <c r="V291" s="1"/>
      <c r="W291" s="1"/>
      <c r="X291" s="1"/>
      <c r="Y291" s="1"/>
      <c r="Z291" s="1"/>
      <c r="AA291" s="1"/>
      <c r="AB291" s="3"/>
    </row>
    <row r="292" spans="1:28" ht="22.9" customHeight="1" x14ac:dyDescent="0.25">
      <c r="A292" s="37" t="s">
        <v>1388</v>
      </c>
      <c r="B292" s="9" t="s">
        <v>670</v>
      </c>
      <c r="C292" s="7">
        <f t="shared" ref="C292" si="355">D292+L292+N292+P292+R292+S292+T292</f>
        <v>5266800</v>
      </c>
      <c r="D292" s="2">
        <f t="shared" ref="D292:D293" si="356">SUM(E292:J292)</f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1">
        <v>0</v>
      </c>
      <c r="L292" s="2">
        <v>0</v>
      </c>
      <c r="M292" s="2">
        <v>798</v>
      </c>
      <c r="N292" s="2">
        <f t="shared" ref="N292" si="357">M292*6600</f>
        <v>5266800</v>
      </c>
      <c r="O292" s="2">
        <v>0</v>
      </c>
      <c r="P292" s="2">
        <v>0</v>
      </c>
      <c r="Q292" s="2">
        <v>0</v>
      </c>
      <c r="R292" s="2">
        <f t="shared" ref="R292" si="358">Q292*3200</f>
        <v>0</v>
      </c>
      <c r="S292" s="2">
        <v>0</v>
      </c>
      <c r="T292" s="2">
        <v>0</v>
      </c>
      <c r="U292" s="6">
        <f t="shared" si="331"/>
        <v>6600</v>
      </c>
      <c r="V292" s="1"/>
      <c r="W292" s="1"/>
      <c r="X292" s="1"/>
      <c r="Y292" s="1"/>
      <c r="Z292" s="1"/>
      <c r="AA292" s="1"/>
      <c r="AB292" s="3"/>
    </row>
    <row r="293" spans="1:28" ht="22.9" customHeight="1" x14ac:dyDescent="0.25">
      <c r="A293" s="37" t="s">
        <v>1389</v>
      </c>
      <c r="B293" s="9" t="s">
        <v>671</v>
      </c>
      <c r="C293" s="7">
        <f>D293+L293+N293+P293+R293+S293+Q293</f>
        <v>1355100</v>
      </c>
      <c r="D293" s="2">
        <f t="shared" si="356"/>
        <v>1355100</v>
      </c>
      <c r="E293" s="2">
        <f>700*451.7</f>
        <v>316190</v>
      </c>
      <c r="F293" s="2">
        <f>1300*451.7</f>
        <v>587210</v>
      </c>
      <c r="G293" s="2">
        <f>300*451.7</f>
        <v>135510</v>
      </c>
      <c r="H293" s="2">
        <f>400*451.7</f>
        <v>180680</v>
      </c>
      <c r="I293" s="2">
        <f>300*451.7</f>
        <v>135510</v>
      </c>
      <c r="J293" s="2">
        <v>0</v>
      </c>
      <c r="K293" s="21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100000</v>
      </c>
      <c r="U293" s="6" t="e">
        <f t="shared" si="331"/>
        <v>#DIV/0!</v>
      </c>
      <c r="V293" s="1"/>
      <c r="W293" s="1"/>
      <c r="X293" s="1"/>
      <c r="Y293" s="1"/>
      <c r="Z293" s="1"/>
      <c r="AA293" s="1"/>
      <c r="AB293" s="3"/>
    </row>
    <row r="294" spans="1:28" ht="22.9" customHeight="1" x14ac:dyDescent="0.25">
      <c r="A294" s="37" t="s">
        <v>1390</v>
      </c>
      <c r="B294" s="9" t="s">
        <v>672</v>
      </c>
      <c r="C294" s="7">
        <f>D294+L294+N294+P294+R294+S294+Q294</f>
        <v>4760250</v>
      </c>
      <c r="D294" s="2">
        <f t="shared" ref="D294:D297" si="359">SUM(E294:J294)</f>
        <v>4760250</v>
      </c>
      <c r="E294" s="2">
        <f>700*1586.75</f>
        <v>1110725</v>
      </c>
      <c r="F294" s="2">
        <f>1300*1586.75</f>
        <v>2062775</v>
      </c>
      <c r="G294" s="2">
        <f>300*1586.75</f>
        <v>476025</v>
      </c>
      <c r="H294" s="2">
        <f>400*1586.75</f>
        <v>634700</v>
      </c>
      <c r="I294" s="2">
        <f>300*1586.75</f>
        <v>476025</v>
      </c>
      <c r="J294" s="2">
        <v>0</v>
      </c>
      <c r="K294" s="21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100000</v>
      </c>
      <c r="U294" s="6" t="e">
        <f t="shared" si="331"/>
        <v>#DIV/0!</v>
      </c>
      <c r="V294" s="1"/>
      <c r="W294" s="1"/>
      <c r="X294" s="1"/>
      <c r="Y294" s="1"/>
      <c r="Z294" s="1"/>
      <c r="AA294" s="1"/>
      <c r="AB294" s="3"/>
    </row>
    <row r="295" spans="1:28" ht="22.9" customHeight="1" x14ac:dyDescent="0.25">
      <c r="A295" s="37" t="s">
        <v>1391</v>
      </c>
      <c r="B295" s="9" t="s">
        <v>673</v>
      </c>
      <c r="C295" s="7">
        <f>D295+L295+N295+P295+R295+S295+Q295</f>
        <v>12428985</v>
      </c>
      <c r="D295" s="2">
        <f t="shared" si="359"/>
        <v>4924620</v>
      </c>
      <c r="E295" s="2">
        <f>700*1641.54</f>
        <v>1149078</v>
      </c>
      <c r="F295" s="2">
        <f>1300*1641.54</f>
        <v>2134002</v>
      </c>
      <c r="G295" s="2">
        <f>300*1641.54</f>
        <v>492462</v>
      </c>
      <c r="H295" s="2">
        <f>400*1641.54</f>
        <v>656616</v>
      </c>
      <c r="I295" s="2">
        <f>300*1641.54</f>
        <v>492462</v>
      </c>
      <c r="J295" s="2">
        <v>0</v>
      </c>
      <c r="K295" s="21">
        <v>0</v>
      </c>
      <c r="L295" s="2">
        <v>0</v>
      </c>
      <c r="M295" s="2">
        <v>475</v>
      </c>
      <c r="N295" s="2">
        <f t="shared" ref="N295:N297" si="360">M295*6600</f>
        <v>3135000</v>
      </c>
      <c r="O295" s="2">
        <v>0</v>
      </c>
      <c r="P295" s="2">
        <v>0</v>
      </c>
      <c r="Q295" s="2">
        <v>1365</v>
      </c>
      <c r="R295" s="2">
        <f t="shared" ref="R295:R297" si="361">Q295*3200</f>
        <v>4368000</v>
      </c>
      <c r="S295" s="2">
        <v>0</v>
      </c>
      <c r="T295" s="2">
        <v>100000</v>
      </c>
      <c r="U295" s="6">
        <f t="shared" si="331"/>
        <v>6600</v>
      </c>
      <c r="V295" s="1"/>
      <c r="W295" s="1"/>
      <c r="X295" s="1"/>
      <c r="Y295" s="1"/>
      <c r="Z295" s="1"/>
      <c r="AA295" s="1"/>
      <c r="AB295" s="3"/>
    </row>
    <row r="296" spans="1:28" ht="22.9" customHeight="1" x14ac:dyDescent="0.25">
      <c r="A296" s="37" t="s">
        <v>1392</v>
      </c>
      <c r="B296" s="20" t="s">
        <v>674</v>
      </c>
      <c r="C296" s="7">
        <f t="shared" ref="C296:C297" si="362">D296+L296+N296+P296+R296+S296+T296</f>
        <v>4170540</v>
      </c>
      <c r="D296" s="2">
        <f t="shared" si="359"/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1">
        <v>0</v>
      </c>
      <c r="L296" s="2">
        <v>0</v>
      </c>
      <c r="M296" s="2">
        <v>631.9</v>
      </c>
      <c r="N296" s="2">
        <f t="shared" si="360"/>
        <v>4170540</v>
      </c>
      <c r="O296" s="2">
        <v>0</v>
      </c>
      <c r="P296" s="2">
        <v>0</v>
      </c>
      <c r="Q296" s="2">
        <v>0</v>
      </c>
      <c r="R296" s="2">
        <f t="shared" si="361"/>
        <v>0</v>
      </c>
      <c r="S296" s="2">
        <v>0</v>
      </c>
      <c r="T296" s="2">
        <v>0</v>
      </c>
      <c r="U296" s="6">
        <f t="shared" si="331"/>
        <v>6600</v>
      </c>
      <c r="V296" s="1"/>
      <c r="W296" s="1"/>
      <c r="X296" s="1"/>
      <c r="Y296" s="1"/>
      <c r="Z296" s="1"/>
      <c r="AA296" s="1"/>
      <c r="AB296" s="3"/>
    </row>
    <row r="297" spans="1:28" ht="22.9" customHeight="1" x14ac:dyDescent="0.25">
      <c r="A297" s="37" t="s">
        <v>1393</v>
      </c>
      <c r="B297" s="9" t="s">
        <v>675</v>
      </c>
      <c r="C297" s="7">
        <f t="shared" si="362"/>
        <v>3343880</v>
      </c>
      <c r="D297" s="2">
        <f t="shared" si="359"/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1">
        <v>0</v>
      </c>
      <c r="L297" s="2">
        <v>0</v>
      </c>
      <c r="M297" s="2">
        <v>225</v>
      </c>
      <c r="N297" s="2">
        <f t="shared" si="360"/>
        <v>1485000</v>
      </c>
      <c r="O297" s="2">
        <v>0</v>
      </c>
      <c r="P297" s="2">
        <v>0</v>
      </c>
      <c r="Q297" s="2">
        <v>580.9</v>
      </c>
      <c r="R297" s="2">
        <f t="shared" si="361"/>
        <v>1858880</v>
      </c>
      <c r="S297" s="2">
        <v>0</v>
      </c>
      <c r="T297" s="2">
        <v>0</v>
      </c>
      <c r="U297" s="6">
        <f t="shared" si="331"/>
        <v>6600</v>
      </c>
      <c r="V297" s="1"/>
      <c r="W297" s="1"/>
      <c r="X297" s="1"/>
      <c r="Y297" s="1"/>
      <c r="Z297" s="1"/>
      <c r="AA297" s="1"/>
      <c r="AB297" s="3"/>
    </row>
    <row r="298" spans="1:28" ht="22.9" customHeight="1" x14ac:dyDescent="0.25">
      <c r="A298" s="37" t="s">
        <v>1394</v>
      </c>
      <c r="B298" s="9" t="s">
        <v>676</v>
      </c>
      <c r="C298" s="7">
        <f t="shared" ref="C298:C303" si="363">D298+L298+N298+P298+R298+S298+Q298</f>
        <v>10029270</v>
      </c>
      <c r="D298" s="2">
        <f t="shared" ref="D298" si="364">SUM(E298:J298)</f>
        <v>4788540</v>
      </c>
      <c r="E298" s="2">
        <f>700*1596.18</f>
        <v>1117326</v>
      </c>
      <c r="F298" s="2">
        <f>1300*1596.18</f>
        <v>2075034</v>
      </c>
      <c r="G298" s="2">
        <f>300*1596.18</f>
        <v>478854</v>
      </c>
      <c r="H298" s="2">
        <f>400*1596.18</f>
        <v>638472</v>
      </c>
      <c r="I298" s="2">
        <f>300*1596.18</f>
        <v>478854</v>
      </c>
      <c r="J298" s="2">
        <v>0</v>
      </c>
      <c r="K298" s="21">
        <v>0</v>
      </c>
      <c r="L298" s="2">
        <v>0</v>
      </c>
      <c r="M298" s="2">
        <v>440</v>
      </c>
      <c r="N298" s="2">
        <f t="shared" ref="N298" si="365">M298*6600</f>
        <v>2904000</v>
      </c>
      <c r="O298" s="2">
        <v>0</v>
      </c>
      <c r="P298" s="2">
        <v>0</v>
      </c>
      <c r="Q298" s="2">
        <v>730</v>
      </c>
      <c r="R298" s="2">
        <f t="shared" ref="R298" si="366">Q298*3200</f>
        <v>2336000</v>
      </c>
      <c r="S298" s="2">
        <v>0</v>
      </c>
      <c r="T298" s="2">
        <v>100000</v>
      </c>
      <c r="U298" s="6">
        <f t="shared" si="331"/>
        <v>6600</v>
      </c>
      <c r="V298" s="1"/>
      <c r="W298" s="1"/>
      <c r="X298" s="1"/>
      <c r="Y298" s="1"/>
      <c r="Z298" s="1"/>
      <c r="AA298" s="1"/>
      <c r="AB298" s="3"/>
    </row>
    <row r="299" spans="1:28" ht="22.9" customHeight="1" x14ac:dyDescent="0.25">
      <c r="A299" s="37" t="s">
        <v>1395</v>
      </c>
      <c r="B299" s="9" t="s">
        <v>677</v>
      </c>
      <c r="C299" s="7">
        <f t="shared" si="363"/>
        <v>11771569.5</v>
      </c>
      <c r="D299" s="2">
        <f t="shared" ref="D299" si="367">SUM(E299:J299)</f>
        <v>5008500</v>
      </c>
      <c r="E299" s="2">
        <f>700*1669.5</f>
        <v>1168650</v>
      </c>
      <c r="F299" s="2">
        <f>1300*1669.5</f>
        <v>2170350</v>
      </c>
      <c r="G299" s="2">
        <f>300*1669.5</f>
        <v>500850</v>
      </c>
      <c r="H299" s="2">
        <f>400*1669.5</f>
        <v>667800</v>
      </c>
      <c r="I299" s="2">
        <f>300*1669.5</f>
        <v>500850</v>
      </c>
      <c r="J299" s="2">
        <v>0</v>
      </c>
      <c r="K299" s="21">
        <v>0</v>
      </c>
      <c r="L299" s="2">
        <v>0</v>
      </c>
      <c r="M299" s="2">
        <v>593.29999999999995</v>
      </c>
      <c r="N299" s="2">
        <f t="shared" ref="N299" si="368">M299*6600</f>
        <v>3915779.9999999995</v>
      </c>
      <c r="O299" s="2">
        <v>0</v>
      </c>
      <c r="P299" s="2">
        <v>0</v>
      </c>
      <c r="Q299" s="2">
        <v>889.5</v>
      </c>
      <c r="R299" s="2">
        <f t="shared" ref="R299" si="369">Q299*3200</f>
        <v>2846400</v>
      </c>
      <c r="S299" s="2">
        <v>0</v>
      </c>
      <c r="T299" s="2">
        <v>100000</v>
      </c>
      <c r="U299" s="6">
        <f t="shared" si="331"/>
        <v>6600</v>
      </c>
      <c r="V299" s="1"/>
      <c r="W299" s="1"/>
      <c r="X299" s="1"/>
      <c r="Y299" s="1"/>
      <c r="Z299" s="1"/>
      <c r="AA299" s="1"/>
      <c r="AB299" s="3"/>
    </row>
    <row r="300" spans="1:28" ht="22.9" customHeight="1" x14ac:dyDescent="0.25">
      <c r="A300" s="37" t="s">
        <v>1396</v>
      </c>
      <c r="B300" s="9" t="s">
        <v>678</v>
      </c>
      <c r="C300" s="7">
        <f t="shared" si="363"/>
        <v>13317582.9</v>
      </c>
      <c r="D300" s="2">
        <f t="shared" ref="D300:D301" si="370">SUM(E300:J300)</f>
        <v>7578510</v>
      </c>
      <c r="E300" s="2">
        <f>700*2526.17</f>
        <v>1768319</v>
      </c>
      <c r="F300" s="2">
        <f>1300*2526.17</f>
        <v>3284021</v>
      </c>
      <c r="G300" s="2">
        <f>300*2526.17</f>
        <v>757851</v>
      </c>
      <c r="H300" s="2">
        <f>400*2526.17</f>
        <v>1010468</v>
      </c>
      <c r="I300" s="2">
        <f>300*2526.17</f>
        <v>757851</v>
      </c>
      <c r="J300" s="2">
        <v>0</v>
      </c>
      <c r="K300" s="21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1792.9</v>
      </c>
      <c r="R300" s="2">
        <f t="shared" ref="R300:R301" si="371">Q300*3200</f>
        <v>5737280</v>
      </c>
      <c r="S300" s="2">
        <v>0</v>
      </c>
      <c r="T300" s="2">
        <v>100000</v>
      </c>
      <c r="U300" s="6" t="e">
        <f t="shared" si="331"/>
        <v>#DIV/0!</v>
      </c>
      <c r="V300" s="1"/>
      <c r="W300" s="1"/>
      <c r="X300" s="1"/>
      <c r="Y300" s="1"/>
      <c r="Z300" s="1"/>
      <c r="AA300" s="1"/>
      <c r="AB300" s="3"/>
    </row>
    <row r="301" spans="1:28" ht="22.9" customHeight="1" x14ac:dyDescent="0.25">
      <c r="A301" s="37" t="s">
        <v>1397</v>
      </c>
      <c r="B301" s="9" t="s">
        <v>679</v>
      </c>
      <c r="C301" s="7">
        <f t="shared" si="363"/>
        <v>11198202</v>
      </c>
      <c r="D301" s="2">
        <f t="shared" si="370"/>
        <v>4847550</v>
      </c>
      <c r="E301" s="2">
        <f>700*1615.85</f>
        <v>1131095</v>
      </c>
      <c r="F301" s="2">
        <f>1300*1615.85</f>
        <v>2100605</v>
      </c>
      <c r="G301" s="2">
        <f>300*1615.85</f>
        <v>484755</v>
      </c>
      <c r="H301" s="2">
        <f>400*1615.85</f>
        <v>646340</v>
      </c>
      <c r="I301" s="2">
        <f>300*1615.85</f>
        <v>484755</v>
      </c>
      <c r="J301" s="2">
        <v>0</v>
      </c>
      <c r="K301" s="21">
        <v>0</v>
      </c>
      <c r="L301" s="2">
        <v>0</v>
      </c>
      <c r="M301" s="2">
        <v>452</v>
      </c>
      <c r="N301" s="2">
        <f t="shared" ref="N301" si="372">M301*6600</f>
        <v>2983200</v>
      </c>
      <c r="O301" s="2">
        <v>0</v>
      </c>
      <c r="P301" s="2">
        <v>0</v>
      </c>
      <c r="Q301" s="2">
        <v>1052</v>
      </c>
      <c r="R301" s="2">
        <f t="shared" si="371"/>
        <v>3366400</v>
      </c>
      <c r="S301" s="2">
        <v>0</v>
      </c>
      <c r="T301" s="2">
        <v>100000</v>
      </c>
      <c r="U301" s="6">
        <f t="shared" si="331"/>
        <v>6600</v>
      </c>
      <c r="V301" s="1"/>
      <c r="W301" s="1"/>
      <c r="X301" s="1"/>
      <c r="Y301" s="1"/>
      <c r="Z301" s="1"/>
      <c r="AA301" s="1"/>
      <c r="AB301" s="3"/>
    </row>
    <row r="302" spans="1:28" ht="22.9" customHeight="1" x14ac:dyDescent="0.25">
      <c r="A302" s="37" t="s">
        <v>1398</v>
      </c>
      <c r="B302" s="9" t="s">
        <v>680</v>
      </c>
      <c r="C302" s="7">
        <f t="shared" si="363"/>
        <v>8031870</v>
      </c>
      <c r="D302" s="2">
        <f t="shared" ref="D302" si="373">SUM(E302:J302)</f>
        <v>8031870</v>
      </c>
      <c r="E302" s="2">
        <f>700*2677.29</f>
        <v>1874103</v>
      </c>
      <c r="F302" s="2">
        <f>1300*2677.29</f>
        <v>3480477</v>
      </c>
      <c r="G302" s="2">
        <f>300*2677.29</f>
        <v>803187</v>
      </c>
      <c r="H302" s="2">
        <f>400*2677.29</f>
        <v>1070916</v>
      </c>
      <c r="I302" s="2">
        <f>300*2677.29</f>
        <v>803187</v>
      </c>
      <c r="J302" s="2">
        <v>0</v>
      </c>
      <c r="K302" s="21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f t="shared" ref="R302" si="374">Q302*3200</f>
        <v>0</v>
      </c>
      <c r="S302" s="2">
        <v>0</v>
      </c>
      <c r="T302" s="2">
        <v>100000</v>
      </c>
      <c r="U302" s="6" t="e">
        <f t="shared" si="331"/>
        <v>#DIV/0!</v>
      </c>
      <c r="V302" s="1"/>
      <c r="W302" s="1"/>
      <c r="X302" s="1"/>
      <c r="Y302" s="1"/>
      <c r="Z302" s="1"/>
      <c r="AA302" s="1"/>
      <c r="AB302" s="3"/>
    </row>
    <row r="303" spans="1:28" ht="22.9" customHeight="1" x14ac:dyDescent="0.25">
      <c r="A303" s="37" t="s">
        <v>1399</v>
      </c>
      <c r="B303" s="9" t="s">
        <v>681</v>
      </c>
      <c r="C303" s="7">
        <f t="shared" si="363"/>
        <v>10233570</v>
      </c>
      <c r="D303" s="2">
        <f t="shared" ref="D303:D307" si="375">SUM(E303:J303)</f>
        <v>10233570</v>
      </c>
      <c r="E303" s="2">
        <f>700*3411.19</f>
        <v>2387833</v>
      </c>
      <c r="F303" s="2">
        <f>1300*3411.19</f>
        <v>4434547</v>
      </c>
      <c r="G303" s="2">
        <f>300*3411.19</f>
        <v>1023357</v>
      </c>
      <c r="H303" s="2">
        <f>400*3411.19</f>
        <v>1364476</v>
      </c>
      <c r="I303" s="2">
        <f>300*3411.19</f>
        <v>1023357</v>
      </c>
      <c r="J303" s="2">
        <v>0</v>
      </c>
      <c r="K303" s="21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f t="shared" ref="R303:R307" si="376">Q303*3200</f>
        <v>0</v>
      </c>
      <c r="S303" s="2">
        <v>0</v>
      </c>
      <c r="T303" s="2">
        <v>100000</v>
      </c>
      <c r="U303" s="6" t="e">
        <f t="shared" si="331"/>
        <v>#DIV/0!</v>
      </c>
      <c r="V303" s="1"/>
      <c r="W303" s="1"/>
      <c r="X303" s="1"/>
      <c r="Y303" s="1"/>
      <c r="Z303" s="1"/>
      <c r="AA303" s="1"/>
      <c r="AB303" s="3"/>
    </row>
    <row r="304" spans="1:28" ht="22.9" customHeight="1" x14ac:dyDescent="0.25">
      <c r="A304" s="37" t="s">
        <v>1400</v>
      </c>
      <c r="B304" s="9" t="s">
        <v>682</v>
      </c>
      <c r="C304" s="7">
        <f t="shared" ref="C304" si="377">D304+L304+N304+P304+R304+S304+T304</f>
        <v>1903968.0000000002</v>
      </c>
      <c r="D304" s="2">
        <f t="shared" si="375"/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1">
        <v>0</v>
      </c>
      <c r="L304" s="2">
        <v>0</v>
      </c>
      <c r="M304" s="2">
        <v>288.48</v>
      </c>
      <c r="N304" s="2">
        <f t="shared" ref="N304" si="378">M304*6600</f>
        <v>1903968.0000000002</v>
      </c>
      <c r="O304" s="2">
        <v>0</v>
      </c>
      <c r="P304" s="2">
        <v>0</v>
      </c>
      <c r="Q304" s="2">
        <v>0</v>
      </c>
      <c r="R304" s="2">
        <f t="shared" si="376"/>
        <v>0</v>
      </c>
      <c r="S304" s="2">
        <v>0</v>
      </c>
      <c r="T304" s="2">
        <v>0</v>
      </c>
      <c r="U304" s="6">
        <f t="shared" si="331"/>
        <v>6600</v>
      </c>
      <c r="V304" s="1"/>
      <c r="W304" s="1"/>
      <c r="X304" s="1"/>
      <c r="Y304" s="1"/>
      <c r="Z304" s="1"/>
      <c r="AA304" s="1"/>
      <c r="AB304" s="3"/>
    </row>
    <row r="305" spans="1:28" ht="22.9" customHeight="1" x14ac:dyDescent="0.25">
      <c r="A305" s="37" t="s">
        <v>1401</v>
      </c>
      <c r="B305" s="9" t="s">
        <v>683</v>
      </c>
      <c r="C305" s="7">
        <f>D305+L305+N305+P305+R305+S305+Q305</f>
        <v>6784519.5</v>
      </c>
      <c r="D305" s="2">
        <f t="shared" si="375"/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1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2119.5</v>
      </c>
      <c r="R305" s="2">
        <f t="shared" si="376"/>
        <v>6782400</v>
      </c>
      <c r="S305" s="2">
        <v>0</v>
      </c>
      <c r="T305" s="2">
        <v>0</v>
      </c>
      <c r="U305" s="6" t="e">
        <f t="shared" si="331"/>
        <v>#DIV/0!</v>
      </c>
      <c r="V305" s="1"/>
      <c r="W305" s="1"/>
      <c r="X305" s="1"/>
      <c r="Y305" s="1"/>
      <c r="Z305" s="1"/>
      <c r="AA305" s="1"/>
      <c r="AB305" s="3"/>
    </row>
    <row r="306" spans="1:28" ht="22.9" customHeight="1" x14ac:dyDescent="0.25">
      <c r="A306" s="39" t="s">
        <v>1403</v>
      </c>
      <c r="B306" s="9" t="s">
        <v>783</v>
      </c>
      <c r="C306" s="7">
        <f>D306+L306+N306+P306+R306+S306+T306</f>
        <v>2920500</v>
      </c>
      <c r="D306" s="2">
        <f t="shared" ref="D306" si="379">SUM(E306:J306)</f>
        <v>0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1">
        <v>0</v>
      </c>
      <c r="L306" s="2">
        <v>0</v>
      </c>
      <c r="M306" s="2">
        <v>442.5</v>
      </c>
      <c r="N306" s="2">
        <f>M306*6600</f>
        <v>2920500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6">
        <f>N306/M306</f>
        <v>6600</v>
      </c>
      <c r="V306" s="1"/>
      <c r="W306" s="1"/>
      <c r="X306" s="1"/>
      <c r="Y306" s="1"/>
      <c r="Z306" s="1"/>
      <c r="AA306" s="1"/>
      <c r="AB306" s="3"/>
    </row>
    <row r="307" spans="1:28" ht="22.9" customHeight="1" x14ac:dyDescent="0.25">
      <c r="A307" s="39" t="s">
        <v>1404</v>
      </c>
      <c r="B307" s="20" t="s">
        <v>684</v>
      </c>
      <c r="C307" s="7">
        <f>D307+L307+N307+P307+R307+S307+Q307</f>
        <v>27699390</v>
      </c>
      <c r="D307" s="2">
        <f t="shared" si="375"/>
        <v>13435800.000000002</v>
      </c>
      <c r="E307" s="2">
        <f>700*4478.6</f>
        <v>3135020.0000000005</v>
      </c>
      <c r="F307" s="2">
        <f>1300*4478.6</f>
        <v>5822180.0000000009</v>
      </c>
      <c r="G307" s="2">
        <f>300*4478.6</f>
        <v>1343580</v>
      </c>
      <c r="H307" s="2">
        <f>400*4478.6</f>
        <v>1791440.0000000002</v>
      </c>
      <c r="I307" s="2">
        <f>300*4478.6</f>
        <v>1343580</v>
      </c>
      <c r="J307" s="2">
        <v>0</v>
      </c>
      <c r="K307" s="21">
        <v>0</v>
      </c>
      <c r="L307" s="2">
        <v>0</v>
      </c>
      <c r="M307" s="2">
        <v>1293</v>
      </c>
      <c r="N307" s="2">
        <f t="shared" ref="N307" si="380">M307*6600</f>
        <v>8533800</v>
      </c>
      <c r="O307" s="2">
        <v>0</v>
      </c>
      <c r="P307" s="2">
        <v>0</v>
      </c>
      <c r="Q307" s="2">
        <v>1790</v>
      </c>
      <c r="R307" s="2">
        <f t="shared" si="376"/>
        <v>5728000</v>
      </c>
      <c r="S307" s="2">
        <v>0</v>
      </c>
      <c r="T307" s="2">
        <v>100000</v>
      </c>
      <c r="U307" s="6">
        <f t="shared" si="331"/>
        <v>6600</v>
      </c>
      <c r="V307" s="1"/>
      <c r="W307" s="1"/>
      <c r="X307" s="1"/>
      <c r="Y307" s="1"/>
      <c r="Z307" s="1"/>
      <c r="AA307" s="1"/>
      <c r="AB307" s="3"/>
    </row>
    <row r="308" spans="1:28" ht="22.9" customHeight="1" x14ac:dyDescent="0.25">
      <c r="A308" s="39" t="s">
        <v>1405</v>
      </c>
      <c r="B308" s="20" t="s">
        <v>685</v>
      </c>
      <c r="C308" s="7">
        <f>D308+L308+N308+P308+R308+S308+Q308</f>
        <v>3823200.0000000005</v>
      </c>
      <c r="D308" s="2">
        <f t="shared" ref="D308:D309" si="381">SUM(E308:J308)</f>
        <v>3823200.0000000005</v>
      </c>
      <c r="E308" s="2">
        <f>700*1274.4</f>
        <v>892080.00000000012</v>
      </c>
      <c r="F308" s="2">
        <f>1300*1274.4</f>
        <v>1656720.0000000002</v>
      </c>
      <c r="G308" s="2">
        <f>300*1274.4</f>
        <v>382320</v>
      </c>
      <c r="H308" s="2">
        <f>400*1274.4</f>
        <v>509760.00000000006</v>
      </c>
      <c r="I308" s="2">
        <f>300*1274.4</f>
        <v>382320</v>
      </c>
      <c r="J308" s="2">
        <v>0</v>
      </c>
      <c r="K308" s="21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f t="shared" ref="R308:R309" si="382">Q308*3200</f>
        <v>0</v>
      </c>
      <c r="S308" s="2">
        <v>0</v>
      </c>
      <c r="T308" s="2">
        <v>100000</v>
      </c>
      <c r="U308" s="6" t="e">
        <f t="shared" si="331"/>
        <v>#DIV/0!</v>
      </c>
      <c r="V308" s="1"/>
      <c r="W308" s="1"/>
      <c r="X308" s="1"/>
      <c r="Y308" s="1"/>
      <c r="Z308" s="1"/>
      <c r="AA308" s="1"/>
      <c r="AB308" s="3"/>
    </row>
    <row r="309" spans="1:28" ht="22.9" customHeight="1" x14ac:dyDescent="0.25">
      <c r="A309" s="39" t="s">
        <v>1406</v>
      </c>
      <c r="B309" s="9" t="s">
        <v>686</v>
      </c>
      <c r="C309" s="7">
        <f t="shared" ref="C309" si="383">D309+L309+N309+P309+R309+S309+T309</f>
        <v>2310000</v>
      </c>
      <c r="D309" s="2">
        <f t="shared" si="381"/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1">
        <v>0</v>
      </c>
      <c r="L309" s="2">
        <v>0</v>
      </c>
      <c r="M309" s="2">
        <v>350</v>
      </c>
      <c r="N309" s="2">
        <f t="shared" ref="N309" si="384">M309*6600</f>
        <v>2310000</v>
      </c>
      <c r="O309" s="2">
        <v>0</v>
      </c>
      <c r="P309" s="2">
        <v>0</v>
      </c>
      <c r="Q309" s="2">
        <v>0</v>
      </c>
      <c r="R309" s="2">
        <f t="shared" si="382"/>
        <v>0</v>
      </c>
      <c r="S309" s="2">
        <v>0</v>
      </c>
      <c r="T309" s="2">
        <v>0</v>
      </c>
      <c r="U309" s="6">
        <f t="shared" si="331"/>
        <v>6600</v>
      </c>
      <c r="V309" s="1"/>
      <c r="W309" s="1"/>
      <c r="X309" s="1"/>
      <c r="Y309" s="1"/>
      <c r="Z309" s="1"/>
      <c r="AA309" s="1"/>
      <c r="AB309" s="3"/>
    </row>
    <row r="310" spans="1:28" ht="22.9" customHeight="1" x14ac:dyDescent="0.25">
      <c r="A310" s="39" t="s">
        <v>1407</v>
      </c>
      <c r="B310" s="20" t="s">
        <v>687</v>
      </c>
      <c r="C310" s="7">
        <f t="shared" ref="C310" si="385">D310+L310+N310+P310+R310+S310+T310</f>
        <v>4267560</v>
      </c>
      <c r="D310" s="2">
        <f t="shared" ref="D310" si="386">SUM(E310:J310)</f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1">
        <v>0</v>
      </c>
      <c r="L310" s="2">
        <v>0</v>
      </c>
      <c r="M310" s="2">
        <v>646.6</v>
      </c>
      <c r="N310" s="2">
        <f t="shared" ref="N310" si="387">M310*6600</f>
        <v>4267560</v>
      </c>
      <c r="O310" s="2">
        <v>0</v>
      </c>
      <c r="P310" s="2">
        <v>0</v>
      </c>
      <c r="Q310" s="2">
        <v>0</v>
      </c>
      <c r="R310" s="2">
        <f t="shared" ref="R310" si="388">Q310*3200</f>
        <v>0</v>
      </c>
      <c r="S310" s="2">
        <v>0</v>
      </c>
      <c r="T310" s="2">
        <v>0</v>
      </c>
      <c r="U310" s="6">
        <f t="shared" si="331"/>
        <v>6600</v>
      </c>
      <c r="V310" s="1"/>
      <c r="W310" s="1"/>
      <c r="X310" s="1"/>
      <c r="Y310" s="1"/>
      <c r="Z310" s="1"/>
      <c r="AA310" s="1"/>
      <c r="AB310" s="3"/>
    </row>
    <row r="311" spans="1:28" ht="22.9" customHeight="1" x14ac:dyDescent="0.25">
      <c r="A311" s="39" t="s">
        <v>1408</v>
      </c>
      <c r="B311" s="9" t="s">
        <v>688</v>
      </c>
      <c r="C311" s="7">
        <f t="shared" ref="C311" si="389">D311+L311+N311+P311+R311+S311+T311</f>
        <v>6283200</v>
      </c>
      <c r="D311" s="2">
        <f t="shared" ref="D311" si="390">SUM(E311:J311)</f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1">
        <v>0</v>
      </c>
      <c r="L311" s="2">
        <v>0</v>
      </c>
      <c r="M311" s="2">
        <v>952</v>
      </c>
      <c r="N311" s="2">
        <f t="shared" ref="N311" si="391">M311*6600</f>
        <v>6283200</v>
      </c>
      <c r="O311" s="2">
        <v>0</v>
      </c>
      <c r="P311" s="2">
        <v>0</v>
      </c>
      <c r="Q311" s="2">
        <v>0</v>
      </c>
      <c r="R311" s="2">
        <f t="shared" ref="R311" si="392">Q311*3200</f>
        <v>0</v>
      </c>
      <c r="S311" s="2">
        <v>0</v>
      </c>
      <c r="T311" s="2">
        <v>0</v>
      </c>
      <c r="U311" s="6">
        <f t="shared" si="331"/>
        <v>6600</v>
      </c>
      <c r="V311" s="1"/>
      <c r="W311" s="1"/>
      <c r="X311" s="1"/>
      <c r="Y311" s="1"/>
      <c r="Z311" s="1"/>
      <c r="AA311" s="1"/>
      <c r="AB311" s="3"/>
    </row>
    <row r="312" spans="1:28" ht="22.9" customHeight="1" x14ac:dyDescent="0.25">
      <c r="A312" s="39" t="s">
        <v>1409</v>
      </c>
      <c r="B312" s="20" t="s">
        <v>689</v>
      </c>
      <c r="C312" s="7">
        <f t="shared" ref="C312:C313" si="393">D312+L312+N312+P312+R312+S312+T312</f>
        <v>3751440</v>
      </c>
      <c r="D312" s="2">
        <f t="shared" ref="D312:D313" si="394">SUM(E312:J312)</f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1">
        <v>0</v>
      </c>
      <c r="L312" s="2">
        <v>0</v>
      </c>
      <c r="M312" s="2">
        <v>568.4</v>
      </c>
      <c r="N312" s="2">
        <f t="shared" ref="N312:N313" si="395">M312*6600</f>
        <v>3751440</v>
      </c>
      <c r="O312" s="2">
        <v>0</v>
      </c>
      <c r="P312" s="2">
        <v>0</v>
      </c>
      <c r="Q312" s="2">
        <v>0</v>
      </c>
      <c r="R312" s="2">
        <f t="shared" ref="R312:R313" si="396">Q312*3200</f>
        <v>0</v>
      </c>
      <c r="S312" s="2">
        <v>0</v>
      </c>
      <c r="T312" s="2">
        <v>0</v>
      </c>
      <c r="U312" s="6">
        <f t="shared" si="331"/>
        <v>6600</v>
      </c>
      <c r="V312" s="1"/>
      <c r="W312" s="1"/>
      <c r="X312" s="1"/>
      <c r="Y312" s="1"/>
      <c r="Z312" s="1"/>
      <c r="AA312" s="1"/>
      <c r="AB312" s="3"/>
    </row>
    <row r="313" spans="1:28" ht="22.9" customHeight="1" x14ac:dyDescent="0.25">
      <c r="A313" s="39" t="s">
        <v>1410</v>
      </c>
      <c r="B313" s="9" t="s">
        <v>690</v>
      </c>
      <c r="C313" s="7">
        <f t="shared" si="393"/>
        <v>1593344</v>
      </c>
      <c r="D313" s="2">
        <f t="shared" si="394"/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1">
        <v>0</v>
      </c>
      <c r="L313" s="2">
        <v>0</v>
      </c>
      <c r="M313" s="2">
        <v>0</v>
      </c>
      <c r="N313" s="2">
        <f t="shared" si="395"/>
        <v>0</v>
      </c>
      <c r="O313" s="2">
        <v>0</v>
      </c>
      <c r="P313" s="2">
        <v>0</v>
      </c>
      <c r="Q313" s="2">
        <v>497.92</v>
      </c>
      <c r="R313" s="2">
        <f t="shared" si="396"/>
        <v>1593344</v>
      </c>
      <c r="S313" s="2">
        <v>0</v>
      </c>
      <c r="T313" s="2">
        <v>0</v>
      </c>
      <c r="U313" s="6" t="e">
        <f t="shared" si="331"/>
        <v>#DIV/0!</v>
      </c>
      <c r="V313" s="1"/>
      <c r="W313" s="1"/>
      <c r="X313" s="1"/>
      <c r="Y313" s="1"/>
      <c r="Z313" s="1"/>
      <c r="AA313" s="1"/>
      <c r="AB313" s="3"/>
    </row>
    <row r="314" spans="1:28" ht="22.9" customHeight="1" x14ac:dyDescent="0.25">
      <c r="A314" s="39" t="s">
        <v>1411</v>
      </c>
      <c r="B314" s="9" t="s">
        <v>691</v>
      </c>
      <c r="C314" s="7">
        <f t="shared" ref="C314" si="397">D314+L314+N314+P314+R314+S314+T314</f>
        <v>1655168</v>
      </c>
      <c r="D314" s="2">
        <f t="shared" ref="D314" si="398">SUM(E314:J314)</f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1">
        <v>0</v>
      </c>
      <c r="L314" s="2">
        <v>0</v>
      </c>
      <c r="M314" s="2">
        <v>0</v>
      </c>
      <c r="N314" s="2">
        <f t="shared" ref="N314" si="399">M314*6600</f>
        <v>0</v>
      </c>
      <c r="O314" s="2">
        <v>0</v>
      </c>
      <c r="P314" s="2">
        <v>0</v>
      </c>
      <c r="Q314" s="2">
        <v>517.24</v>
      </c>
      <c r="R314" s="2">
        <f t="shared" ref="R314" si="400">Q314*3200</f>
        <v>1655168</v>
      </c>
      <c r="S314" s="2">
        <v>0</v>
      </c>
      <c r="T314" s="2">
        <v>0</v>
      </c>
      <c r="U314" s="6" t="e">
        <f t="shared" si="331"/>
        <v>#DIV/0!</v>
      </c>
      <c r="V314" s="1"/>
      <c r="W314" s="1"/>
      <c r="X314" s="1"/>
      <c r="Y314" s="1"/>
      <c r="Z314" s="1"/>
      <c r="AA314" s="1"/>
      <c r="AB314" s="3"/>
    </row>
    <row r="315" spans="1:28" ht="22.9" customHeight="1" x14ac:dyDescent="0.25">
      <c r="A315" s="39" t="s">
        <v>1412</v>
      </c>
      <c r="B315" s="9" t="s">
        <v>692</v>
      </c>
      <c r="C315" s="7">
        <f t="shared" ref="C315" si="401">D315+L315+N315+P315+R315+S315+T315</f>
        <v>1859072</v>
      </c>
      <c r="D315" s="2">
        <f t="shared" ref="D315" si="402">SUM(E315:J315)</f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1">
        <v>0</v>
      </c>
      <c r="L315" s="2">
        <v>0</v>
      </c>
      <c r="M315" s="2">
        <v>0</v>
      </c>
      <c r="N315" s="2">
        <f t="shared" ref="N315" si="403">M315*6600</f>
        <v>0</v>
      </c>
      <c r="O315" s="2">
        <v>0</v>
      </c>
      <c r="P315" s="2">
        <v>0</v>
      </c>
      <c r="Q315" s="2">
        <v>580.96</v>
      </c>
      <c r="R315" s="2">
        <f t="shared" ref="R315" si="404">Q315*3200</f>
        <v>1859072</v>
      </c>
      <c r="S315" s="2">
        <v>0</v>
      </c>
      <c r="T315" s="2">
        <v>0</v>
      </c>
      <c r="U315" s="6" t="e">
        <f t="shared" si="331"/>
        <v>#DIV/0!</v>
      </c>
      <c r="V315" s="1"/>
      <c r="W315" s="1"/>
      <c r="X315" s="1"/>
      <c r="Y315" s="1"/>
      <c r="Z315" s="1"/>
      <c r="AA315" s="1"/>
      <c r="AB315" s="3"/>
    </row>
    <row r="316" spans="1:28" ht="22.9" customHeight="1" x14ac:dyDescent="0.25">
      <c r="A316" s="39" t="s">
        <v>1413</v>
      </c>
      <c r="B316" s="9" t="s">
        <v>693</v>
      </c>
      <c r="C316" s="7">
        <f t="shared" ref="C316" si="405">D316+L316+N316+P316+R316+S316+T316</f>
        <v>1673343.9999999998</v>
      </c>
      <c r="D316" s="2">
        <f t="shared" ref="D316" si="406">SUM(E316:J316)</f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1">
        <v>0</v>
      </c>
      <c r="L316" s="2">
        <v>0</v>
      </c>
      <c r="M316" s="2">
        <v>0</v>
      </c>
      <c r="N316" s="2">
        <f t="shared" ref="N316" si="407">M316*6600</f>
        <v>0</v>
      </c>
      <c r="O316" s="2">
        <v>0</v>
      </c>
      <c r="P316" s="2">
        <v>0</v>
      </c>
      <c r="Q316" s="2">
        <v>522.91999999999996</v>
      </c>
      <c r="R316" s="2">
        <f t="shared" ref="R316" si="408">Q316*3200</f>
        <v>1673343.9999999998</v>
      </c>
      <c r="S316" s="2">
        <v>0</v>
      </c>
      <c r="T316" s="2">
        <v>0</v>
      </c>
      <c r="U316" s="6" t="e">
        <f t="shared" si="331"/>
        <v>#DIV/0!</v>
      </c>
      <c r="V316" s="1"/>
      <c r="W316" s="1"/>
      <c r="X316" s="1"/>
      <c r="Y316" s="1"/>
      <c r="Z316" s="1"/>
      <c r="AA316" s="1"/>
      <c r="AB316" s="3"/>
    </row>
    <row r="317" spans="1:28" ht="22.9" customHeight="1" x14ac:dyDescent="0.25">
      <c r="A317" s="39" t="s">
        <v>1414</v>
      </c>
      <c r="B317" s="9" t="s">
        <v>694</v>
      </c>
      <c r="C317" s="7">
        <f t="shared" ref="C317:C318" si="409">D317+L317+N317+P317+R317+S317+T317</f>
        <v>1848768</v>
      </c>
      <c r="D317" s="2">
        <f t="shared" ref="D317:D318" si="410">SUM(E317:J317)</f>
        <v>0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1">
        <v>0</v>
      </c>
      <c r="L317" s="2">
        <v>0</v>
      </c>
      <c r="M317" s="2">
        <v>0</v>
      </c>
      <c r="N317" s="2">
        <f t="shared" ref="N317:N318" si="411">M317*6600</f>
        <v>0</v>
      </c>
      <c r="O317" s="2">
        <v>0</v>
      </c>
      <c r="P317" s="2">
        <v>0</v>
      </c>
      <c r="Q317" s="2">
        <v>577.74</v>
      </c>
      <c r="R317" s="2">
        <f t="shared" ref="R317:R318" si="412">Q317*3200</f>
        <v>1848768</v>
      </c>
      <c r="S317" s="2">
        <v>0</v>
      </c>
      <c r="T317" s="2">
        <v>0</v>
      </c>
      <c r="U317" s="6" t="e">
        <f t="shared" si="331"/>
        <v>#DIV/0!</v>
      </c>
      <c r="V317" s="1"/>
      <c r="W317" s="1"/>
      <c r="X317" s="1"/>
      <c r="Y317" s="1"/>
      <c r="Z317" s="1"/>
      <c r="AA317" s="1"/>
      <c r="AB317" s="3"/>
    </row>
    <row r="318" spans="1:28" ht="22.9" customHeight="1" x14ac:dyDescent="0.25">
      <c r="A318" s="39" t="s">
        <v>1415</v>
      </c>
      <c r="B318" s="20" t="s">
        <v>695</v>
      </c>
      <c r="C318" s="7">
        <f t="shared" si="409"/>
        <v>3791700</v>
      </c>
      <c r="D318" s="2">
        <f t="shared" si="410"/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1">
        <v>0</v>
      </c>
      <c r="L318" s="2">
        <v>0</v>
      </c>
      <c r="M318" s="2">
        <v>574.5</v>
      </c>
      <c r="N318" s="2">
        <f t="shared" si="411"/>
        <v>3791700</v>
      </c>
      <c r="O318" s="2">
        <v>0</v>
      </c>
      <c r="P318" s="2">
        <v>0</v>
      </c>
      <c r="Q318" s="2">
        <v>0</v>
      </c>
      <c r="R318" s="2">
        <f t="shared" si="412"/>
        <v>0</v>
      </c>
      <c r="S318" s="2">
        <v>0</v>
      </c>
      <c r="T318" s="2">
        <v>0</v>
      </c>
      <c r="U318" s="6">
        <f t="shared" si="331"/>
        <v>6600</v>
      </c>
      <c r="V318" s="1"/>
      <c r="W318" s="1"/>
      <c r="X318" s="1"/>
      <c r="Y318" s="1"/>
      <c r="Z318" s="1"/>
      <c r="AA318" s="1"/>
      <c r="AB318" s="3"/>
    </row>
    <row r="319" spans="1:28" ht="22.9" customHeight="1" x14ac:dyDescent="0.25">
      <c r="A319" s="39" t="s">
        <v>1416</v>
      </c>
      <c r="B319" s="9" t="s">
        <v>696</v>
      </c>
      <c r="C319" s="7">
        <f t="shared" ref="C319" si="413">D319+L319+N319+P319+R319+S319+T319</f>
        <v>6908682</v>
      </c>
      <c r="D319" s="2">
        <f t="shared" ref="D319" si="414">SUM(E319:J319)</f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1">
        <v>0</v>
      </c>
      <c r="L319" s="2">
        <v>0</v>
      </c>
      <c r="M319" s="2">
        <v>1046.77</v>
      </c>
      <c r="N319" s="2">
        <f t="shared" ref="N319" si="415">M319*6600</f>
        <v>6908682</v>
      </c>
      <c r="O319" s="2">
        <v>0</v>
      </c>
      <c r="P319" s="2">
        <v>0</v>
      </c>
      <c r="Q319" s="2">
        <v>0</v>
      </c>
      <c r="R319" s="2">
        <f t="shared" ref="R319" si="416">Q319*3200</f>
        <v>0</v>
      </c>
      <c r="S319" s="2">
        <v>0</v>
      </c>
      <c r="T319" s="2">
        <v>0</v>
      </c>
      <c r="U319" s="6">
        <f t="shared" si="331"/>
        <v>6600</v>
      </c>
      <c r="V319" s="1"/>
      <c r="W319" s="1"/>
      <c r="X319" s="1"/>
      <c r="Y319" s="1"/>
      <c r="Z319" s="1"/>
      <c r="AA319" s="1"/>
      <c r="AB319" s="3"/>
    </row>
    <row r="320" spans="1:28" ht="22.9" customHeight="1" x14ac:dyDescent="0.25">
      <c r="A320" s="39" t="s">
        <v>1417</v>
      </c>
      <c r="B320" s="9" t="s">
        <v>697</v>
      </c>
      <c r="C320" s="7">
        <f t="shared" ref="C320" si="417">D320+L320+N320+P320+R320+S320+T320</f>
        <v>3652704.0000000005</v>
      </c>
      <c r="D320" s="2">
        <f t="shared" ref="D320" si="418">SUM(E320:J320)</f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1">
        <v>0</v>
      </c>
      <c r="L320" s="2">
        <v>0</v>
      </c>
      <c r="M320" s="2">
        <v>553.44000000000005</v>
      </c>
      <c r="N320" s="2">
        <f t="shared" ref="N320" si="419">M320*6600</f>
        <v>3652704.0000000005</v>
      </c>
      <c r="O320" s="2">
        <v>0</v>
      </c>
      <c r="P320" s="2">
        <v>0</v>
      </c>
      <c r="Q320" s="2">
        <v>0</v>
      </c>
      <c r="R320" s="2">
        <f t="shared" ref="R320" si="420">Q320*3200</f>
        <v>0</v>
      </c>
      <c r="S320" s="2">
        <v>0</v>
      </c>
      <c r="T320" s="2">
        <v>0</v>
      </c>
      <c r="U320" s="6">
        <f t="shared" si="331"/>
        <v>6600</v>
      </c>
      <c r="V320" s="1"/>
      <c r="W320" s="1"/>
      <c r="X320" s="1"/>
      <c r="Y320" s="1"/>
      <c r="Z320" s="1"/>
      <c r="AA320" s="1"/>
      <c r="AB320" s="3"/>
    </row>
    <row r="321" spans="1:28" ht="22.9" customHeight="1" x14ac:dyDescent="0.25">
      <c r="A321" s="39" t="s">
        <v>1418</v>
      </c>
      <c r="B321" s="9" t="s">
        <v>698</v>
      </c>
      <c r="C321" s="7">
        <f t="shared" ref="C321" si="421">D321+L321+N321+P321+R321+S321+T321</f>
        <v>5624916</v>
      </c>
      <c r="D321" s="2">
        <f t="shared" ref="D321" si="422">SUM(E321:J321)</f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1">
        <v>0</v>
      </c>
      <c r="L321" s="2">
        <v>0</v>
      </c>
      <c r="M321" s="2">
        <v>852.26</v>
      </c>
      <c r="N321" s="2">
        <f t="shared" ref="N321" si="423">M321*6600</f>
        <v>5624916</v>
      </c>
      <c r="O321" s="2">
        <v>0</v>
      </c>
      <c r="P321" s="2">
        <v>0</v>
      </c>
      <c r="Q321" s="2">
        <v>0</v>
      </c>
      <c r="R321" s="2">
        <f t="shared" ref="R321" si="424">Q321*3200</f>
        <v>0</v>
      </c>
      <c r="S321" s="2">
        <v>0</v>
      </c>
      <c r="T321" s="2">
        <v>0</v>
      </c>
      <c r="U321" s="6">
        <f t="shared" si="331"/>
        <v>6600</v>
      </c>
      <c r="V321" s="1"/>
      <c r="W321" s="1"/>
      <c r="X321" s="1"/>
      <c r="Y321" s="1"/>
      <c r="Z321" s="1"/>
      <c r="AA321" s="1"/>
      <c r="AB321" s="3"/>
    </row>
    <row r="322" spans="1:28" ht="22.9" customHeight="1" x14ac:dyDescent="0.25">
      <c r="A322" s="39" t="s">
        <v>1419</v>
      </c>
      <c r="B322" s="9" t="s">
        <v>699</v>
      </c>
      <c r="C322" s="7">
        <f t="shared" ref="C322" si="425">D322+L322+N322+P322+R322+S322+T322</f>
        <v>3693162.0000000005</v>
      </c>
      <c r="D322" s="2">
        <f t="shared" ref="D322:D324" si="426">SUM(E322:J322)</f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1">
        <v>0</v>
      </c>
      <c r="L322" s="2">
        <v>0</v>
      </c>
      <c r="M322" s="2">
        <v>559.57000000000005</v>
      </c>
      <c r="N322" s="2">
        <f t="shared" ref="N322" si="427">M322*6600</f>
        <v>3693162.0000000005</v>
      </c>
      <c r="O322" s="2">
        <v>0</v>
      </c>
      <c r="P322" s="2">
        <v>0</v>
      </c>
      <c r="Q322" s="2">
        <v>0</v>
      </c>
      <c r="R322" s="2">
        <f t="shared" ref="R322:R324" si="428">Q322*3200</f>
        <v>0</v>
      </c>
      <c r="S322" s="2">
        <v>0</v>
      </c>
      <c r="T322" s="2">
        <v>0</v>
      </c>
      <c r="U322" s="6">
        <f t="shared" si="331"/>
        <v>6600</v>
      </c>
      <c r="V322" s="1"/>
      <c r="W322" s="1"/>
      <c r="X322" s="1"/>
      <c r="Y322" s="1"/>
      <c r="Z322" s="1"/>
      <c r="AA322" s="1"/>
      <c r="AB322" s="3"/>
    </row>
    <row r="323" spans="1:28" ht="22.9" customHeight="1" x14ac:dyDescent="0.25">
      <c r="A323" s="39" t="s">
        <v>1420</v>
      </c>
      <c r="B323" s="9" t="s">
        <v>700</v>
      </c>
      <c r="C323" s="7">
        <f>D323+L323+N323+P323+R323+S323+Q323</f>
        <v>4811700</v>
      </c>
      <c r="D323" s="2">
        <f t="shared" si="426"/>
        <v>4811700</v>
      </c>
      <c r="E323" s="2">
        <f>700*1603.9</f>
        <v>1122730</v>
      </c>
      <c r="F323" s="2">
        <f>1300*1603.9</f>
        <v>2085070.0000000002</v>
      </c>
      <c r="G323" s="2">
        <f>300*1603.9</f>
        <v>481170</v>
      </c>
      <c r="H323" s="2">
        <f>400*1603.9</f>
        <v>641560</v>
      </c>
      <c r="I323" s="2">
        <f>300*1603.9</f>
        <v>481170</v>
      </c>
      <c r="J323" s="2">
        <v>0</v>
      </c>
      <c r="K323" s="21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f t="shared" si="428"/>
        <v>0</v>
      </c>
      <c r="S323" s="2">
        <v>0</v>
      </c>
      <c r="T323" s="2">
        <v>100000</v>
      </c>
      <c r="U323" s="6" t="e">
        <f t="shared" si="331"/>
        <v>#DIV/0!</v>
      </c>
      <c r="V323" s="1"/>
      <c r="W323" s="1"/>
      <c r="X323" s="1"/>
      <c r="Y323" s="1"/>
      <c r="Z323" s="1"/>
      <c r="AA323" s="1"/>
      <c r="AB323" s="3"/>
    </row>
    <row r="324" spans="1:28" ht="22.9" customHeight="1" x14ac:dyDescent="0.25">
      <c r="A324" s="39" t="s">
        <v>1421</v>
      </c>
      <c r="B324" s="9" t="s">
        <v>701</v>
      </c>
      <c r="C324" s="7">
        <f t="shared" ref="C324" si="429">D324+L324+N324+P324+R324+S324+T324</f>
        <v>1626240</v>
      </c>
      <c r="D324" s="2">
        <f t="shared" si="426"/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1">
        <v>0</v>
      </c>
      <c r="L324" s="2">
        <v>0</v>
      </c>
      <c r="M324" s="2">
        <v>0</v>
      </c>
      <c r="N324" s="2">
        <f t="shared" ref="N324" si="430">M324*6600</f>
        <v>0</v>
      </c>
      <c r="O324" s="2">
        <v>0</v>
      </c>
      <c r="P324" s="2">
        <v>0</v>
      </c>
      <c r="Q324" s="2">
        <v>508.2</v>
      </c>
      <c r="R324" s="2">
        <f t="shared" si="428"/>
        <v>1626240</v>
      </c>
      <c r="S324" s="2">
        <v>0</v>
      </c>
      <c r="T324" s="2">
        <v>0</v>
      </c>
      <c r="U324" s="6" t="e">
        <f t="shared" si="331"/>
        <v>#DIV/0!</v>
      </c>
      <c r="V324" s="1"/>
      <c r="W324" s="1"/>
      <c r="X324" s="1"/>
      <c r="Y324" s="1"/>
      <c r="Z324" s="1"/>
      <c r="AA324" s="1"/>
      <c r="AB324" s="3"/>
    </row>
    <row r="325" spans="1:28" ht="22.9" customHeight="1" x14ac:dyDescent="0.25">
      <c r="A325" s="39" t="s">
        <v>1422</v>
      </c>
      <c r="B325" s="9" t="s">
        <v>702</v>
      </c>
      <c r="C325" s="7">
        <f t="shared" ref="C325:C326" si="431">D325+L325+N325+P325+R325+S325+T325</f>
        <v>1636416</v>
      </c>
      <c r="D325" s="2">
        <f t="shared" ref="D325:D326" si="432">SUM(E325:J325)</f>
        <v>0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1">
        <v>0</v>
      </c>
      <c r="L325" s="2">
        <v>0</v>
      </c>
      <c r="M325" s="2">
        <v>0</v>
      </c>
      <c r="N325" s="2">
        <f t="shared" ref="N325:N326" si="433">M325*6600</f>
        <v>0</v>
      </c>
      <c r="O325" s="2">
        <v>0</v>
      </c>
      <c r="P325" s="2">
        <v>0</v>
      </c>
      <c r="Q325" s="2">
        <v>511.38</v>
      </c>
      <c r="R325" s="2">
        <f t="shared" ref="R325:R326" si="434">Q325*3200</f>
        <v>1636416</v>
      </c>
      <c r="S325" s="2">
        <v>0</v>
      </c>
      <c r="T325" s="2">
        <v>0</v>
      </c>
      <c r="U325" s="6" t="e">
        <f t="shared" si="331"/>
        <v>#DIV/0!</v>
      </c>
      <c r="V325" s="1"/>
      <c r="W325" s="1"/>
      <c r="X325" s="1"/>
      <c r="Y325" s="1"/>
      <c r="Z325" s="1"/>
      <c r="AA325" s="1"/>
      <c r="AB325" s="3"/>
    </row>
    <row r="326" spans="1:28" ht="22.9" customHeight="1" x14ac:dyDescent="0.25">
      <c r="A326" s="39" t="s">
        <v>1423</v>
      </c>
      <c r="B326" s="9" t="s">
        <v>703</v>
      </c>
      <c r="C326" s="7">
        <f t="shared" si="431"/>
        <v>5966400</v>
      </c>
      <c r="D326" s="2">
        <f t="shared" si="432"/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1">
        <v>0</v>
      </c>
      <c r="L326" s="2">
        <v>0</v>
      </c>
      <c r="M326" s="2">
        <v>904</v>
      </c>
      <c r="N326" s="2">
        <f t="shared" si="433"/>
        <v>5966400</v>
      </c>
      <c r="O326" s="2">
        <v>0</v>
      </c>
      <c r="P326" s="2">
        <v>0</v>
      </c>
      <c r="Q326" s="2">
        <v>0</v>
      </c>
      <c r="R326" s="2">
        <f t="shared" si="434"/>
        <v>0</v>
      </c>
      <c r="S326" s="2">
        <v>0</v>
      </c>
      <c r="T326" s="2">
        <v>0</v>
      </c>
      <c r="U326" s="6">
        <f t="shared" si="331"/>
        <v>6600</v>
      </c>
      <c r="V326" s="1"/>
      <c r="W326" s="1"/>
      <c r="X326" s="1"/>
      <c r="Y326" s="1"/>
      <c r="Z326" s="1"/>
      <c r="AA326" s="1"/>
      <c r="AB326" s="3"/>
    </row>
    <row r="327" spans="1:28" ht="22.9" customHeight="1" x14ac:dyDescent="0.25">
      <c r="A327" s="39" t="s">
        <v>1424</v>
      </c>
      <c r="B327" s="9" t="s">
        <v>704</v>
      </c>
      <c r="C327" s="7">
        <f t="shared" ref="C327" si="435">D327+L327+N327+P327+R327+S327+T327</f>
        <v>6184200</v>
      </c>
      <c r="D327" s="2">
        <f t="shared" ref="D327" si="436">SUM(E327:J327)</f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1">
        <v>0</v>
      </c>
      <c r="L327" s="2">
        <v>0</v>
      </c>
      <c r="M327" s="2">
        <v>937</v>
      </c>
      <c r="N327" s="2">
        <f t="shared" ref="N327" si="437">M327*6600</f>
        <v>6184200</v>
      </c>
      <c r="O327" s="2">
        <v>0</v>
      </c>
      <c r="P327" s="2">
        <v>0</v>
      </c>
      <c r="Q327" s="2">
        <v>0</v>
      </c>
      <c r="R327" s="2">
        <f t="shared" ref="R327" si="438">Q327*3200</f>
        <v>0</v>
      </c>
      <c r="S327" s="2">
        <v>0</v>
      </c>
      <c r="T327" s="2">
        <v>0</v>
      </c>
      <c r="U327" s="6">
        <f t="shared" si="331"/>
        <v>6600</v>
      </c>
      <c r="V327" s="1"/>
      <c r="W327" s="1"/>
      <c r="X327" s="1"/>
      <c r="Y327" s="1"/>
      <c r="Z327" s="1"/>
      <c r="AA327" s="1"/>
      <c r="AB327" s="3"/>
    </row>
    <row r="328" spans="1:28" ht="22.9" customHeight="1" x14ac:dyDescent="0.25">
      <c r="A328" s="39" t="s">
        <v>1425</v>
      </c>
      <c r="B328" s="9" t="s">
        <v>705</v>
      </c>
      <c r="C328" s="7">
        <f t="shared" ref="C328" si="439">D328+L328+N328+P328+R328+S328+T328</f>
        <v>5966400</v>
      </c>
      <c r="D328" s="2">
        <f t="shared" ref="D328:D329" si="440">SUM(E328:J328)</f>
        <v>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1">
        <v>0</v>
      </c>
      <c r="L328" s="2">
        <v>0</v>
      </c>
      <c r="M328" s="2">
        <v>904</v>
      </c>
      <c r="N328" s="2">
        <f t="shared" ref="N328" si="441">M328*6600</f>
        <v>5966400</v>
      </c>
      <c r="O328" s="2">
        <v>0</v>
      </c>
      <c r="P328" s="2">
        <v>0</v>
      </c>
      <c r="Q328" s="2">
        <v>0</v>
      </c>
      <c r="R328" s="2">
        <f t="shared" ref="R328:R329" si="442">Q328*3200</f>
        <v>0</v>
      </c>
      <c r="S328" s="2">
        <v>0</v>
      </c>
      <c r="T328" s="2">
        <v>0</v>
      </c>
      <c r="U328" s="6">
        <f t="shared" si="331"/>
        <v>6600</v>
      </c>
      <c r="V328" s="1"/>
      <c r="W328" s="1"/>
      <c r="X328" s="1"/>
      <c r="Y328" s="1"/>
      <c r="Z328" s="1"/>
      <c r="AA328" s="1"/>
      <c r="AB328" s="3"/>
    </row>
    <row r="329" spans="1:28" ht="19.899999999999999" customHeight="1" x14ac:dyDescent="0.25">
      <c r="A329" s="39" t="s">
        <v>1426</v>
      </c>
      <c r="B329" s="9" t="s">
        <v>805</v>
      </c>
      <c r="C329" s="7">
        <f>D329+L329+N329+P329+R329+S329+Q329</f>
        <v>17242897.379999999</v>
      </c>
      <c r="D329" s="2">
        <f t="shared" si="440"/>
        <v>9639570</v>
      </c>
      <c r="E329" s="2">
        <f>700*3213.19</f>
        <v>2249233</v>
      </c>
      <c r="F329" s="2">
        <f>1300*3213.19</f>
        <v>4177147</v>
      </c>
      <c r="G329" s="2">
        <f>300*3213.19</f>
        <v>963957</v>
      </c>
      <c r="H329" s="2">
        <f>400*3213.19</f>
        <v>1285276</v>
      </c>
      <c r="I329" s="2">
        <f>300*3213.19</f>
        <v>963957</v>
      </c>
      <c r="J329" s="2">
        <v>0</v>
      </c>
      <c r="K329" s="21">
        <v>0</v>
      </c>
      <c r="L329" s="2">
        <v>0</v>
      </c>
      <c r="M329" s="2">
        <v>904</v>
      </c>
      <c r="N329" s="2">
        <f t="shared" ref="N329" si="443">M329*6600</f>
        <v>5966400</v>
      </c>
      <c r="O329" s="2">
        <v>0</v>
      </c>
      <c r="P329" s="2">
        <v>0</v>
      </c>
      <c r="Q329" s="2">
        <v>511.38</v>
      </c>
      <c r="R329" s="2">
        <f t="shared" si="442"/>
        <v>1636416</v>
      </c>
      <c r="S329" s="2">
        <v>0</v>
      </c>
      <c r="T329" s="2">
        <v>100000</v>
      </c>
      <c r="U329" s="6">
        <f t="shared" si="331"/>
        <v>6600</v>
      </c>
      <c r="V329" s="1"/>
      <c r="W329" s="1"/>
      <c r="X329" s="1"/>
      <c r="Y329" s="1"/>
      <c r="Z329" s="1"/>
      <c r="AA329" s="1"/>
      <c r="AB329" s="3"/>
    </row>
    <row r="330" spans="1:28" ht="22.9" customHeight="1" x14ac:dyDescent="0.25">
      <c r="A330" s="39" t="s">
        <v>1427</v>
      </c>
      <c r="B330" s="9" t="s">
        <v>706</v>
      </c>
      <c r="C330" s="7">
        <f t="shared" ref="C330:C331" si="444">D330+L330+N330+P330+R330+S330+T330</f>
        <v>813600</v>
      </c>
      <c r="D330" s="2">
        <f t="shared" ref="D330:D331" si="445">SUM(E330:J330)</f>
        <v>0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1">
        <v>0</v>
      </c>
      <c r="L330" s="2">
        <v>0</v>
      </c>
      <c r="M330" s="2">
        <v>0</v>
      </c>
      <c r="N330" s="2">
        <v>0</v>
      </c>
      <c r="O330" s="2">
        <v>678</v>
      </c>
      <c r="P330" s="2">
        <f>O330*1200</f>
        <v>813600</v>
      </c>
      <c r="Q330" s="2">
        <v>0</v>
      </c>
      <c r="R330" s="2">
        <f t="shared" ref="R330:R331" si="446">Q330*3200</f>
        <v>0</v>
      </c>
      <c r="S330" s="2">
        <v>0</v>
      </c>
      <c r="T330" s="2">
        <v>0</v>
      </c>
      <c r="U330" s="6" t="e">
        <f t="shared" si="331"/>
        <v>#DIV/0!</v>
      </c>
      <c r="V330" s="1"/>
      <c r="W330" s="1"/>
      <c r="X330" s="1"/>
      <c r="Y330" s="1"/>
      <c r="Z330" s="1"/>
      <c r="AA330" s="1"/>
      <c r="AB330" s="3"/>
    </row>
    <row r="331" spans="1:28" ht="22.9" customHeight="1" x14ac:dyDescent="0.25">
      <c r="A331" s="39" t="s">
        <v>1428</v>
      </c>
      <c r="B331" s="9" t="s">
        <v>707</v>
      </c>
      <c r="C331" s="7">
        <f t="shared" si="444"/>
        <v>5972340</v>
      </c>
      <c r="D331" s="2">
        <f t="shared" si="445"/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1">
        <v>0</v>
      </c>
      <c r="L331" s="2">
        <v>0</v>
      </c>
      <c r="M331" s="2">
        <v>904.9</v>
      </c>
      <c r="N331" s="2">
        <f t="shared" ref="N331" si="447">M331*6600</f>
        <v>5972340</v>
      </c>
      <c r="O331" s="2">
        <v>0</v>
      </c>
      <c r="P331" s="2">
        <v>0</v>
      </c>
      <c r="Q331" s="2">
        <v>0</v>
      </c>
      <c r="R331" s="2">
        <f t="shared" si="446"/>
        <v>0</v>
      </c>
      <c r="S331" s="2">
        <v>0</v>
      </c>
      <c r="T331" s="2">
        <v>0</v>
      </c>
      <c r="U331" s="6">
        <f t="shared" si="331"/>
        <v>6600</v>
      </c>
      <c r="V331" s="1"/>
      <c r="W331" s="1"/>
      <c r="X331" s="1"/>
      <c r="Y331" s="1"/>
      <c r="Z331" s="1"/>
      <c r="AA331" s="1"/>
      <c r="AB331" s="3"/>
    </row>
    <row r="332" spans="1:28" ht="22.9" customHeight="1" x14ac:dyDescent="0.25">
      <c r="A332" s="39" t="s">
        <v>1429</v>
      </c>
      <c r="B332" s="9" t="s">
        <v>708</v>
      </c>
      <c r="C332" s="7">
        <f t="shared" ref="C332" si="448">D332+L332+N332+P332+R332+S332+T332</f>
        <v>5966400</v>
      </c>
      <c r="D332" s="2">
        <f t="shared" ref="D332:D333" si="449">SUM(E332:J332)</f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1">
        <v>0</v>
      </c>
      <c r="L332" s="2">
        <v>0</v>
      </c>
      <c r="M332" s="2">
        <v>904</v>
      </c>
      <c r="N332" s="2">
        <f t="shared" ref="N332:N333" si="450">M332*6600</f>
        <v>5966400</v>
      </c>
      <c r="O332" s="2">
        <v>0</v>
      </c>
      <c r="P332" s="2">
        <v>0</v>
      </c>
      <c r="Q332" s="2">
        <v>0</v>
      </c>
      <c r="R332" s="2">
        <f t="shared" ref="R332:R333" si="451">Q332*3200</f>
        <v>0</v>
      </c>
      <c r="S332" s="2">
        <v>0</v>
      </c>
      <c r="T332" s="2">
        <v>0</v>
      </c>
      <c r="U332" s="6">
        <f t="shared" si="331"/>
        <v>6600</v>
      </c>
      <c r="V332" s="1"/>
      <c r="W332" s="1"/>
      <c r="X332" s="1"/>
      <c r="Y332" s="1"/>
      <c r="Z332" s="1"/>
      <c r="AA332" s="1"/>
      <c r="AB332" s="3"/>
    </row>
    <row r="333" spans="1:28" ht="22.9" customHeight="1" x14ac:dyDescent="0.25">
      <c r="A333" s="39" t="s">
        <v>1430</v>
      </c>
      <c r="B333" s="9" t="s">
        <v>709</v>
      </c>
      <c r="C333" s="7">
        <f>D333+L333+N333+P333+R333+S333+Q333</f>
        <v>5073405.4800000004</v>
      </c>
      <c r="D333" s="2">
        <f t="shared" si="449"/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1">
        <v>0</v>
      </c>
      <c r="L333" s="2">
        <v>0</v>
      </c>
      <c r="M333" s="2">
        <v>521.6</v>
      </c>
      <c r="N333" s="2">
        <f t="shared" si="450"/>
        <v>3442560</v>
      </c>
      <c r="O333" s="2">
        <v>0</v>
      </c>
      <c r="P333" s="2">
        <v>0</v>
      </c>
      <c r="Q333" s="2">
        <v>509.48</v>
      </c>
      <c r="R333" s="2">
        <f t="shared" si="451"/>
        <v>1630336</v>
      </c>
      <c r="S333" s="2">
        <v>0</v>
      </c>
      <c r="T333" s="2">
        <v>0</v>
      </c>
      <c r="U333" s="6">
        <f t="shared" si="331"/>
        <v>6600</v>
      </c>
      <c r="V333" s="1"/>
      <c r="W333" s="1"/>
      <c r="X333" s="1"/>
      <c r="Y333" s="1"/>
      <c r="Z333" s="1"/>
      <c r="AA333" s="1"/>
      <c r="AB333" s="3"/>
    </row>
    <row r="334" spans="1:28" ht="22.9" customHeight="1" x14ac:dyDescent="0.25">
      <c r="A334" s="39" t="s">
        <v>1431</v>
      </c>
      <c r="B334" s="9" t="s">
        <v>710</v>
      </c>
      <c r="C334" s="7">
        <f t="shared" ref="C334" si="452">D334+L334+N334+P334+R334+S334+T334</f>
        <v>7108200</v>
      </c>
      <c r="D334" s="2">
        <f t="shared" ref="D334" si="453">SUM(E334:J334)</f>
        <v>0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1">
        <v>0</v>
      </c>
      <c r="L334" s="2">
        <v>0</v>
      </c>
      <c r="M334" s="2">
        <v>1077</v>
      </c>
      <c r="N334" s="2">
        <f t="shared" ref="N334" si="454">M334*6600</f>
        <v>7108200</v>
      </c>
      <c r="O334" s="2">
        <v>0</v>
      </c>
      <c r="P334" s="2">
        <v>0</v>
      </c>
      <c r="Q334" s="2">
        <v>0</v>
      </c>
      <c r="R334" s="2">
        <f t="shared" ref="R334" si="455">Q334*3200</f>
        <v>0</v>
      </c>
      <c r="S334" s="2">
        <v>0</v>
      </c>
      <c r="T334" s="2">
        <v>0</v>
      </c>
      <c r="U334" s="6">
        <f t="shared" si="331"/>
        <v>6600</v>
      </c>
      <c r="V334" s="1"/>
      <c r="W334" s="1"/>
      <c r="X334" s="1"/>
      <c r="Y334" s="1"/>
      <c r="Z334" s="1"/>
      <c r="AA334" s="1"/>
      <c r="AB334" s="3"/>
    </row>
    <row r="335" spans="1:28" ht="22.9" customHeight="1" x14ac:dyDescent="0.25">
      <c r="A335" s="39" t="s">
        <v>1432</v>
      </c>
      <c r="B335" s="9" t="s">
        <v>711</v>
      </c>
      <c r="C335" s="7">
        <f t="shared" ref="C335" si="456">D335+L335+N335+P335+R335+S335+T335</f>
        <v>8045320</v>
      </c>
      <c r="D335" s="2">
        <f t="shared" ref="D335" si="457">SUM(E335:J335)</f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1">
        <v>0</v>
      </c>
      <c r="L335" s="2">
        <v>0</v>
      </c>
      <c r="M335" s="2">
        <v>1090.2</v>
      </c>
      <c r="N335" s="2">
        <f>M335*6600</f>
        <v>7195320</v>
      </c>
      <c r="O335" s="2">
        <v>0</v>
      </c>
      <c r="P335" s="2">
        <v>0</v>
      </c>
      <c r="Q335" s="2">
        <v>0</v>
      </c>
      <c r="R335" s="2">
        <f t="shared" ref="R335:R336" si="458">Q335*3200</f>
        <v>0</v>
      </c>
      <c r="S335" s="2">
        <v>0</v>
      </c>
      <c r="T335" s="2">
        <v>850000</v>
      </c>
      <c r="U335" s="6">
        <f t="shared" si="331"/>
        <v>6600</v>
      </c>
      <c r="V335" s="1"/>
      <c r="W335" s="1"/>
      <c r="X335" s="1"/>
      <c r="Y335" s="1"/>
      <c r="Z335" s="1"/>
      <c r="AA335" s="1"/>
      <c r="AB335" s="3"/>
    </row>
    <row r="336" spans="1:28" ht="22.9" customHeight="1" x14ac:dyDescent="0.25">
      <c r="A336" s="39" t="s">
        <v>1433</v>
      </c>
      <c r="B336" s="9" t="s">
        <v>712</v>
      </c>
      <c r="C336" s="7">
        <f t="shared" ref="C336" si="459">D336+L336+N336+P336+R336+S336+T336</f>
        <v>10027690</v>
      </c>
      <c r="D336" s="2">
        <f t="shared" ref="D336:D337" si="460">SUM(E336:J336)</f>
        <v>1512690</v>
      </c>
      <c r="E336" s="2">
        <f>700*504.23</f>
        <v>352961</v>
      </c>
      <c r="F336" s="2">
        <f>1300*504.23</f>
        <v>655499</v>
      </c>
      <c r="G336" s="2">
        <f>300*504.23</f>
        <v>151269</v>
      </c>
      <c r="H336" s="2">
        <f>400*504.23</f>
        <v>201692</v>
      </c>
      <c r="I336" s="2">
        <f>300*504.23</f>
        <v>151269</v>
      </c>
      <c r="J336" s="2">
        <v>0</v>
      </c>
      <c r="K336" s="21">
        <v>0</v>
      </c>
      <c r="L336" s="2">
        <v>0</v>
      </c>
      <c r="M336" s="2">
        <v>616</v>
      </c>
      <c r="N336" s="2">
        <f>M336*6600</f>
        <v>4065600</v>
      </c>
      <c r="O336" s="2">
        <v>384.5</v>
      </c>
      <c r="P336" s="2">
        <f>O336*1200</f>
        <v>461400</v>
      </c>
      <c r="Q336" s="2">
        <v>1215</v>
      </c>
      <c r="R336" s="2">
        <f t="shared" si="458"/>
        <v>3888000</v>
      </c>
      <c r="S336" s="2">
        <v>0</v>
      </c>
      <c r="T336" s="2">
        <v>100000</v>
      </c>
      <c r="U336" s="6">
        <f t="shared" si="331"/>
        <v>6600</v>
      </c>
      <c r="V336" s="1"/>
      <c r="W336" s="1"/>
      <c r="X336" s="1"/>
      <c r="Y336" s="1"/>
      <c r="Z336" s="1"/>
      <c r="AA336" s="1"/>
      <c r="AB336" s="3"/>
    </row>
    <row r="337" spans="1:28" ht="22.9" customHeight="1" x14ac:dyDescent="0.25">
      <c r="A337" s="39" t="s">
        <v>1434</v>
      </c>
      <c r="B337" s="9" t="s">
        <v>713</v>
      </c>
      <c r="C337" s="7">
        <f>D337+L337+N337+P337+R337+S337+Q337</f>
        <v>5075400</v>
      </c>
      <c r="D337" s="2">
        <f t="shared" si="460"/>
        <v>0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1">
        <v>0</v>
      </c>
      <c r="L337" s="2">
        <v>0</v>
      </c>
      <c r="M337" s="2">
        <v>769</v>
      </c>
      <c r="N337" s="2">
        <f t="shared" ref="N337" si="461">M337*6600</f>
        <v>5075400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6">
        <f t="shared" si="331"/>
        <v>6600</v>
      </c>
      <c r="V337" s="1"/>
      <c r="W337" s="1"/>
      <c r="X337" s="1"/>
      <c r="Y337" s="1"/>
      <c r="Z337" s="1"/>
      <c r="AA337" s="1"/>
      <c r="AB337" s="3"/>
    </row>
    <row r="338" spans="1:28" ht="22.9" customHeight="1" x14ac:dyDescent="0.25">
      <c r="A338" s="39" t="s">
        <v>1435</v>
      </c>
      <c r="B338" s="9" t="s">
        <v>714</v>
      </c>
      <c r="C338" s="7">
        <f>D338+L338+N338+P338+R338+S338+Q338</f>
        <v>3445200</v>
      </c>
      <c r="D338" s="2">
        <f t="shared" ref="D338:D339" si="462">SUM(E338:J338)</f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1">
        <v>0</v>
      </c>
      <c r="L338" s="2">
        <v>0</v>
      </c>
      <c r="M338" s="2">
        <v>522</v>
      </c>
      <c r="N338" s="2">
        <f t="shared" ref="N338" si="463">M338*6600</f>
        <v>3445200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6">
        <f t="shared" si="331"/>
        <v>6600</v>
      </c>
      <c r="V338" s="1"/>
      <c r="W338" s="1"/>
      <c r="X338" s="1"/>
      <c r="Y338" s="1"/>
      <c r="Z338" s="1"/>
      <c r="AA338" s="1"/>
      <c r="AB338" s="3"/>
    </row>
    <row r="339" spans="1:28" ht="22.9" customHeight="1" x14ac:dyDescent="0.25">
      <c r="A339" s="39" t="s">
        <v>1436</v>
      </c>
      <c r="B339" s="9" t="s">
        <v>715</v>
      </c>
      <c r="C339" s="7">
        <f t="shared" ref="C339" si="464">D339+L339+N339+P339+R339+S339+T339</f>
        <v>26381200</v>
      </c>
      <c r="D339" s="2">
        <f t="shared" si="462"/>
        <v>12189000</v>
      </c>
      <c r="E339" s="2">
        <f>700*4063</f>
        <v>2844100</v>
      </c>
      <c r="F339" s="2">
        <f>1300*4063</f>
        <v>5281900</v>
      </c>
      <c r="G339" s="2">
        <f>300*4063</f>
        <v>1218900</v>
      </c>
      <c r="H339" s="2">
        <f>400*4063</f>
        <v>1625200</v>
      </c>
      <c r="I339" s="2">
        <f>300*4063</f>
        <v>1218900</v>
      </c>
      <c r="J339" s="2">
        <v>0</v>
      </c>
      <c r="K339" s="21">
        <v>0</v>
      </c>
      <c r="L339" s="2">
        <v>0</v>
      </c>
      <c r="M339" s="2">
        <v>957</v>
      </c>
      <c r="N339" s="2">
        <f>M339*6600</f>
        <v>6316200</v>
      </c>
      <c r="O339" s="2">
        <v>0</v>
      </c>
      <c r="P339" s="2">
        <f>O339*1200</f>
        <v>0</v>
      </c>
      <c r="Q339" s="2">
        <v>2430</v>
      </c>
      <c r="R339" s="2">
        <f t="shared" ref="R339" si="465">Q339*3200</f>
        <v>7776000</v>
      </c>
      <c r="S339" s="2">
        <v>0</v>
      </c>
      <c r="T339" s="2">
        <v>100000</v>
      </c>
      <c r="U339" s="6">
        <f t="shared" si="331"/>
        <v>6600</v>
      </c>
      <c r="V339" s="1"/>
      <c r="W339" s="1"/>
      <c r="X339" s="1"/>
      <c r="Y339" s="1"/>
      <c r="Z339" s="1"/>
      <c r="AA339" s="1"/>
      <c r="AB339" s="3"/>
    </row>
    <row r="340" spans="1:28" ht="22.9" customHeight="1" x14ac:dyDescent="0.25">
      <c r="A340" s="39" t="s">
        <v>1437</v>
      </c>
      <c r="B340" s="9" t="s">
        <v>716</v>
      </c>
      <c r="C340" s="7">
        <f>D340+L340+N340+P340+R340+S340+Q340</f>
        <v>2904000</v>
      </c>
      <c r="D340" s="2">
        <f t="shared" ref="D340" si="466">SUM(E340:J340)</f>
        <v>0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1">
        <v>0</v>
      </c>
      <c r="L340" s="2">
        <v>0</v>
      </c>
      <c r="M340" s="2">
        <v>440</v>
      </c>
      <c r="N340" s="2">
        <f t="shared" ref="N340" si="467">M340*6600</f>
        <v>2904000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6">
        <f t="shared" si="331"/>
        <v>6600</v>
      </c>
      <c r="V340" s="1"/>
      <c r="W340" s="1"/>
      <c r="X340" s="1"/>
      <c r="Y340" s="1"/>
      <c r="Z340" s="1"/>
      <c r="AA340" s="1"/>
      <c r="AB340" s="3"/>
    </row>
    <row r="341" spans="1:28" ht="22.9" customHeight="1" x14ac:dyDescent="0.25">
      <c r="A341" s="39" t="s">
        <v>1438</v>
      </c>
      <c r="B341" s="9" t="s">
        <v>717</v>
      </c>
      <c r="C341" s="7">
        <f>D341+L341+N341+P341+R341+S341+Q341</f>
        <v>2904000</v>
      </c>
      <c r="D341" s="2">
        <f t="shared" ref="D341" si="468">SUM(E341:J341)</f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1">
        <v>0</v>
      </c>
      <c r="L341" s="2">
        <v>0</v>
      </c>
      <c r="M341" s="2">
        <v>440</v>
      </c>
      <c r="N341" s="2">
        <f t="shared" ref="N341" si="469">M341*6600</f>
        <v>2904000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6">
        <f t="shared" si="331"/>
        <v>6600</v>
      </c>
      <c r="V341" s="1"/>
      <c r="W341" s="1"/>
      <c r="X341" s="1"/>
      <c r="Y341" s="1"/>
      <c r="Z341" s="1"/>
      <c r="AA341" s="1"/>
      <c r="AB341" s="3"/>
    </row>
    <row r="342" spans="1:28" ht="22.9" customHeight="1" x14ac:dyDescent="0.25">
      <c r="A342" s="39" t="s">
        <v>1439</v>
      </c>
      <c r="B342" s="9" t="s">
        <v>718</v>
      </c>
      <c r="C342" s="7">
        <f>D342+L342+N342+P342+R342+S342+Q342</f>
        <v>6336000</v>
      </c>
      <c r="D342" s="2">
        <f t="shared" ref="D342:D343" si="470">SUM(E342:J342)</f>
        <v>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1">
        <v>0</v>
      </c>
      <c r="L342" s="2">
        <v>0</v>
      </c>
      <c r="M342" s="2">
        <v>960</v>
      </c>
      <c r="N342" s="2">
        <f t="shared" ref="N342" si="471">M342*6600</f>
        <v>6336000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6">
        <f t="shared" si="331"/>
        <v>6600</v>
      </c>
      <c r="V342" s="1"/>
      <c r="W342" s="1"/>
      <c r="X342" s="1"/>
      <c r="Y342" s="1"/>
      <c r="Z342" s="1"/>
      <c r="AA342" s="1"/>
      <c r="AB342" s="3"/>
    </row>
    <row r="343" spans="1:28" ht="22.9" customHeight="1" x14ac:dyDescent="0.25">
      <c r="A343" s="39" t="s">
        <v>1440</v>
      </c>
      <c r="B343" s="9" t="s">
        <v>719</v>
      </c>
      <c r="C343" s="7">
        <f t="shared" ref="C343" si="472">D343+L343+N343+P343+R343+S343+T343</f>
        <v>5381900</v>
      </c>
      <c r="D343" s="2">
        <f t="shared" si="470"/>
        <v>5281900</v>
      </c>
      <c r="E343" s="2">
        <v>0</v>
      </c>
      <c r="F343" s="2">
        <f>1300*4063</f>
        <v>5281900</v>
      </c>
      <c r="G343" s="2">
        <v>0</v>
      </c>
      <c r="H343" s="2">
        <v>0</v>
      </c>
      <c r="I343" s="2">
        <v>0</v>
      </c>
      <c r="J343" s="2">
        <v>0</v>
      </c>
      <c r="K343" s="21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100000</v>
      </c>
      <c r="U343" s="6" t="e">
        <f t="shared" si="331"/>
        <v>#DIV/0!</v>
      </c>
      <c r="V343" s="1"/>
      <c r="W343" s="1"/>
      <c r="X343" s="1"/>
      <c r="Y343" s="1"/>
      <c r="Z343" s="1"/>
      <c r="AA343" s="1"/>
      <c r="AB343" s="3"/>
    </row>
    <row r="344" spans="1:28" ht="22.9" customHeight="1" x14ac:dyDescent="0.25">
      <c r="A344" s="39" t="s">
        <v>1441</v>
      </c>
      <c r="B344" s="9" t="s">
        <v>720</v>
      </c>
      <c r="C344" s="7">
        <f>D344+L344+N344+P344+R344+S344+Q344</f>
        <v>2514600</v>
      </c>
      <c r="D344" s="2">
        <f t="shared" ref="D344" si="473">SUM(E344:J344)</f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1">
        <v>0</v>
      </c>
      <c r="L344" s="2">
        <v>0</v>
      </c>
      <c r="M344" s="8">
        <v>381</v>
      </c>
      <c r="N344" s="2">
        <f>M344*6600</f>
        <v>2514600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6">
        <f t="shared" si="331"/>
        <v>6600</v>
      </c>
      <c r="V344" s="1"/>
      <c r="W344" s="1"/>
      <c r="X344" s="1"/>
      <c r="Y344" s="1"/>
      <c r="Z344" s="1"/>
      <c r="AA344" s="1"/>
      <c r="AB344" s="3"/>
    </row>
    <row r="345" spans="1:28" ht="22.9" customHeight="1" x14ac:dyDescent="0.25">
      <c r="A345" s="39" t="s">
        <v>1442</v>
      </c>
      <c r="B345" s="9" t="s">
        <v>721</v>
      </c>
      <c r="C345" s="7">
        <f>D345+L345+N345+P345+R345+S345+Q345</f>
        <v>2666400</v>
      </c>
      <c r="D345" s="2">
        <f t="shared" ref="D345:D348" si="474">SUM(E345:J345)</f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1">
        <v>0</v>
      </c>
      <c r="L345" s="2">
        <v>0</v>
      </c>
      <c r="M345" s="8">
        <v>404</v>
      </c>
      <c r="N345" s="2">
        <f>M345*6600</f>
        <v>2666400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6">
        <f t="shared" ref="U345:U409" si="475">N345/M345</f>
        <v>6600</v>
      </c>
      <c r="V345" s="1"/>
      <c r="W345" s="1"/>
      <c r="X345" s="1"/>
      <c r="Y345" s="1"/>
      <c r="Z345" s="1"/>
      <c r="AA345" s="1"/>
      <c r="AB345" s="3"/>
    </row>
    <row r="346" spans="1:28" ht="22.9" customHeight="1" x14ac:dyDescent="0.25">
      <c r="A346" s="39" t="s">
        <v>1443</v>
      </c>
      <c r="B346" s="9" t="s">
        <v>722</v>
      </c>
      <c r="C346" s="7">
        <f t="shared" ref="C346:C348" si="476">D346+L346+N346+P346+R346+S346+T346</f>
        <v>1413280</v>
      </c>
      <c r="D346" s="2">
        <f t="shared" si="474"/>
        <v>0</v>
      </c>
      <c r="E346" s="2">
        <v>0</v>
      </c>
      <c r="F346" s="2">
        <v>0</v>
      </c>
      <c r="G346" s="2">
        <v>0</v>
      </c>
      <c r="H346" s="2">
        <v>0</v>
      </c>
      <c r="I346" s="2">
        <v>0</v>
      </c>
      <c r="J346" s="2">
        <v>0</v>
      </c>
      <c r="K346" s="21">
        <v>0</v>
      </c>
      <c r="L346" s="2">
        <v>0</v>
      </c>
      <c r="M346" s="2">
        <v>0</v>
      </c>
      <c r="N346" s="2">
        <v>0</v>
      </c>
      <c r="O346" s="2">
        <v>0</v>
      </c>
      <c r="P346" s="2">
        <f t="shared" ref="P346:P362" si="477">O346*1200</f>
        <v>0</v>
      </c>
      <c r="Q346" s="2">
        <v>441.65</v>
      </c>
      <c r="R346" s="2">
        <f t="shared" ref="R346:R348" si="478">Q346*3200</f>
        <v>1413280</v>
      </c>
      <c r="S346" s="2">
        <v>0</v>
      </c>
      <c r="T346" s="2">
        <v>0</v>
      </c>
      <c r="U346" s="6" t="e">
        <f t="shared" si="475"/>
        <v>#DIV/0!</v>
      </c>
      <c r="V346" s="1"/>
      <c r="W346" s="1"/>
      <c r="X346" s="1"/>
      <c r="Y346" s="1"/>
      <c r="Z346" s="1"/>
      <c r="AA346" s="1"/>
      <c r="AB346" s="3"/>
    </row>
    <row r="347" spans="1:28" ht="22.9" customHeight="1" x14ac:dyDescent="0.25">
      <c r="A347" s="39" t="s">
        <v>1444</v>
      </c>
      <c r="B347" s="9" t="s">
        <v>919</v>
      </c>
      <c r="C347" s="7">
        <f>D347+L347+N347+P347+R347+S347+T347</f>
        <v>37493413.5</v>
      </c>
      <c r="D347" s="2">
        <f>SUM(E347:J347)</f>
        <v>19909393.5</v>
      </c>
      <c r="E347" s="2">
        <f>700*6527.67</f>
        <v>4569369</v>
      </c>
      <c r="F347" s="2">
        <f>1300*6527.67</f>
        <v>8485971</v>
      </c>
      <c r="G347" s="2">
        <f>350*6527.67</f>
        <v>2284684.5</v>
      </c>
      <c r="H347" s="2">
        <f>400*6527.67</f>
        <v>2611068</v>
      </c>
      <c r="I347" s="2">
        <f>300*6527.67</f>
        <v>1958301</v>
      </c>
      <c r="J347" s="2">
        <v>0</v>
      </c>
      <c r="K347" s="21">
        <v>0</v>
      </c>
      <c r="L347" s="2">
        <v>0</v>
      </c>
      <c r="M347" s="2">
        <v>1230.8</v>
      </c>
      <c r="N347" s="2">
        <f>M347*4450</f>
        <v>5477060</v>
      </c>
      <c r="O347" s="2">
        <v>1230.8</v>
      </c>
      <c r="P347" s="2">
        <f>O347*1200</f>
        <v>1476960</v>
      </c>
      <c r="Q347" s="2">
        <v>3212.5</v>
      </c>
      <c r="R347" s="2">
        <f>Q347*3200</f>
        <v>10280000</v>
      </c>
      <c r="S347" s="8">
        <v>150000</v>
      </c>
      <c r="T347" s="2">
        <v>200000</v>
      </c>
      <c r="U347" s="6">
        <f>N347/M347</f>
        <v>4450</v>
      </c>
    </row>
    <row r="348" spans="1:28" ht="22.9" customHeight="1" x14ac:dyDescent="0.25">
      <c r="A348" s="39" t="s">
        <v>1445</v>
      </c>
      <c r="B348" s="9" t="s">
        <v>723</v>
      </c>
      <c r="C348" s="7">
        <f t="shared" si="476"/>
        <v>4006412</v>
      </c>
      <c r="D348" s="2">
        <f t="shared" si="474"/>
        <v>1284300</v>
      </c>
      <c r="E348" s="2">
        <f>700*428.1</f>
        <v>299670</v>
      </c>
      <c r="F348" s="2">
        <f>1300*428.1</f>
        <v>556530</v>
      </c>
      <c r="G348" s="2">
        <f>300*428.1</f>
        <v>128430</v>
      </c>
      <c r="H348" s="2">
        <f>400*428.1</f>
        <v>171240</v>
      </c>
      <c r="I348" s="2">
        <f>300*428.1</f>
        <v>128430</v>
      </c>
      <c r="J348" s="2">
        <v>0</v>
      </c>
      <c r="K348" s="21">
        <v>0</v>
      </c>
      <c r="L348" s="2">
        <v>0</v>
      </c>
      <c r="M348" s="2">
        <v>0</v>
      </c>
      <c r="N348" s="2">
        <v>0</v>
      </c>
      <c r="O348" s="2">
        <v>0</v>
      </c>
      <c r="P348" s="2">
        <f t="shared" si="477"/>
        <v>0</v>
      </c>
      <c r="Q348" s="2">
        <v>819.41</v>
      </c>
      <c r="R348" s="2">
        <f t="shared" si="478"/>
        <v>2622112</v>
      </c>
      <c r="S348" s="2">
        <v>0</v>
      </c>
      <c r="T348" s="2">
        <v>100000</v>
      </c>
      <c r="U348" s="6" t="e">
        <f t="shared" si="475"/>
        <v>#DIV/0!</v>
      </c>
      <c r="V348" s="1"/>
      <c r="W348" s="1"/>
      <c r="X348" s="1"/>
      <c r="Y348" s="1"/>
      <c r="Z348" s="1"/>
      <c r="AA348" s="1"/>
      <c r="AB348" s="3"/>
    </row>
    <row r="349" spans="1:28" ht="22.9" customHeight="1" x14ac:dyDescent="0.25">
      <c r="A349" s="39" t="s">
        <v>1446</v>
      </c>
      <c r="B349" s="9" t="s">
        <v>724</v>
      </c>
      <c r="C349" s="7">
        <f t="shared" ref="C349" si="479">D349+L349+N349+P349+R349+S349+T349</f>
        <v>3739054</v>
      </c>
      <c r="D349" s="2">
        <f t="shared" ref="D349" si="480">SUM(E349:J349)</f>
        <v>880589.99999999988</v>
      </c>
      <c r="E349" s="2">
        <f>700*293.53</f>
        <v>205470.99999999997</v>
      </c>
      <c r="F349" s="2">
        <f>1300*293.53</f>
        <v>381588.99999999994</v>
      </c>
      <c r="G349" s="2">
        <f>300*293.53</f>
        <v>88058.999999999985</v>
      </c>
      <c r="H349" s="2">
        <f>400*293.53</f>
        <v>117411.99999999999</v>
      </c>
      <c r="I349" s="2">
        <f>300*293.53</f>
        <v>88058.999999999985</v>
      </c>
      <c r="J349" s="2">
        <v>0</v>
      </c>
      <c r="K349" s="21">
        <v>0</v>
      </c>
      <c r="L349" s="2">
        <v>0</v>
      </c>
      <c r="M349" s="8">
        <v>287.04000000000002</v>
      </c>
      <c r="N349" s="2">
        <f>M349*6600</f>
        <v>1894464.0000000002</v>
      </c>
      <c r="O349" s="2">
        <v>0</v>
      </c>
      <c r="P349" s="2">
        <f t="shared" si="477"/>
        <v>0</v>
      </c>
      <c r="Q349" s="2">
        <v>270</v>
      </c>
      <c r="R349" s="2">
        <f t="shared" ref="R349" si="481">Q349*3200</f>
        <v>864000</v>
      </c>
      <c r="S349" s="2">
        <v>0</v>
      </c>
      <c r="T349" s="2">
        <v>100000</v>
      </c>
      <c r="U349" s="6">
        <f t="shared" si="475"/>
        <v>6600</v>
      </c>
      <c r="V349" s="1"/>
      <c r="W349" s="1"/>
      <c r="X349" s="1"/>
      <c r="Y349" s="1"/>
      <c r="Z349" s="1"/>
      <c r="AA349" s="1"/>
      <c r="AB349" s="3"/>
    </row>
    <row r="350" spans="1:28" ht="22.9" customHeight="1" x14ac:dyDescent="0.25">
      <c r="A350" s="39" t="s">
        <v>1447</v>
      </c>
      <c r="B350" s="9" t="s">
        <v>725</v>
      </c>
      <c r="C350" s="7">
        <f t="shared" ref="C350" si="482">D350+L350+N350+P350+R350+S350+T350</f>
        <v>1624000</v>
      </c>
      <c r="D350" s="2">
        <f t="shared" ref="D350" si="483">SUM(E350:J350)</f>
        <v>0</v>
      </c>
      <c r="E350" s="2">
        <v>0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1">
        <v>0</v>
      </c>
      <c r="L350" s="2">
        <v>0</v>
      </c>
      <c r="M350" s="8">
        <v>0</v>
      </c>
      <c r="N350" s="2">
        <v>0</v>
      </c>
      <c r="O350" s="2">
        <v>0</v>
      </c>
      <c r="P350" s="2">
        <f t="shared" si="477"/>
        <v>0</v>
      </c>
      <c r="Q350" s="2">
        <v>507.5</v>
      </c>
      <c r="R350" s="2">
        <f t="shared" ref="R350" si="484">Q350*3200</f>
        <v>1624000</v>
      </c>
      <c r="S350" s="2">
        <v>0</v>
      </c>
      <c r="T350" s="2">
        <v>0</v>
      </c>
      <c r="U350" s="6" t="e">
        <f t="shared" si="475"/>
        <v>#DIV/0!</v>
      </c>
      <c r="V350" s="1"/>
      <c r="W350" s="1"/>
      <c r="X350" s="1"/>
      <c r="Y350" s="1"/>
      <c r="Z350" s="1"/>
      <c r="AA350" s="1"/>
      <c r="AB350" s="3"/>
    </row>
    <row r="351" spans="1:28" ht="22.9" customHeight="1" x14ac:dyDescent="0.25">
      <c r="A351" s="39" t="s">
        <v>1448</v>
      </c>
      <c r="B351" s="9" t="s">
        <v>726</v>
      </c>
      <c r="C351" s="7">
        <f t="shared" ref="C351:C352" si="485">D351+L351+N351+P351+R351+S351+T351</f>
        <v>1604800</v>
      </c>
      <c r="D351" s="2">
        <f t="shared" ref="D351:D352" si="486">SUM(E351:J351)</f>
        <v>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1">
        <v>0</v>
      </c>
      <c r="L351" s="2">
        <v>0</v>
      </c>
      <c r="M351" s="8">
        <v>0</v>
      </c>
      <c r="N351" s="2">
        <v>0</v>
      </c>
      <c r="O351" s="2">
        <v>0</v>
      </c>
      <c r="P351" s="2">
        <f t="shared" si="477"/>
        <v>0</v>
      </c>
      <c r="Q351" s="2">
        <v>501.5</v>
      </c>
      <c r="R351" s="2">
        <f t="shared" ref="R351:R354" si="487">Q351*3200</f>
        <v>1604800</v>
      </c>
      <c r="S351" s="2">
        <v>0</v>
      </c>
      <c r="T351" s="2">
        <v>0</v>
      </c>
      <c r="U351" s="6" t="e">
        <f t="shared" si="475"/>
        <v>#DIV/0!</v>
      </c>
      <c r="V351" s="1"/>
      <c r="W351" s="1"/>
      <c r="X351" s="1"/>
      <c r="Y351" s="1"/>
      <c r="Z351" s="1"/>
      <c r="AA351" s="1"/>
      <c r="AB351" s="3"/>
    </row>
    <row r="352" spans="1:28" ht="22.9" customHeight="1" x14ac:dyDescent="0.25">
      <c r="A352" s="39" t="s">
        <v>1449</v>
      </c>
      <c r="B352" s="9" t="s">
        <v>727</v>
      </c>
      <c r="C352" s="7">
        <f t="shared" si="485"/>
        <v>12111472</v>
      </c>
      <c r="D352" s="2">
        <f t="shared" si="486"/>
        <v>4313520</v>
      </c>
      <c r="E352" s="2">
        <f>700*1437.84</f>
        <v>1006488</v>
      </c>
      <c r="F352" s="2">
        <f>1300*1437.84</f>
        <v>1869192</v>
      </c>
      <c r="G352" s="2">
        <f>300*1437.84</f>
        <v>431352</v>
      </c>
      <c r="H352" s="2">
        <f>400*1437.84</f>
        <v>575136</v>
      </c>
      <c r="I352" s="2">
        <f>300*1437.84</f>
        <v>431352</v>
      </c>
      <c r="J352" s="2">
        <v>0</v>
      </c>
      <c r="K352" s="21">
        <v>0</v>
      </c>
      <c r="L352" s="2">
        <v>0</v>
      </c>
      <c r="M352" s="2">
        <v>528</v>
      </c>
      <c r="N352" s="2">
        <f t="shared" ref="N352:N362" si="488">M352*6600</f>
        <v>3484800</v>
      </c>
      <c r="O352" s="2">
        <v>0</v>
      </c>
      <c r="P352" s="2">
        <f t="shared" si="477"/>
        <v>0</v>
      </c>
      <c r="Q352" s="2">
        <v>1316.61</v>
      </c>
      <c r="R352" s="2">
        <f t="shared" si="487"/>
        <v>4213152</v>
      </c>
      <c r="S352" s="2">
        <v>0</v>
      </c>
      <c r="T352" s="2">
        <v>100000</v>
      </c>
      <c r="U352" s="6">
        <f t="shared" si="475"/>
        <v>6600</v>
      </c>
      <c r="V352" s="1"/>
      <c r="W352" s="1"/>
      <c r="X352" s="1"/>
      <c r="Y352" s="1"/>
      <c r="Z352" s="1"/>
      <c r="AA352" s="1"/>
      <c r="AB352" s="3"/>
    </row>
    <row r="353" spans="1:29" ht="22.9" customHeight="1" x14ac:dyDescent="0.25">
      <c r="A353" s="39" t="s">
        <v>1450</v>
      </c>
      <c r="B353" s="9" t="s">
        <v>728</v>
      </c>
      <c r="C353" s="7">
        <f t="shared" ref="C353" si="489">D353+L353+N353+P353+R353+S353+T353</f>
        <v>21071692</v>
      </c>
      <c r="D353" s="2">
        <f t="shared" ref="D353" si="490">SUM(E353:J353)</f>
        <v>10026540</v>
      </c>
      <c r="E353" s="2">
        <f>700*3342.18</f>
        <v>2339526</v>
      </c>
      <c r="F353" s="2">
        <f>1300*3342.18</f>
        <v>4344834</v>
      </c>
      <c r="G353" s="2">
        <f>300*3342.18</f>
        <v>1002654</v>
      </c>
      <c r="H353" s="2">
        <f>400*3342.18</f>
        <v>1336872</v>
      </c>
      <c r="I353" s="2">
        <f>300*3342.18</f>
        <v>1002654</v>
      </c>
      <c r="J353" s="2">
        <v>0</v>
      </c>
      <c r="K353" s="21">
        <v>0</v>
      </c>
      <c r="L353" s="2">
        <v>0</v>
      </c>
      <c r="M353" s="2">
        <v>1020</v>
      </c>
      <c r="N353" s="2">
        <f t="shared" si="488"/>
        <v>6732000</v>
      </c>
      <c r="O353" s="2">
        <v>0</v>
      </c>
      <c r="P353" s="2">
        <f t="shared" si="477"/>
        <v>0</v>
      </c>
      <c r="Q353" s="2">
        <v>1316.61</v>
      </c>
      <c r="R353" s="2">
        <f t="shared" si="487"/>
        <v>4213152</v>
      </c>
      <c r="S353" s="2">
        <v>0</v>
      </c>
      <c r="T353" s="2">
        <v>100000</v>
      </c>
      <c r="U353" s="6">
        <f t="shared" si="475"/>
        <v>6600</v>
      </c>
      <c r="V353" s="1"/>
      <c r="W353" s="1"/>
      <c r="X353" s="1"/>
      <c r="Y353" s="1"/>
      <c r="Z353" s="1"/>
      <c r="AA353" s="1"/>
      <c r="AB353" s="3"/>
    </row>
    <row r="354" spans="1:29" ht="22.9" customHeight="1" x14ac:dyDescent="0.25">
      <c r="A354" s="39" t="s">
        <v>1451</v>
      </c>
      <c r="B354" s="9" t="s">
        <v>729</v>
      </c>
      <c r="C354" s="7">
        <f t="shared" ref="C354" si="491">D354+L354+N354+P354+R354+S354+T354</f>
        <v>9509544</v>
      </c>
      <c r="D354" s="2">
        <f t="shared" ref="D354" si="492">SUM(E354:J354)</f>
        <v>1876200</v>
      </c>
      <c r="E354" s="2">
        <f>700*625.4</f>
        <v>437780</v>
      </c>
      <c r="F354" s="2">
        <f>1300*625.4</f>
        <v>813020</v>
      </c>
      <c r="G354" s="2">
        <f>300*625.4</f>
        <v>187620</v>
      </c>
      <c r="H354" s="2">
        <f>400*625.4</f>
        <v>250160</v>
      </c>
      <c r="I354" s="2">
        <f>300*625.4</f>
        <v>187620</v>
      </c>
      <c r="J354" s="2">
        <v>0</v>
      </c>
      <c r="K354" s="21">
        <v>0</v>
      </c>
      <c r="L354" s="2">
        <v>0</v>
      </c>
      <c r="M354" s="2">
        <v>900</v>
      </c>
      <c r="N354" s="2">
        <f t="shared" si="488"/>
        <v>5940000</v>
      </c>
      <c r="O354" s="2">
        <v>0</v>
      </c>
      <c r="P354" s="2">
        <f t="shared" si="477"/>
        <v>0</v>
      </c>
      <c r="Q354" s="2">
        <v>497.92</v>
      </c>
      <c r="R354" s="2">
        <f t="shared" si="487"/>
        <v>1593344</v>
      </c>
      <c r="S354" s="2">
        <v>0</v>
      </c>
      <c r="T354" s="2">
        <v>100000</v>
      </c>
      <c r="U354" s="6">
        <f t="shared" si="475"/>
        <v>6600</v>
      </c>
      <c r="V354" s="1"/>
      <c r="W354" s="1"/>
      <c r="X354" s="1"/>
      <c r="Y354" s="1"/>
      <c r="Z354" s="1"/>
      <c r="AA354" s="1"/>
      <c r="AB354" s="3"/>
    </row>
    <row r="355" spans="1:29" ht="22.9" customHeight="1" x14ac:dyDescent="0.25">
      <c r="A355" s="39" t="s">
        <v>1452</v>
      </c>
      <c r="B355" s="9" t="s">
        <v>730</v>
      </c>
      <c r="C355" s="7">
        <f t="shared" ref="C355" si="493">D355+L355+N355+P355+R355+S355+T355</f>
        <v>4263744</v>
      </c>
      <c r="D355" s="2">
        <f t="shared" ref="D355" si="494">SUM(E355:J355)</f>
        <v>828000</v>
      </c>
      <c r="E355" s="2">
        <f>700*276</f>
        <v>193200</v>
      </c>
      <c r="F355" s="2">
        <f>1300*276</f>
        <v>358800</v>
      </c>
      <c r="G355" s="2">
        <f>300*276</f>
        <v>82800</v>
      </c>
      <c r="H355" s="2">
        <f>400*276</f>
        <v>110400</v>
      </c>
      <c r="I355" s="2">
        <f>300*276</f>
        <v>82800</v>
      </c>
      <c r="J355" s="2">
        <v>0</v>
      </c>
      <c r="K355" s="21">
        <v>0</v>
      </c>
      <c r="L355" s="2">
        <v>0</v>
      </c>
      <c r="M355" s="2">
        <v>264</v>
      </c>
      <c r="N355" s="2">
        <f t="shared" si="488"/>
        <v>1742400</v>
      </c>
      <c r="O355" s="2">
        <v>0</v>
      </c>
      <c r="P355" s="2">
        <f t="shared" si="477"/>
        <v>0</v>
      </c>
      <c r="Q355" s="2">
        <v>497.92</v>
      </c>
      <c r="R355" s="2">
        <f t="shared" ref="R355" si="495">Q355*3200</f>
        <v>1593344</v>
      </c>
      <c r="S355" s="2">
        <v>0</v>
      </c>
      <c r="T355" s="2">
        <v>100000</v>
      </c>
      <c r="U355" s="6">
        <f t="shared" si="475"/>
        <v>6600</v>
      </c>
      <c r="V355" s="1"/>
      <c r="W355" s="1"/>
      <c r="X355" s="1"/>
      <c r="Y355" s="1"/>
      <c r="Z355" s="1"/>
      <c r="AA355" s="1"/>
      <c r="AB355" s="3"/>
    </row>
    <row r="356" spans="1:29" ht="22.9" customHeight="1" x14ac:dyDescent="0.25">
      <c r="A356" s="39" t="s">
        <v>1453</v>
      </c>
      <c r="B356" s="9" t="s">
        <v>731</v>
      </c>
      <c r="C356" s="7">
        <f t="shared" ref="C356" si="496">D356+L356+N356+P356+R356+S356+T356</f>
        <v>1881792</v>
      </c>
      <c r="D356" s="2">
        <f t="shared" ref="D356" si="497">SUM(E356:J356)</f>
        <v>0</v>
      </c>
      <c r="E356" s="2">
        <v>0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1">
        <v>0</v>
      </c>
      <c r="L356" s="2">
        <v>0</v>
      </c>
      <c r="M356" s="2">
        <v>285.12</v>
      </c>
      <c r="N356" s="2">
        <f t="shared" si="488"/>
        <v>1881792</v>
      </c>
      <c r="O356" s="2">
        <v>0</v>
      </c>
      <c r="P356" s="2">
        <f t="shared" si="477"/>
        <v>0</v>
      </c>
      <c r="Q356" s="2">
        <v>0</v>
      </c>
      <c r="R356" s="2">
        <f t="shared" ref="R356" si="498">Q356*3200</f>
        <v>0</v>
      </c>
      <c r="S356" s="2">
        <v>0</v>
      </c>
      <c r="T356" s="2">
        <v>0</v>
      </c>
      <c r="U356" s="6">
        <f t="shared" si="475"/>
        <v>6600</v>
      </c>
      <c r="V356" s="1"/>
      <c r="W356" s="1"/>
      <c r="X356" s="1"/>
      <c r="Y356" s="1"/>
      <c r="Z356" s="1"/>
      <c r="AA356" s="1"/>
      <c r="AB356" s="3"/>
    </row>
    <row r="357" spans="1:29" ht="22.9" customHeight="1" x14ac:dyDescent="0.25">
      <c r="A357" s="39" t="s">
        <v>1454</v>
      </c>
      <c r="B357" s="9" t="s">
        <v>732</v>
      </c>
      <c r="C357" s="7">
        <f t="shared" ref="C357" si="499">D357+L357+N357+P357+R357+S357+T357</f>
        <v>1319340</v>
      </c>
      <c r="D357" s="2">
        <f t="shared" ref="D357" si="500">SUM(E357:J357)</f>
        <v>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1">
        <v>0</v>
      </c>
      <c r="L357" s="2">
        <v>0</v>
      </c>
      <c r="M357" s="2">
        <v>199.9</v>
      </c>
      <c r="N357" s="2">
        <f t="shared" si="488"/>
        <v>1319340</v>
      </c>
      <c r="O357" s="2">
        <v>0</v>
      </c>
      <c r="P357" s="2">
        <f t="shared" si="477"/>
        <v>0</v>
      </c>
      <c r="Q357" s="2">
        <v>0</v>
      </c>
      <c r="R357" s="2">
        <f t="shared" ref="R357" si="501">Q357*3200</f>
        <v>0</v>
      </c>
      <c r="S357" s="2">
        <v>0</v>
      </c>
      <c r="T357" s="2">
        <v>0</v>
      </c>
      <c r="U357" s="6">
        <f t="shared" si="475"/>
        <v>6600</v>
      </c>
      <c r="V357" s="1"/>
      <c r="W357" s="1"/>
      <c r="X357" s="1"/>
      <c r="Y357" s="1"/>
      <c r="Z357" s="1"/>
      <c r="AA357" s="1"/>
      <c r="AB357" s="3"/>
    </row>
    <row r="358" spans="1:29" ht="22.9" customHeight="1" x14ac:dyDescent="0.25">
      <c r="A358" s="39" t="s">
        <v>1455</v>
      </c>
      <c r="B358" s="9" t="s">
        <v>733</v>
      </c>
      <c r="C358" s="7">
        <f t="shared" ref="C358:C359" si="502">D358+L358+N358+P358+R358+S358+T358</f>
        <v>1308780</v>
      </c>
      <c r="D358" s="2">
        <f t="shared" ref="D358:D359" si="503">SUM(E358:J358)</f>
        <v>0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0</v>
      </c>
      <c r="K358" s="21">
        <v>0</v>
      </c>
      <c r="L358" s="2">
        <v>0</v>
      </c>
      <c r="M358" s="2">
        <v>198.3</v>
      </c>
      <c r="N358" s="2">
        <f t="shared" si="488"/>
        <v>1308780</v>
      </c>
      <c r="O358" s="2">
        <v>0</v>
      </c>
      <c r="P358" s="2">
        <f t="shared" si="477"/>
        <v>0</v>
      </c>
      <c r="Q358" s="2">
        <v>0</v>
      </c>
      <c r="R358" s="2">
        <f t="shared" ref="R358:R359" si="504">Q358*3200</f>
        <v>0</v>
      </c>
      <c r="S358" s="2">
        <v>0</v>
      </c>
      <c r="T358" s="2">
        <v>0</v>
      </c>
      <c r="U358" s="6">
        <f t="shared" si="475"/>
        <v>6600</v>
      </c>
      <c r="V358" s="1"/>
      <c r="W358" s="1"/>
      <c r="X358" s="1"/>
      <c r="Y358" s="1"/>
      <c r="Z358" s="1"/>
      <c r="AA358" s="1"/>
      <c r="AB358" s="3"/>
    </row>
    <row r="359" spans="1:29" ht="22.9" customHeight="1" x14ac:dyDescent="0.25">
      <c r="A359" s="39" t="s">
        <v>1456</v>
      </c>
      <c r="B359" s="9" t="s">
        <v>734</v>
      </c>
      <c r="C359" s="7">
        <f t="shared" si="502"/>
        <v>944769.99999999988</v>
      </c>
      <c r="D359" s="2">
        <f t="shared" si="503"/>
        <v>844769.99999999988</v>
      </c>
      <c r="E359" s="2">
        <f>700*281.59</f>
        <v>197112.99999999997</v>
      </c>
      <c r="F359" s="2">
        <f>1300*281.59</f>
        <v>366066.99999999994</v>
      </c>
      <c r="G359" s="2">
        <f>300*281.59</f>
        <v>84476.999999999985</v>
      </c>
      <c r="H359" s="2">
        <f>400*281.59</f>
        <v>112635.99999999999</v>
      </c>
      <c r="I359" s="2">
        <f>300*281.59</f>
        <v>84476.999999999985</v>
      </c>
      <c r="J359" s="2">
        <v>0</v>
      </c>
      <c r="K359" s="21">
        <v>0</v>
      </c>
      <c r="L359" s="2">
        <v>0</v>
      </c>
      <c r="M359" s="2">
        <v>0</v>
      </c>
      <c r="N359" s="2">
        <f t="shared" si="488"/>
        <v>0</v>
      </c>
      <c r="O359" s="2">
        <v>0</v>
      </c>
      <c r="P359" s="2">
        <f t="shared" si="477"/>
        <v>0</v>
      </c>
      <c r="Q359" s="2">
        <v>0</v>
      </c>
      <c r="R359" s="2">
        <f t="shared" si="504"/>
        <v>0</v>
      </c>
      <c r="S359" s="2">
        <v>0</v>
      </c>
      <c r="T359" s="2">
        <v>100000</v>
      </c>
      <c r="U359" s="6" t="e">
        <f t="shared" si="475"/>
        <v>#DIV/0!</v>
      </c>
      <c r="V359" s="1"/>
      <c r="W359" s="1"/>
      <c r="X359" s="1"/>
      <c r="Y359" s="1"/>
      <c r="Z359" s="1"/>
      <c r="AA359" s="1"/>
      <c r="AB359" s="3"/>
    </row>
    <row r="360" spans="1:29" ht="22.9" customHeight="1" x14ac:dyDescent="0.25">
      <c r="A360" s="39" t="s">
        <v>1457</v>
      </c>
      <c r="B360" s="9" t="s">
        <v>735</v>
      </c>
      <c r="C360" s="7">
        <f t="shared" ref="C360:C362" si="505">D360+L360+N360+P360+R360+S360+T360</f>
        <v>945400</v>
      </c>
      <c r="D360" s="2">
        <f t="shared" ref="D360:D362" si="506">SUM(E360:J360)</f>
        <v>845400</v>
      </c>
      <c r="E360" s="2">
        <f>700*281.8</f>
        <v>197260</v>
      </c>
      <c r="F360" s="2">
        <f>1300*281.8</f>
        <v>366340</v>
      </c>
      <c r="G360" s="2">
        <f>300*281.8</f>
        <v>84540</v>
      </c>
      <c r="H360" s="2">
        <f>400*281.8</f>
        <v>112720</v>
      </c>
      <c r="I360" s="2">
        <f>300*281.8</f>
        <v>84540</v>
      </c>
      <c r="J360" s="2">
        <v>0</v>
      </c>
      <c r="K360" s="21">
        <v>0</v>
      </c>
      <c r="L360" s="2">
        <v>0</v>
      </c>
      <c r="M360" s="2">
        <v>0</v>
      </c>
      <c r="N360" s="2">
        <f t="shared" si="488"/>
        <v>0</v>
      </c>
      <c r="O360" s="2">
        <v>0</v>
      </c>
      <c r="P360" s="2">
        <f t="shared" si="477"/>
        <v>0</v>
      </c>
      <c r="Q360" s="2">
        <v>0</v>
      </c>
      <c r="R360" s="2">
        <f t="shared" ref="R360:R362" si="507">Q360*3200</f>
        <v>0</v>
      </c>
      <c r="S360" s="2">
        <v>0</v>
      </c>
      <c r="T360" s="2">
        <v>100000</v>
      </c>
      <c r="U360" s="6" t="e">
        <f t="shared" si="475"/>
        <v>#DIV/0!</v>
      </c>
      <c r="V360" s="1"/>
      <c r="W360" s="1"/>
      <c r="X360" s="1"/>
      <c r="Y360" s="1"/>
      <c r="Z360" s="1"/>
      <c r="AA360" s="1"/>
      <c r="AB360" s="3"/>
    </row>
    <row r="361" spans="1:29" ht="22.9" customHeight="1" x14ac:dyDescent="0.25">
      <c r="A361" s="39" t="s">
        <v>1991</v>
      </c>
      <c r="B361" s="9" t="s">
        <v>736</v>
      </c>
      <c r="C361" s="7">
        <f t="shared" si="505"/>
        <v>4620000</v>
      </c>
      <c r="D361" s="2">
        <f t="shared" si="506"/>
        <v>0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1">
        <v>0</v>
      </c>
      <c r="L361" s="2">
        <v>0</v>
      </c>
      <c r="M361" s="2">
        <v>700</v>
      </c>
      <c r="N361" s="2">
        <f t="shared" si="488"/>
        <v>4620000</v>
      </c>
      <c r="O361" s="2">
        <v>0</v>
      </c>
      <c r="P361" s="2">
        <f t="shared" si="477"/>
        <v>0</v>
      </c>
      <c r="Q361" s="2">
        <v>0</v>
      </c>
      <c r="R361" s="2">
        <f t="shared" si="507"/>
        <v>0</v>
      </c>
      <c r="S361" s="2">
        <v>0</v>
      </c>
      <c r="T361" s="2">
        <v>0</v>
      </c>
      <c r="U361" s="6">
        <f t="shared" si="475"/>
        <v>6600</v>
      </c>
      <c r="V361" s="1"/>
      <c r="W361" s="1"/>
      <c r="X361" s="1"/>
      <c r="Y361" s="1"/>
      <c r="Z361" s="1"/>
      <c r="AA361" s="1"/>
      <c r="AB361" s="3"/>
    </row>
    <row r="362" spans="1:29" ht="22.9" customHeight="1" x14ac:dyDescent="0.25">
      <c r="A362" s="39" t="s">
        <v>1992</v>
      </c>
      <c r="B362" s="9" t="s">
        <v>737</v>
      </c>
      <c r="C362" s="7">
        <f t="shared" si="505"/>
        <v>5735200</v>
      </c>
      <c r="D362" s="2">
        <f t="shared" si="506"/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1">
        <v>0</v>
      </c>
      <c r="L362" s="2">
        <v>0</v>
      </c>
      <c r="M362" s="2">
        <v>0</v>
      </c>
      <c r="N362" s="2">
        <f t="shared" si="488"/>
        <v>0</v>
      </c>
      <c r="O362" s="2">
        <v>0</v>
      </c>
      <c r="P362" s="2">
        <f t="shared" si="477"/>
        <v>0</v>
      </c>
      <c r="Q362" s="2">
        <v>1792.25</v>
      </c>
      <c r="R362" s="2">
        <f t="shared" si="507"/>
        <v>5735200</v>
      </c>
      <c r="S362" s="2">
        <v>0</v>
      </c>
      <c r="T362" s="2">
        <v>0</v>
      </c>
      <c r="U362" s="6" t="e">
        <f t="shared" si="475"/>
        <v>#DIV/0!</v>
      </c>
      <c r="V362" s="1"/>
      <c r="W362" s="1"/>
      <c r="X362" s="1"/>
      <c r="Y362" s="1"/>
      <c r="Z362" s="1"/>
      <c r="AA362" s="1"/>
      <c r="AB362" s="3"/>
    </row>
    <row r="363" spans="1:29" ht="45" customHeight="1" x14ac:dyDescent="0.25">
      <c r="A363" s="43" t="s">
        <v>950</v>
      </c>
      <c r="B363" s="43"/>
      <c r="C363" s="1">
        <f>SUM(C364:C366)</f>
        <v>10862600</v>
      </c>
      <c r="D363" s="1">
        <f t="shared" ref="D363:T363" si="508">SUM(D364:D366)</f>
        <v>2559000</v>
      </c>
      <c r="E363" s="1">
        <f t="shared" si="508"/>
        <v>597100</v>
      </c>
      <c r="F363" s="1">
        <f t="shared" si="508"/>
        <v>1108900</v>
      </c>
      <c r="G363" s="1">
        <f t="shared" si="508"/>
        <v>255900</v>
      </c>
      <c r="H363" s="1">
        <f t="shared" si="508"/>
        <v>341200</v>
      </c>
      <c r="I363" s="1">
        <f t="shared" si="508"/>
        <v>255900</v>
      </c>
      <c r="J363" s="1">
        <f t="shared" si="508"/>
        <v>0</v>
      </c>
      <c r="K363" s="33">
        <f t="shared" si="508"/>
        <v>0</v>
      </c>
      <c r="L363" s="1">
        <f t="shared" si="508"/>
        <v>0</v>
      </c>
      <c r="M363" s="1">
        <f t="shared" si="508"/>
        <v>950</v>
      </c>
      <c r="N363" s="1">
        <f t="shared" si="508"/>
        <v>6270000</v>
      </c>
      <c r="O363" s="1">
        <f t="shared" si="508"/>
        <v>0</v>
      </c>
      <c r="P363" s="1">
        <f t="shared" si="508"/>
        <v>0</v>
      </c>
      <c r="Q363" s="1">
        <f t="shared" si="508"/>
        <v>573</v>
      </c>
      <c r="R363" s="1">
        <f t="shared" si="508"/>
        <v>1833600</v>
      </c>
      <c r="S363" s="1">
        <f t="shared" si="508"/>
        <v>0</v>
      </c>
      <c r="T363" s="1">
        <f t="shared" si="508"/>
        <v>200000</v>
      </c>
      <c r="U363" s="3" t="e">
        <f>C363+#REF!+#REF!</f>
        <v>#REF!</v>
      </c>
    </row>
    <row r="364" spans="1:29" ht="22.9" customHeight="1" x14ac:dyDescent="0.25">
      <c r="A364" s="39" t="s">
        <v>1993</v>
      </c>
      <c r="B364" s="9" t="s">
        <v>956</v>
      </c>
      <c r="C364" s="7">
        <f t="shared" ref="C364:C365" si="509">D364+L364+N364+P364+R364+S364+T364</f>
        <v>4276300</v>
      </c>
      <c r="D364" s="2">
        <f t="shared" ref="D364:D365" si="510">SUM(E364:J364)</f>
        <v>1279500</v>
      </c>
      <c r="E364" s="2">
        <f>700*426.5</f>
        <v>298550</v>
      </c>
      <c r="F364" s="2">
        <f>1300*426.5</f>
        <v>554450</v>
      </c>
      <c r="G364" s="2">
        <f>300*426.5</f>
        <v>127950</v>
      </c>
      <c r="H364" s="2">
        <f>400*426.5</f>
        <v>170600</v>
      </c>
      <c r="I364" s="2">
        <f>300*426.5</f>
        <v>127950</v>
      </c>
      <c r="J364" s="2">
        <v>0</v>
      </c>
      <c r="K364" s="21">
        <v>0</v>
      </c>
      <c r="L364" s="2">
        <v>0</v>
      </c>
      <c r="M364" s="2">
        <v>300</v>
      </c>
      <c r="N364" s="2">
        <f t="shared" ref="N364:N365" si="511">M364*6600</f>
        <v>1980000</v>
      </c>
      <c r="O364" s="2">
        <v>0</v>
      </c>
      <c r="P364" s="2">
        <f t="shared" ref="P364:P365" si="512">O364*1200</f>
        <v>0</v>
      </c>
      <c r="Q364" s="2">
        <v>286.5</v>
      </c>
      <c r="R364" s="2">
        <f t="shared" ref="R364:R365" si="513">Q364*3200</f>
        <v>916800</v>
      </c>
      <c r="S364" s="2">
        <v>0</v>
      </c>
      <c r="T364" s="2">
        <v>100000</v>
      </c>
      <c r="U364" s="6">
        <f t="shared" si="475"/>
        <v>6600</v>
      </c>
      <c r="V364" s="1"/>
      <c r="W364" s="1"/>
      <c r="X364" s="1"/>
      <c r="Y364" s="1"/>
      <c r="Z364" s="1"/>
      <c r="AA364" s="1"/>
      <c r="AB364" s="1"/>
      <c r="AC364" s="3"/>
    </row>
    <row r="365" spans="1:29" ht="22.9" customHeight="1" x14ac:dyDescent="0.25">
      <c r="A365" s="39" t="s">
        <v>1994</v>
      </c>
      <c r="B365" s="9" t="s">
        <v>957</v>
      </c>
      <c r="C365" s="7">
        <f t="shared" si="509"/>
        <v>2310000</v>
      </c>
      <c r="D365" s="2">
        <f t="shared" si="510"/>
        <v>0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  <c r="K365" s="21">
        <v>0</v>
      </c>
      <c r="L365" s="2">
        <v>0</v>
      </c>
      <c r="M365" s="2">
        <v>350</v>
      </c>
      <c r="N365" s="2">
        <f t="shared" si="511"/>
        <v>2310000</v>
      </c>
      <c r="O365" s="2">
        <v>0</v>
      </c>
      <c r="P365" s="2">
        <f t="shared" si="512"/>
        <v>0</v>
      </c>
      <c r="Q365" s="2">
        <v>0</v>
      </c>
      <c r="R365" s="2">
        <f t="shared" si="513"/>
        <v>0</v>
      </c>
      <c r="S365" s="2">
        <v>0</v>
      </c>
      <c r="T365" s="2">
        <v>0</v>
      </c>
      <c r="U365" s="6">
        <f t="shared" si="475"/>
        <v>6600</v>
      </c>
      <c r="V365" s="1"/>
      <c r="W365" s="1"/>
      <c r="X365" s="1"/>
      <c r="Y365" s="1"/>
      <c r="Z365" s="1"/>
      <c r="AA365" s="1"/>
      <c r="AB365" s="1"/>
      <c r="AC365" s="3"/>
    </row>
    <row r="366" spans="1:29" ht="22.9" customHeight="1" x14ac:dyDescent="0.25">
      <c r="A366" s="39" t="s">
        <v>1458</v>
      </c>
      <c r="B366" s="9" t="s">
        <v>958</v>
      </c>
      <c r="C366" s="7">
        <f t="shared" ref="C366" si="514">D366+L366+N366+P366+R366+S366+T366</f>
        <v>4276300</v>
      </c>
      <c r="D366" s="2">
        <f t="shared" ref="D366" si="515">SUM(E366:J366)</f>
        <v>1279500</v>
      </c>
      <c r="E366" s="2">
        <f>700*426.5</f>
        <v>298550</v>
      </c>
      <c r="F366" s="2">
        <f>1300*426.5</f>
        <v>554450</v>
      </c>
      <c r="G366" s="2">
        <f>300*426.5</f>
        <v>127950</v>
      </c>
      <c r="H366" s="2">
        <f>400*426.5</f>
        <v>170600</v>
      </c>
      <c r="I366" s="2">
        <f>300*426.5</f>
        <v>127950</v>
      </c>
      <c r="J366" s="2">
        <v>0</v>
      </c>
      <c r="K366" s="21">
        <v>0</v>
      </c>
      <c r="L366" s="2">
        <v>0</v>
      </c>
      <c r="M366" s="2">
        <v>300</v>
      </c>
      <c r="N366" s="2">
        <f t="shared" ref="N366" si="516">M366*6600</f>
        <v>1980000</v>
      </c>
      <c r="O366" s="2">
        <v>0</v>
      </c>
      <c r="P366" s="2">
        <f t="shared" ref="P366" si="517">O366*1200</f>
        <v>0</v>
      </c>
      <c r="Q366" s="2">
        <v>286.5</v>
      </c>
      <c r="R366" s="2">
        <f t="shared" ref="R366" si="518">Q366*3200</f>
        <v>916800</v>
      </c>
      <c r="S366" s="2">
        <v>0</v>
      </c>
      <c r="T366" s="2">
        <v>100000</v>
      </c>
      <c r="U366" s="6">
        <f t="shared" si="475"/>
        <v>6600</v>
      </c>
      <c r="V366" s="1"/>
      <c r="W366" s="1"/>
      <c r="X366" s="1"/>
      <c r="Y366" s="1"/>
      <c r="Z366" s="1"/>
      <c r="AA366" s="1"/>
      <c r="AB366" s="1"/>
      <c r="AC366" s="3"/>
    </row>
    <row r="367" spans="1:29" ht="45" customHeight="1" x14ac:dyDescent="0.25">
      <c r="A367" s="43" t="s">
        <v>961</v>
      </c>
      <c r="B367" s="43"/>
      <c r="C367" s="1">
        <f>SUM(C368:C369)</f>
        <v>10292000</v>
      </c>
      <c r="D367" s="1">
        <f t="shared" ref="D367:T367" si="519">SUM(D368:D369)</f>
        <v>2316000</v>
      </c>
      <c r="E367" s="1">
        <f t="shared" si="519"/>
        <v>540400</v>
      </c>
      <c r="F367" s="1">
        <f t="shared" si="519"/>
        <v>1003600</v>
      </c>
      <c r="G367" s="1">
        <f t="shared" si="519"/>
        <v>231600</v>
      </c>
      <c r="H367" s="1">
        <f t="shared" si="519"/>
        <v>308800</v>
      </c>
      <c r="I367" s="1">
        <f t="shared" si="519"/>
        <v>231600</v>
      </c>
      <c r="J367" s="1">
        <f t="shared" si="519"/>
        <v>0</v>
      </c>
      <c r="K367" s="33">
        <f t="shared" si="519"/>
        <v>0</v>
      </c>
      <c r="L367" s="1">
        <f t="shared" si="519"/>
        <v>0</v>
      </c>
      <c r="M367" s="1">
        <f t="shared" si="519"/>
        <v>704</v>
      </c>
      <c r="N367" s="1">
        <f t="shared" si="519"/>
        <v>4646400</v>
      </c>
      <c r="O367" s="1">
        <f t="shared" si="519"/>
        <v>0</v>
      </c>
      <c r="P367" s="1">
        <f t="shared" si="519"/>
        <v>0</v>
      </c>
      <c r="Q367" s="1">
        <f t="shared" si="519"/>
        <v>978</v>
      </c>
      <c r="R367" s="1">
        <f t="shared" si="519"/>
        <v>3129600</v>
      </c>
      <c r="S367" s="1">
        <f t="shared" si="519"/>
        <v>0</v>
      </c>
      <c r="T367" s="1">
        <f t="shared" si="519"/>
        <v>200000</v>
      </c>
      <c r="U367" s="3" t="e">
        <f>C367+#REF!+#REF!</f>
        <v>#REF!</v>
      </c>
    </row>
    <row r="368" spans="1:29" ht="22.9" customHeight="1" x14ac:dyDescent="0.25">
      <c r="A368" s="39" t="s">
        <v>1459</v>
      </c>
      <c r="B368" s="9" t="s">
        <v>962</v>
      </c>
      <c r="C368" s="7">
        <f t="shared" ref="C368:C369" si="520">D368+L368+N368+P368+R368+S368+T368</f>
        <v>5146000</v>
      </c>
      <c r="D368" s="2">
        <f t="shared" ref="D368:D369" si="521">SUM(E368:J368)</f>
        <v>1158000</v>
      </c>
      <c r="E368" s="2">
        <f>700*386</f>
        <v>270200</v>
      </c>
      <c r="F368" s="2">
        <f>1300*386</f>
        <v>501800</v>
      </c>
      <c r="G368" s="2">
        <f>300*386</f>
        <v>115800</v>
      </c>
      <c r="H368" s="2">
        <f>400*386</f>
        <v>154400</v>
      </c>
      <c r="I368" s="2">
        <f>300*386</f>
        <v>115800</v>
      </c>
      <c r="J368" s="2">
        <v>0</v>
      </c>
      <c r="K368" s="21">
        <v>0</v>
      </c>
      <c r="L368" s="2">
        <v>0</v>
      </c>
      <c r="M368" s="2">
        <v>352</v>
      </c>
      <c r="N368" s="2">
        <f t="shared" ref="N368:N369" si="522">M368*6600</f>
        <v>2323200</v>
      </c>
      <c r="O368" s="2">
        <v>0</v>
      </c>
      <c r="P368" s="2">
        <f t="shared" ref="P368:P369" si="523">O368*1200</f>
        <v>0</v>
      </c>
      <c r="Q368" s="2">
        <v>489</v>
      </c>
      <c r="R368" s="2">
        <f t="shared" ref="R368:R369" si="524">Q368*3200</f>
        <v>1564800</v>
      </c>
      <c r="S368" s="2">
        <v>0</v>
      </c>
      <c r="T368" s="2">
        <v>100000</v>
      </c>
      <c r="U368" s="6">
        <f t="shared" si="475"/>
        <v>6600</v>
      </c>
      <c r="V368" s="1"/>
      <c r="W368" s="1"/>
      <c r="X368" s="1"/>
      <c r="Y368" s="1"/>
      <c r="Z368" s="1"/>
      <c r="AA368" s="1"/>
      <c r="AB368" s="1"/>
      <c r="AC368" s="3"/>
    </row>
    <row r="369" spans="1:29" ht="22.9" customHeight="1" x14ac:dyDescent="0.25">
      <c r="A369" s="39" t="s">
        <v>1460</v>
      </c>
      <c r="B369" s="9" t="s">
        <v>963</v>
      </c>
      <c r="C369" s="7">
        <f t="shared" si="520"/>
        <v>5146000</v>
      </c>
      <c r="D369" s="2">
        <f t="shared" si="521"/>
        <v>1158000</v>
      </c>
      <c r="E369" s="2">
        <f>700*386</f>
        <v>270200</v>
      </c>
      <c r="F369" s="2">
        <f>1300*386</f>
        <v>501800</v>
      </c>
      <c r="G369" s="2">
        <f>300*386</f>
        <v>115800</v>
      </c>
      <c r="H369" s="2">
        <f>400*386</f>
        <v>154400</v>
      </c>
      <c r="I369" s="2">
        <f>300*386</f>
        <v>115800</v>
      </c>
      <c r="J369" s="2">
        <v>0</v>
      </c>
      <c r="K369" s="21">
        <v>0</v>
      </c>
      <c r="L369" s="2">
        <v>0</v>
      </c>
      <c r="M369" s="2">
        <v>352</v>
      </c>
      <c r="N369" s="2">
        <f t="shared" si="522"/>
        <v>2323200</v>
      </c>
      <c r="O369" s="2">
        <v>0</v>
      </c>
      <c r="P369" s="2">
        <f t="shared" si="523"/>
        <v>0</v>
      </c>
      <c r="Q369" s="2">
        <v>489</v>
      </c>
      <c r="R369" s="2">
        <f t="shared" si="524"/>
        <v>1564800</v>
      </c>
      <c r="S369" s="2">
        <v>0</v>
      </c>
      <c r="T369" s="2">
        <v>100000</v>
      </c>
      <c r="U369" s="6">
        <f t="shared" si="475"/>
        <v>6600</v>
      </c>
      <c r="V369" s="1"/>
      <c r="W369" s="1"/>
      <c r="X369" s="1"/>
      <c r="Y369" s="1"/>
      <c r="Z369" s="1"/>
      <c r="AA369" s="1"/>
      <c r="AB369" s="1"/>
      <c r="AC369" s="3"/>
    </row>
    <row r="370" spans="1:29" ht="45" customHeight="1" x14ac:dyDescent="0.25">
      <c r="A370" s="43" t="s">
        <v>974</v>
      </c>
      <c r="B370" s="43"/>
      <c r="C370" s="1">
        <f>SUM(C371:C372)</f>
        <v>78099200</v>
      </c>
      <c r="D370" s="1">
        <f t="shared" ref="D370:T370" si="525">SUM(D371:D372)</f>
        <v>0</v>
      </c>
      <c r="E370" s="1">
        <f t="shared" si="525"/>
        <v>0</v>
      </c>
      <c r="F370" s="1">
        <f t="shared" si="525"/>
        <v>0</v>
      </c>
      <c r="G370" s="1">
        <f t="shared" si="525"/>
        <v>0</v>
      </c>
      <c r="H370" s="1">
        <f t="shared" si="525"/>
        <v>0</v>
      </c>
      <c r="I370" s="1">
        <f t="shared" si="525"/>
        <v>0</v>
      </c>
      <c r="J370" s="1">
        <f t="shared" si="525"/>
        <v>0</v>
      </c>
      <c r="K370" s="33">
        <f t="shared" si="525"/>
        <v>0</v>
      </c>
      <c r="L370" s="1">
        <f t="shared" si="525"/>
        <v>0</v>
      </c>
      <c r="M370" s="1">
        <f t="shared" si="525"/>
        <v>0</v>
      </c>
      <c r="N370" s="1">
        <f t="shared" si="525"/>
        <v>0</v>
      </c>
      <c r="O370" s="1">
        <f t="shared" si="525"/>
        <v>0</v>
      </c>
      <c r="P370" s="1">
        <f t="shared" si="525"/>
        <v>0</v>
      </c>
      <c r="Q370" s="1">
        <f t="shared" si="525"/>
        <v>24406</v>
      </c>
      <c r="R370" s="1">
        <f t="shared" si="525"/>
        <v>78099200</v>
      </c>
      <c r="S370" s="1">
        <f t="shared" si="525"/>
        <v>0</v>
      </c>
      <c r="T370" s="1">
        <f t="shared" si="525"/>
        <v>0</v>
      </c>
      <c r="U370" s="3" t="e">
        <f>C370+#REF!+#REF!</f>
        <v>#REF!</v>
      </c>
    </row>
    <row r="371" spans="1:29" ht="22.9" customHeight="1" x14ac:dyDescent="0.25">
      <c r="A371" s="39" t="s">
        <v>1461</v>
      </c>
      <c r="B371" s="9" t="s">
        <v>975</v>
      </c>
      <c r="C371" s="7">
        <f t="shared" ref="C371:C372" si="526">D371+L371+N371+P371+R371+S371+T371</f>
        <v>37475200</v>
      </c>
      <c r="D371" s="2">
        <f t="shared" ref="D371:D372" si="527">SUM(E371:J371)</f>
        <v>0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1">
        <v>0</v>
      </c>
      <c r="L371" s="2">
        <v>0</v>
      </c>
      <c r="M371" s="2">
        <v>0</v>
      </c>
      <c r="N371" s="2">
        <v>0</v>
      </c>
      <c r="O371" s="2">
        <v>0</v>
      </c>
      <c r="P371" s="2">
        <f t="shared" ref="P371:P372" si="528">O371*1200</f>
        <v>0</v>
      </c>
      <c r="Q371" s="19">
        <v>11711</v>
      </c>
      <c r="R371" s="2">
        <f t="shared" ref="R371:R372" si="529">Q371*3200</f>
        <v>37475200</v>
      </c>
      <c r="S371" s="2">
        <v>0</v>
      </c>
      <c r="T371" s="2">
        <v>0</v>
      </c>
      <c r="U371" s="6" t="e">
        <f t="shared" si="475"/>
        <v>#DIV/0!</v>
      </c>
      <c r="V371" s="1"/>
      <c r="W371" s="1"/>
      <c r="X371" s="1"/>
      <c r="Y371" s="1"/>
      <c r="Z371" s="1"/>
      <c r="AA371" s="1"/>
      <c r="AB371" s="1"/>
      <c r="AC371" s="3"/>
    </row>
    <row r="372" spans="1:29" ht="22.9" customHeight="1" x14ac:dyDescent="0.25">
      <c r="A372" s="39" t="s">
        <v>1462</v>
      </c>
      <c r="B372" s="9" t="s">
        <v>976</v>
      </c>
      <c r="C372" s="7">
        <f t="shared" si="526"/>
        <v>40624000</v>
      </c>
      <c r="D372" s="2">
        <f t="shared" si="527"/>
        <v>0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1">
        <v>0</v>
      </c>
      <c r="L372" s="2">
        <v>0</v>
      </c>
      <c r="M372" s="2">
        <v>0</v>
      </c>
      <c r="N372" s="2">
        <f t="shared" ref="N372" si="530">M372*6600</f>
        <v>0</v>
      </c>
      <c r="O372" s="2">
        <v>0</v>
      </c>
      <c r="P372" s="2">
        <f t="shared" si="528"/>
        <v>0</v>
      </c>
      <c r="Q372" s="19">
        <v>12695</v>
      </c>
      <c r="R372" s="2">
        <f t="shared" si="529"/>
        <v>40624000</v>
      </c>
      <c r="S372" s="2">
        <v>0</v>
      </c>
      <c r="T372" s="2">
        <v>0</v>
      </c>
      <c r="U372" s="6" t="e">
        <f t="shared" si="475"/>
        <v>#DIV/0!</v>
      </c>
      <c r="V372" s="1"/>
      <c r="W372" s="1"/>
      <c r="X372" s="1"/>
      <c r="Y372" s="1"/>
      <c r="Z372" s="1"/>
      <c r="AA372" s="1"/>
      <c r="AB372" s="1"/>
      <c r="AC372" s="3"/>
    </row>
    <row r="373" spans="1:29" ht="45" customHeight="1" x14ac:dyDescent="0.25">
      <c r="A373" s="43" t="s">
        <v>977</v>
      </c>
      <c r="B373" s="43"/>
      <c r="C373" s="1">
        <f>SUM(C374:C375)</f>
        <v>7710000</v>
      </c>
      <c r="D373" s="1">
        <f t="shared" ref="D373:T373" si="531">SUM(D374:D375)</f>
        <v>0</v>
      </c>
      <c r="E373" s="1">
        <f t="shared" si="531"/>
        <v>0</v>
      </c>
      <c r="F373" s="1">
        <f t="shared" si="531"/>
        <v>0</v>
      </c>
      <c r="G373" s="1">
        <f t="shared" si="531"/>
        <v>0</v>
      </c>
      <c r="H373" s="1">
        <f t="shared" si="531"/>
        <v>0</v>
      </c>
      <c r="I373" s="1">
        <f t="shared" si="531"/>
        <v>0</v>
      </c>
      <c r="J373" s="1">
        <f t="shared" si="531"/>
        <v>0</v>
      </c>
      <c r="K373" s="33">
        <f t="shared" si="531"/>
        <v>0</v>
      </c>
      <c r="L373" s="1">
        <f t="shared" si="531"/>
        <v>0</v>
      </c>
      <c r="M373" s="1">
        <f t="shared" si="531"/>
        <v>950</v>
      </c>
      <c r="N373" s="1">
        <f t="shared" si="531"/>
        <v>6270000</v>
      </c>
      <c r="O373" s="1">
        <f t="shared" si="531"/>
        <v>0</v>
      </c>
      <c r="P373" s="1">
        <f t="shared" si="531"/>
        <v>0</v>
      </c>
      <c r="Q373" s="1">
        <f t="shared" si="531"/>
        <v>450</v>
      </c>
      <c r="R373" s="1">
        <f t="shared" si="531"/>
        <v>1440000</v>
      </c>
      <c r="S373" s="1">
        <f t="shared" si="531"/>
        <v>0</v>
      </c>
      <c r="T373" s="1">
        <f t="shared" si="531"/>
        <v>0</v>
      </c>
      <c r="U373" s="3" t="e">
        <f>C373+#REF!+#REF!</f>
        <v>#REF!</v>
      </c>
    </row>
    <row r="374" spans="1:29" ht="22.9" customHeight="1" x14ac:dyDescent="0.25">
      <c r="A374" s="39" t="s">
        <v>1463</v>
      </c>
      <c r="B374" s="9" t="s">
        <v>978</v>
      </c>
      <c r="C374" s="7">
        <f t="shared" ref="C374" si="532">D374+L374+N374+P374+R374+S374+T374</f>
        <v>3420000</v>
      </c>
      <c r="D374" s="2">
        <f t="shared" ref="D374" si="533">SUM(E374:J374)</f>
        <v>0</v>
      </c>
      <c r="E374" s="2">
        <v>0</v>
      </c>
      <c r="F374" s="2">
        <v>0</v>
      </c>
      <c r="G374" s="2">
        <v>0</v>
      </c>
      <c r="H374" s="2">
        <v>0</v>
      </c>
      <c r="I374" s="2">
        <v>0</v>
      </c>
      <c r="J374" s="2">
        <v>0</v>
      </c>
      <c r="K374" s="21">
        <v>0</v>
      </c>
      <c r="L374" s="2">
        <v>0</v>
      </c>
      <c r="M374" s="2">
        <v>300</v>
      </c>
      <c r="N374" s="2">
        <f t="shared" ref="N374" si="534">M374*6600</f>
        <v>1980000</v>
      </c>
      <c r="O374" s="2">
        <v>0</v>
      </c>
      <c r="P374" s="2">
        <f t="shared" ref="P374" si="535">O374*1200</f>
        <v>0</v>
      </c>
      <c r="Q374" s="2">
        <v>450</v>
      </c>
      <c r="R374" s="2">
        <f t="shared" ref="R374" si="536">Q374*3200</f>
        <v>1440000</v>
      </c>
      <c r="S374" s="2">
        <v>0</v>
      </c>
      <c r="T374" s="2">
        <v>0</v>
      </c>
      <c r="U374" s="6">
        <f t="shared" si="475"/>
        <v>6600</v>
      </c>
      <c r="V374" s="1"/>
      <c r="W374" s="1"/>
      <c r="X374" s="1"/>
      <c r="Y374" s="1"/>
      <c r="Z374" s="1"/>
      <c r="AA374" s="1"/>
      <c r="AB374" s="1"/>
      <c r="AC374" s="3"/>
    </row>
    <row r="375" spans="1:29" ht="22.9" customHeight="1" x14ac:dyDescent="0.25">
      <c r="A375" s="39" t="s">
        <v>1464</v>
      </c>
      <c r="B375" s="9" t="s">
        <v>979</v>
      </c>
      <c r="C375" s="7">
        <f t="shared" ref="C375" si="537">D375+L375+N375+P375+R375+S375+T375</f>
        <v>4290000</v>
      </c>
      <c r="D375" s="2">
        <f t="shared" ref="D375" si="538">SUM(E375:J375)</f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1">
        <v>0</v>
      </c>
      <c r="L375" s="2">
        <v>0</v>
      </c>
      <c r="M375" s="2">
        <v>650</v>
      </c>
      <c r="N375" s="2">
        <f t="shared" ref="N375" si="539">M375*6600</f>
        <v>4290000</v>
      </c>
      <c r="O375" s="2">
        <v>0</v>
      </c>
      <c r="P375" s="2">
        <f t="shared" ref="P375" si="540">O375*1200</f>
        <v>0</v>
      </c>
      <c r="Q375" s="2">
        <v>0</v>
      </c>
      <c r="R375" s="2">
        <f t="shared" ref="R375" si="541">Q375*3200</f>
        <v>0</v>
      </c>
      <c r="S375" s="2">
        <v>0</v>
      </c>
      <c r="T375" s="2">
        <v>0</v>
      </c>
      <c r="U375" s="6">
        <f t="shared" si="475"/>
        <v>6600</v>
      </c>
      <c r="V375" s="1"/>
      <c r="W375" s="1"/>
      <c r="X375" s="1"/>
      <c r="Y375" s="1"/>
      <c r="Z375" s="1"/>
      <c r="AA375" s="1"/>
      <c r="AB375" s="1"/>
      <c r="AC375" s="3"/>
    </row>
    <row r="376" spans="1:29" ht="45" customHeight="1" x14ac:dyDescent="0.25">
      <c r="A376" s="43" t="s">
        <v>993</v>
      </c>
      <c r="B376" s="43"/>
      <c r="C376" s="1">
        <f>SUM(C377:C380)</f>
        <v>41206320</v>
      </c>
      <c r="D376" s="1">
        <f t="shared" ref="D376:T376" si="542">SUM(D377:D380)</f>
        <v>11599200</v>
      </c>
      <c r="E376" s="1">
        <f t="shared" si="542"/>
        <v>2706480</v>
      </c>
      <c r="F376" s="1">
        <f t="shared" si="542"/>
        <v>5026320</v>
      </c>
      <c r="G376" s="1">
        <f t="shared" si="542"/>
        <v>1159920</v>
      </c>
      <c r="H376" s="1">
        <f t="shared" si="542"/>
        <v>1546560</v>
      </c>
      <c r="I376" s="1">
        <f t="shared" si="542"/>
        <v>1159920</v>
      </c>
      <c r="J376" s="1">
        <f t="shared" si="542"/>
        <v>0</v>
      </c>
      <c r="K376" s="33">
        <f t="shared" si="542"/>
        <v>0</v>
      </c>
      <c r="L376" s="1">
        <f t="shared" si="542"/>
        <v>0</v>
      </c>
      <c r="M376" s="1">
        <f t="shared" si="542"/>
        <v>1850</v>
      </c>
      <c r="N376" s="1">
        <f t="shared" si="542"/>
        <v>12210000</v>
      </c>
      <c r="O376" s="1">
        <f t="shared" si="542"/>
        <v>0</v>
      </c>
      <c r="P376" s="1">
        <f t="shared" si="542"/>
        <v>0</v>
      </c>
      <c r="Q376" s="1">
        <f t="shared" si="542"/>
        <v>5311.6</v>
      </c>
      <c r="R376" s="1">
        <f t="shared" si="542"/>
        <v>16997120</v>
      </c>
      <c r="S376" s="1">
        <f t="shared" si="542"/>
        <v>0</v>
      </c>
      <c r="T376" s="1">
        <f t="shared" si="542"/>
        <v>400000</v>
      </c>
      <c r="U376" s="3" t="e">
        <f>C376+#REF!+#REF!</f>
        <v>#REF!</v>
      </c>
    </row>
    <row r="377" spans="1:29" ht="22.9" customHeight="1" x14ac:dyDescent="0.25">
      <c r="A377" s="39" t="s">
        <v>1465</v>
      </c>
      <c r="B377" s="9" t="s">
        <v>994</v>
      </c>
      <c r="C377" s="7">
        <f t="shared" ref="C377:C380" si="543">D377+L377+N377+P377+R377+S377+T377</f>
        <v>5294900</v>
      </c>
      <c r="D377" s="2">
        <f t="shared" ref="D377:D380" si="544">SUM(E377:J377)</f>
        <v>1233900</v>
      </c>
      <c r="E377" s="2">
        <f>700*411.3</f>
        <v>287910</v>
      </c>
      <c r="F377" s="2">
        <f>1300*411.3</f>
        <v>534690</v>
      </c>
      <c r="G377" s="2">
        <f>300*411.3</f>
        <v>123390</v>
      </c>
      <c r="H377" s="2">
        <f>400*411.3</f>
        <v>164520</v>
      </c>
      <c r="I377" s="2">
        <f>300*411.3</f>
        <v>123390</v>
      </c>
      <c r="J377" s="2">
        <v>0</v>
      </c>
      <c r="K377" s="21">
        <v>0</v>
      </c>
      <c r="L377" s="2">
        <v>0</v>
      </c>
      <c r="M377" s="19">
        <v>365</v>
      </c>
      <c r="N377" s="2">
        <f t="shared" ref="N377:N380" si="545">M377*6600</f>
        <v>2409000</v>
      </c>
      <c r="O377" s="2">
        <v>0</v>
      </c>
      <c r="P377" s="2">
        <f t="shared" ref="P377:P380" si="546">O377*1200</f>
        <v>0</v>
      </c>
      <c r="Q377" s="19">
        <v>485</v>
      </c>
      <c r="R377" s="2">
        <f t="shared" ref="R377:R380" si="547">Q377*3200</f>
        <v>1552000</v>
      </c>
      <c r="S377" s="2">
        <v>0</v>
      </c>
      <c r="T377" s="2">
        <v>100000</v>
      </c>
      <c r="U377" s="6">
        <f t="shared" si="475"/>
        <v>6600</v>
      </c>
      <c r="V377" s="1"/>
      <c r="W377" s="1"/>
      <c r="X377" s="1"/>
      <c r="Y377" s="1"/>
      <c r="Z377" s="1"/>
      <c r="AA377" s="1"/>
      <c r="AB377" s="1"/>
      <c r="AC377" s="3"/>
    </row>
    <row r="378" spans="1:29" ht="22.9" customHeight="1" x14ac:dyDescent="0.25">
      <c r="A378" s="39" t="s">
        <v>1466</v>
      </c>
      <c r="B378" s="9" t="s">
        <v>995</v>
      </c>
      <c r="C378" s="7">
        <f t="shared" si="543"/>
        <v>5296700</v>
      </c>
      <c r="D378" s="2">
        <f t="shared" si="544"/>
        <v>1202700</v>
      </c>
      <c r="E378" s="2">
        <f>700*400.9</f>
        <v>280630</v>
      </c>
      <c r="F378" s="2">
        <f>1300*400.9</f>
        <v>521169.99999999994</v>
      </c>
      <c r="G378" s="2">
        <f>300*400.9</f>
        <v>120270</v>
      </c>
      <c r="H378" s="2">
        <f>400*400.9</f>
        <v>160360</v>
      </c>
      <c r="I378" s="2">
        <f>300*400.9</f>
        <v>120270</v>
      </c>
      <c r="J378" s="2">
        <v>0</v>
      </c>
      <c r="K378" s="21">
        <v>0</v>
      </c>
      <c r="L378" s="2">
        <v>0</v>
      </c>
      <c r="M378" s="19">
        <v>370</v>
      </c>
      <c r="N378" s="2">
        <f t="shared" si="545"/>
        <v>2442000</v>
      </c>
      <c r="O378" s="2">
        <v>0</v>
      </c>
      <c r="P378" s="2">
        <f t="shared" si="546"/>
        <v>0</v>
      </c>
      <c r="Q378" s="19">
        <v>485</v>
      </c>
      <c r="R378" s="2">
        <f t="shared" si="547"/>
        <v>1552000</v>
      </c>
      <c r="S378" s="2">
        <v>0</v>
      </c>
      <c r="T378" s="2">
        <v>100000</v>
      </c>
      <c r="U378" s="6">
        <f t="shared" si="475"/>
        <v>6600</v>
      </c>
      <c r="V378" s="1"/>
      <c r="W378" s="1"/>
      <c r="X378" s="1"/>
      <c r="Y378" s="1"/>
      <c r="Z378" s="1"/>
      <c r="AA378" s="1"/>
      <c r="AB378" s="1"/>
      <c r="AC378" s="3"/>
    </row>
    <row r="379" spans="1:29" ht="22.9" customHeight="1" x14ac:dyDescent="0.25">
      <c r="A379" s="39" t="s">
        <v>1467</v>
      </c>
      <c r="B379" s="9" t="s">
        <v>996</v>
      </c>
      <c r="C379" s="7">
        <f t="shared" si="543"/>
        <v>7401500</v>
      </c>
      <c r="D379" s="2">
        <f t="shared" si="544"/>
        <v>2929500</v>
      </c>
      <c r="E379" s="2">
        <f>700*976.5</f>
        <v>683550</v>
      </c>
      <c r="F379" s="2">
        <f>1300*976.5</f>
        <v>1269450</v>
      </c>
      <c r="G379" s="2">
        <f>300*976.5</f>
        <v>292950</v>
      </c>
      <c r="H379" s="2">
        <f>400*976.5</f>
        <v>390600</v>
      </c>
      <c r="I379" s="2">
        <f>300*976.5</f>
        <v>292950</v>
      </c>
      <c r="J379" s="2">
        <v>0</v>
      </c>
      <c r="K379" s="21">
        <v>0</v>
      </c>
      <c r="L379" s="2">
        <v>0</v>
      </c>
      <c r="M379" s="19">
        <v>420</v>
      </c>
      <c r="N379" s="2">
        <f t="shared" si="545"/>
        <v>2772000</v>
      </c>
      <c r="O379" s="2">
        <v>0</v>
      </c>
      <c r="P379" s="2">
        <f t="shared" si="546"/>
        <v>0</v>
      </c>
      <c r="Q379" s="19">
        <v>500</v>
      </c>
      <c r="R379" s="2">
        <f t="shared" si="547"/>
        <v>1600000</v>
      </c>
      <c r="S379" s="2">
        <v>0</v>
      </c>
      <c r="T379" s="2">
        <v>100000</v>
      </c>
      <c r="U379" s="6">
        <f t="shared" si="475"/>
        <v>6600</v>
      </c>
      <c r="V379" s="1"/>
      <c r="W379" s="1"/>
      <c r="X379" s="1"/>
      <c r="Y379" s="1"/>
      <c r="Z379" s="1"/>
      <c r="AA379" s="1"/>
      <c r="AB379" s="1"/>
      <c r="AC379" s="3"/>
    </row>
    <row r="380" spans="1:29" ht="22.9" customHeight="1" x14ac:dyDescent="0.25">
      <c r="A380" s="39" t="s">
        <v>1468</v>
      </c>
      <c r="B380" s="9" t="s">
        <v>997</v>
      </c>
      <c r="C380" s="7">
        <f t="shared" si="543"/>
        <v>23213220</v>
      </c>
      <c r="D380" s="2">
        <f t="shared" si="544"/>
        <v>6233099.9999999991</v>
      </c>
      <c r="E380" s="2">
        <f>700*2077.7</f>
        <v>1454389.9999999998</v>
      </c>
      <c r="F380" s="2">
        <f>1300*2077.7</f>
        <v>2701009.9999999995</v>
      </c>
      <c r="G380" s="2">
        <f>300*2077.7</f>
        <v>623310</v>
      </c>
      <c r="H380" s="2">
        <f>400*2077.7</f>
        <v>831079.99999999988</v>
      </c>
      <c r="I380" s="2">
        <f>300*2077.7</f>
        <v>623310</v>
      </c>
      <c r="J380" s="2">
        <v>0</v>
      </c>
      <c r="K380" s="21">
        <v>0</v>
      </c>
      <c r="L380" s="2">
        <v>0</v>
      </c>
      <c r="M380" s="19">
        <v>695</v>
      </c>
      <c r="N380" s="2">
        <f t="shared" si="545"/>
        <v>4587000</v>
      </c>
      <c r="O380" s="2">
        <v>0</v>
      </c>
      <c r="P380" s="2">
        <f t="shared" si="546"/>
        <v>0</v>
      </c>
      <c r="Q380" s="19">
        <v>3841.6</v>
      </c>
      <c r="R380" s="2">
        <f t="shared" si="547"/>
        <v>12293120</v>
      </c>
      <c r="S380" s="2">
        <v>0</v>
      </c>
      <c r="T380" s="2">
        <v>100000</v>
      </c>
      <c r="U380" s="6">
        <f t="shared" si="475"/>
        <v>6600</v>
      </c>
      <c r="V380" s="1"/>
      <c r="W380" s="1"/>
      <c r="X380" s="1"/>
      <c r="Y380" s="1"/>
      <c r="Z380" s="1"/>
      <c r="AA380" s="1"/>
      <c r="AB380" s="1"/>
      <c r="AC380" s="3"/>
    </row>
    <row r="381" spans="1:29" ht="45" customHeight="1" x14ac:dyDescent="0.25">
      <c r="A381" s="43" t="s">
        <v>1009</v>
      </c>
      <c r="B381" s="43"/>
      <c r="C381" s="1">
        <f>SUM(C382:C388)</f>
        <v>32451880</v>
      </c>
      <c r="D381" s="1">
        <f t="shared" ref="D381:T381" si="548">SUM(D382:D388)</f>
        <v>8770800</v>
      </c>
      <c r="E381" s="1">
        <f t="shared" si="548"/>
        <v>2046520</v>
      </c>
      <c r="F381" s="1">
        <f t="shared" si="548"/>
        <v>3800680</v>
      </c>
      <c r="G381" s="1">
        <f t="shared" si="548"/>
        <v>877080</v>
      </c>
      <c r="H381" s="1">
        <f t="shared" si="548"/>
        <v>1169440</v>
      </c>
      <c r="I381" s="1">
        <f t="shared" si="548"/>
        <v>877080</v>
      </c>
      <c r="J381" s="1">
        <f t="shared" si="548"/>
        <v>0</v>
      </c>
      <c r="K381" s="33">
        <f t="shared" si="548"/>
        <v>0</v>
      </c>
      <c r="L381" s="1">
        <f t="shared" si="548"/>
        <v>0</v>
      </c>
      <c r="M381" s="1">
        <f t="shared" si="548"/>
        <v>2575</v>
      </c>
      <c r="N381" s="1">
        <f t="shared" si="548"/>
        <v>16995000</v>
      </c>
      <c r="O381" s="1">
        <f t="shared" si="548"/>
        <v>0</v>
      </c>
      <c r="P381" s="1">
        <f t="shared" si="548"/>
        <v>0</v>
      </c>
      <c r="Q381" s="1">
        <f t="shared" si="548"/>
        <v>1901.9</v>
      </c>
      <c r="R381" s="1">
        <f t="shared" si="548"/>
        <v>6086080</v>
      </c>
      <c r="S381" s="1">
        <f t="shared" si="548"/>
        <v>0</v>
      </c>
      <c r="T381" s="1">
        <f t="shared" si="548"/>
        <v>600000</v>
      </c>
      <c r="U381" s="3" t="e">
        <f>C381+#REF!+#REF!</f>
        <v>#REF!</v>
      </c>
    </row>
    <row r="382" spans="1:29" ht="22.9" customHeight="1" x14ac:dyDescent="0.25">
      <c r="A382" s="39" t="s">
        <v>1469</v>
      </c>
      <c r="B382" s="9" t="s">
        <v>1010</v>
      </c>
      <c r="C382" s="7">
        <f t="shared" ref="C382:C387" si="549">D382+L382+N382+P382+R382+S382+T382</f>
        <v>5227040</v>
      </c>
      <c r="D382" s="2">
        <f t="shared" ref="D382:D387" si="550">SUM(E382:J382)</f>
        <v>1329000</v>
      </c>
      <c r="E382" s="2">
        <f>700*443</f>
        <v>310100</v>
      </c>
      <c r="F382" s="2">
        <f>1300*443</f>
        <v>575900</v>
      </c>
      <c r="G382" s="2">
        <f>300*443</f>
        <v>132900</v>
      </c>
      <c r="H382" s="2">
        <f>400*443</f>
        <v>177200</v>
      </c>
      <c r="I382" s="2">
        <f>300*443</f>
        <v>132900</v>
      </c>
      <c r="J382" s="2">
        <v>0</v>
      </c>
      <c r="K382" s="21">
        <v>0</v>
      </c>
      <c r="L382" s="2">
        <v>0</v>
      </c>
      <c r="M382" s="19">
        <v>435</v>
      </c>
      <c r="N382" s="2">
        <f t="shared" ref="N382:N387" si="551">M382*6600</f>
        <v>2871000</v>
      </c>
      <c r="O382" s="2">
        <v>0</v>
      </c>
      <c r="P382" s="2">
        <f t="shared" ref="P382:P387" si="552">O382*1200</f>
        <v>0</v>
      </c>
      <c r="Q382" s="19">
        <v>289.7</v>
      </c>
      <c r="R382" s="2">
        <f t="shared" ref="R382:R387" si="553">Q382*3200</f>
        <v>927040</v>
      </c>
      <c r="S382" s="2">
        <v>0</v>
      </c>
      <c r="T382" s="2">
        <v>100000</v>
      </c>
      <c r="U382" s="6">
        <f t="shared" si="475"/>
        <v>6600</v>
      </c>
      <c r="V382" s="1"/>
      <c r="W382" s="1"/>
      <c r="X382" s="1"/>
      <c r="Y382" s="1"/>
      <c r="Z382" s="1"/>
      <c r="AA382" s="1"/>
      <c r="AB382" s="1"/>
      <c r="AC382" s="3"/>
    </row>
    <row r="383" spans="1:29" ht="22.9" customHeight="1" x14ac:dyDescent="0.25">
      <c r="A383" s="39" t="s">
        <v>1470</v>
      </c>
      <c r="B383" s="9" t="s">
        <v>1011</v>
      </c>
      <c r="C383" s="7">
        <f t="shared" si="549"/>
        <v>5169080</v>
      </c>
      <c r="D383" s="2">
        <f t="shared" si="550"/>
        <v>1296000</v>
      </c>
      <c r="E383" s="2">
        <f>700*432</f>
        <v>302400</v>
      </c>
      <c r="F383" s="2">
        <f>1300*432</f>
        <v>561600</v>
      </c>
      <c r="G383" s="2">
        <f>300*432</f>
        <v>129600</v>
      </c>
      <c r="H383" s="2">
        <f>400*432</f>
        <v>172800</v>
      </c>
      <c r="I383" s="2">
        <f>300*432</f>
        <v>129600</v>
      </c>
      <c r="J383" s="2">
        <v>0</v>
      </c>
      <c r="K383" s="21">
        <v>0</v>
      </c>
      <c r="L383" s="2">
        <v>0</v>
      </c>
      <c r="M383" s="19">
        <v>435</v>
      </c>
      <c r="N383" s="2">
        <f t="shared" si="551"/>
        <v>2871000</v>
      </c>
      <c r="O383" s="2">
        <v>0</v>
      </c>
      <c r="P383" s="2">
        <f t="shared" si="552"/>
        <v>0</v>
      </c>
      <c r="Q383" s="19">
        <v>281.89999999999998</v>
      </c>
      <c r="R383" s="2">
        <f t="shared" si="553"/>
        <v>902079.99999999988</v>
      </c>
      <c r="S383" s="2">
        <v>0</v>
      </c>
      <c r="T383" s="2">
        <v>100000</v>
      </c>
      <c r="U383" s="6">
        <f t="shared" si="475"/>
        <v>6600</v>
      </c>
      <c r="V383" s="1"/>
      <c r="W383" s="1"/>
      <c r="X383" s="1"/>
      <c r="Y383" s="1"/>
      <c r="Z383" s="1"/>
      <c r="AA383" s="1"/>
      <c r="AB383" s="1"/>
      <c r="AC383" s="3"/>
    </row>
    <row r="384" spans="1:29" ht="22.9" customHeight="1" x14ac:dyDescent="0.25">
      <c r="A384" s="39" t="s">
        <v>1471</v>
      </c>
      <c r="B384" s="9" t="s">
        <v>1012</v>
      </c>
      <c r="C384" s="7">
        <f t="shared" si="549"/>
        <v>2370800</v>
      </c>
      <c r="D384" s="2">
        <f t="shared" si="550"/>
        <v>1342800</v>
      </c>
      <c r="E384" s="2">
        <f>700*447.6</f>
        <v>313320</v>
      </c>
      <c r="F384" s="2">
        <f>1300*447.6</f>
        <v>581880</v>
      </c>
      <c r="G384" s="2">
        <f>300*447.6</f>
        <v>134280</v>
      </c>
      <c r="H384" s="2">
        <f>400*447.6</f>
        <v>179040</v>
      </c>
      <c r="I384" s="2">
        <f>300*447.6</f>
        <v>134280</v>
      </c>
      <c r="J384" s="2">
        <v>0</v>
      </c>
      <c r="K384" s="21">
        <v>0</v>
      </c>
      <c r="L384" s="2">
        <v>0</v>
      </c>
      <c r="M384" s="19">
        <v>0</v>
      </c>
      <c r="N384" s="2">
        <f t="shared" si="551"/>
        <v>0</v>
      </c>
      <c r="O384" s="2">
        <v>0</v>
      </c>
      <c r="P384" s="2">
        <f t="shared" si="552"/>
        <v>0</v>
      </c>
      <c r="Q384" s="19">
        <v>290</v>
      </c>
      <c r="R384" s="2">
        <f t="shared" si="553"/>
        <v>928000</v>
      </c>
      <c r="S384" s="2">
        <v>0</v>
      </c>
      <c r="T384" s="2">
        <v>100000</v>
      </c>
      <c r="U384" s="6" t="e">
        <f t="shared" si="475"/>
        <v>#DIV/0!</v>
      </c>
      <c r="V384" s="1"/>
      <c r="W384" s="1"/>
      <c r="X384" s="1"/>
      <c r="Y384" s="1"/>
      <c r="Z384" s="1"/>
      <c r="AA384" s="1"/>
      <c r="AB384" s="1"/>
      <c r="AC384" s="3"/>
    </row>
    <row r="385" spans="1:29" ht="22.9" customHeight="1" x14ac:dyDescent="0.25">
      <c r="A385" s="39" t="s">
        <v>1472</v>
      </c>
      <c r="B385" s="9" t="s">
        <v>1013</v>
      </c>
      <c r="C385" s="7">
        <f t="shared" si="549"/>
        <v>5186600</v>
      </c>
      <c r="D385" s="2">
        <f t="shared" si="550"/>
        <v>1302000</v>
      </c>
      <c r="E385" s="2">
        <f>700*434</f>
        <v>303800</v>
      </c>
      <c r="F385" s="2">
        <f>1300*434</f>
        <v>564200</v>
      </c>
      <c r="G385" s="2">
        <f>300*434</f>
        <v>130200</v>
      </c>
      <c r="H385" s="2">
        <f>400*434</f>
        <v>173600</v>
      </c>
      <c r="I385" s="2">
        <f>300*434</f>
        <v>130200</v>
      </c>
      <c r="J385" s="2">
        <v>0</v>
      </c>
      <c r="K385" s="21">
        <v>0</v>
      </c>
      <c r="L385" s="2">
        <v>0</v>
      </c>
      <c r="M385" s="19">
        <v>435</v>
      </c>
      <c r="N385" s="2">
        <f t="shared" si="551"/>
        <v>2871000</v>
      </c>
      <c r="O385" s="2">
        <v>0</v>
      </c>
      <c r="P385" s="2">
        <f t="shared" si="552"/>
        <v>0</v>
      </c>
      <c r="Q385" s="19">
        <v>285.5</v>
      </c>
      <c r="R385" s="2">
        <f t="shared" si="553"/>
        <v>913600</v>
      </c>
      <c r="S385" s="2">
        <v>0</v>
      </c>
      <c r="T385" s="2">
        <v>100000</v>
      </c>
      <c r="U385" s="6">
        <f t="shared" si="475"/>
        <v>6600</v>
      </c>
      <c r="V385" s="1"/>
      <c r="W385" s="1"/>
      <c r="X385" s="1"/>
      <c r="Y385" s="1"/>
      <c r="Z385" s="1"/>
      <c r="AA385" s="1"/>
      <c r="AB385" s="1"/>
      <c r="AC385" s="3"/>
    </row>
    <row r="386" spans="1:29" ht="22.9" customHeight="1" x14ac:dyDescent="0.25">
      <c r="A386" s="39" t="s">
        <v>1473</v>
      </c>
      <c r="B386" s="9" t="s">
        <v>1014</v>
      </c>
      <c r="C386" s="7">
        <f t="shared" si="549"/>
        <v>5904680</v>
      </c>
      <c r="D386" s="2">
        <f t="shared" si="550"/>
        <v>1734000</v>
      </c>
      <c r="E386" s="2">
        <f>700*578</f>
        <v>404600</v>
      </c>
      <c r="F386" s="2">
        <f>1300*578</f>
        <v>751400</v>
      </c>
      <c r="G386" s="2">
        <f>300*578</f>
        <v>173400</v>
      </c>
      <c r="H386" s="2">
        <f>400*578</f>
        <v>231200</v>
      </c>
      <c r="I386" s="2">
        <f>300*578</f>
        <v>173400</v>
      </c>
      <c r="J386" s="2">
        <v>0</v>
      </c>
      <c r="K386" s="21">
        <v>0</v>
      </c>
      <c r="L386" s="2">
        <v>0</v>
      </c>
      <c r="M386" s="19">
        <v>435</v>
      </c>
      <c r="N386" s="2">
        <f t="shared" si="551"/>
        <v>2871000</v>
      </c>
      <c r="O386" s="2">
        <v>0</v>
      </c>
      <c r="P386" s="2">
        <f t="shared" si="552"/>
        <v>0</v>
      </c>
      <c r="Q386" s="19">
        <v>374.9</v>
      </c>
      <c r="R386" s="2">
        <f t="shared" si="553"/>
        <v>1199680</v>
      </c>
      <c r="S386" s="2">
        <v>0</v>
      </c>
      <c r="T386" s="2">
        <v>100000</v>
      </c>
      <c r="U386" s="6">
        <f t="shared" si="475"/>
        <v>6600</v>
      </c>
      <c r="V386" s="1"/>
      <c r="W386" s="1"/>
      <c r="X386" s="1"/>
      <c r="Y386" s="1"/>
      <c r="Z386" s="1"/>
      <c r="AA386" s="1"/>
      <c r="AB386" s="1"/>
      <c r="AC386" s="3"/>
    </row>
    <row r="387" spans="1:29" ht="22.9" customHeight="1" x14ac:dyDescent="0.25">
      <c r="A387" s="39" t="s">
        <v>1474</v>
      </c>
      <c r="B387" s="9" t="s">
        <v>1015</v>
      </c>
      <c r="C387" s="7">
        <f t="shared" si="549"/>
        <v>5953680</v>
      </c>
      <c r="D387" s="2">
        <f t="shared" si="550"/>
        <v>1767000</v>
      </c>
      <c r="E387" s="2">
        <f>700*589</f>
        <v>412300</v>
      </c>
      <c r="F387" s="2">
        <f>1300*589</f>
        <v>765700</v>
      </c>
      <c r="G387" s="2">
        <f>300*589</f>
        <v>176700</v>
      </c>
      <c r="H387" s="2">
        <f>400*589</f>
        <v>235600</v>
      </c>
      <c r="I387" s="2">
        <f>300*589</f>
        <v>176700</v>
      </c>
      <c r="J387" s="2">
        <v>0</v>
      </c>
      <c r="K387" s="21">
        <v>0</v>
      </c>
      <c r="L387" s="2">
        <v>0</v>
      </c>
      <c r="M387" s="19">
        <v>435</v>
      </c>
      <c r="N387" s="2">
        <f t="shared" si="551"/>
        <v>2871000</v>
      </c>
      <c r="O387" s="2">
        <v>0</v>
      </c>
      <c r="P387" s="2">
        <f t="shared" si="552"/>
        <v>0</v>
      </c>
      <c r="Q387" s="19">
        <v>379.9</v>
      </c>
      <c r="R387" s="2">
        <f t="shared" si="553"/>
        <v>1215680</v>
      </c>
      <c r="S387" s="2">
        <v>0</v>
      </c>
      <c r="T387" s="2">
        <v>100000</v>
      </c>
      <c r="U387" s="6">
        <f t="shared" si="475"/>
        <v>6600</v>
      </c>
      <c r="V387" s="1"/>
      <c r="W387" s="1"/>
      <c r="X387" s="1"/>
      <c r="Y387" s="1"/>
      <c r="Z387" s="1"/>
      <c r="AA387" s="1"/>
      <c r="AB387" s="1"/>
      <c r="AC387" s="3"/>
    </row>
    <row r="388" spans="1:29" ht="22.9" customHeight="1" x14ac:dyDescent="0.25">
      <c r="A388" s="39" t="s">
        <v>1475</v>
      </c>
      <c r="B388" s="9" t="s">
        <v>1016</v>
      </c>
      <c r="C388" s="7">
        <f t="shared" ref="C388" si="554">D388+L388+N388+P388+R388+S388+T388</f>
        <v>2640000</v>
      </c>
      <c r="D388" s="2">
        <f t="shared" ref="D388" si="555">SUM(E388:J388)</f>
        <v>0</v>
      </c>
      <c r="E388" s="2">
        <v>0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  <c r="K388" s="21">
        <v>0</v>
      </c>
      <c r="L388" s="2">
        <v>0</v>
      </c>
      <c r="M388" s="19">
        <v>400</v>
      </c>
      <c r="N388" s="2">
        <f t="shared" ref="N388" si="556">M388*6600</f>
        <v>2640000</v>
      </c>
      <c r="O388" s="2">
        <v>0</v>
      </c>
      <c r="P388" s="2">
        <f t="shared" ref="P388" si="557">O388*1200</f>
        <v>0</v>
      </c>
      <c r="Q388" s="19">
        <v>0</v>
      </c>
      <c r="R388" s="2">
        <v>0</v>
      </c>
      <c r="S388" s="2">
        <v>0</v>
      </c>
      <c r="T388" s="2">
        <v>0</v>
      </c>
      <c r="U388" s="6">
        <f t="shared" si="475"/>
        <v>6600</v>
      </c>
      <c r="V388" s="1"/>
      <c r="W388" s="1"/>
      <c r="X388" s="1"/>
      <c r="Y388" s="1"/>
      <c r="Z388" s="1"/>
      <c r="AA388" s="1"/>
      <c r="AB388" s="1"/>
      <c r="AC388" s="3"/>
    </row>
    <row r="389" spans="1:29" ht="45" customHeight="1" x14ac:dyDescent="0.25">
      <c r="A389" s="43" t="s">
        <v>1031</v>
      </c>
      <c r="B389" s="43"/>
      <c r="C389" s="1">
        <f>SUM(C390:C393)</f>
        <v>14101120</v>
      </c>
      <c r="D389" s="1">
        <f t="shared" ref="D389:T389" si="558">SUM(D390:D393)</f>
        <v>0</v>
      </c>
      <c r="E389" s="1">
        <f t="shared" si="558"/>
        <v>0</v>
      </c>
      <c r="F389" s="1">
        <f t="shared" si="558"/>
        <v>0</v>
      </c>
      <c r="G389" s="1">
        <f t="shared" si="558"/>
        <v>0</v>
      </c>
      <c r="H389" s="1">
        <f t="shared" si="558"/>
        <v>0</v>
      </c>
      <c r="I389" s="1">
        <f t="shared" si="558"/>
        <v>0</v>
      </c>
      <c r="J389" s="1">
        <f t="shared" si="558"/>
        <v>0</v>
      </c>
      <c r="K389" s="33">
        <f t="shared" si="558"/>
        <v>0</v>
      </c>
      <c r="L389" s="1">
        <f t="shared" si="558"/>
        <v>0</v>
      </c>
      <c r="M389" s="1">
        <f t="shared" si="558"/>
        <v>1123.2</v>
      </c>
      <c r="N389" s="1">
        <f t="shared" si="558"/>
        <v>7413120</v>
      </c>
      <c r="O389" s="1">
        <f t="shared" si="558"/>
        <v>0</v>
      </c>
      <c r="P389" s="1">
        <f t="shared" si="558"/>
        <v>0</v>
      </c>
      <c r="Q389" s="1">
        <f t="shared" si="558"/>
        <v>2090</v>
      </c>
      <c r="R389" s="1">
        <f t="shared" si="558"/>
        <v>6688000</v>
      </c>
      <c r="S389" s="1">
        <f t="shared" si="558"/>
        <v>0</v>
      </c>
      <c r="T389" s="1">
        <f t="shared" si="558"/>
        <v>0</v>
      </c>
      <c r="U389" s="3" t="e">
        <f>C389+#REF!+#REF!</f>
        <v>#REF!</v>
      </c>
    </row>
    <row r="390" spans="1:29" ht="22.9" customHeight="1" x14ac:dyDescent="0.25">
      <c r="A390" s="39" t="s">
        <v>1476</v>
      </c>
      <c r="B390" s="9" t="s">
        <v>1032</v>
      </c>
      <c r="C390" s="7">
        <f t="shared" ref="C390" si="559">D390+L390+N390+P390+R390+S390+T390</f>
        <v>3525280</v>
      </c>
      <c r="D390" s="2">
        <f t="shared" ref="D390" si="560">SUM(E390:J390)</f>
        <v>0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1">
        <v>0</v>
      </c>
      <c r="L390" s="2">
        <v>0</v>
      </c>
      <c r="M390" s="19">
        <v>280.8</v>
      </c>
      <c r="N390" s="2">
        <f t="shared" ref="N390" si="561">M390*6600</f>
        <v>1853280</v>
      </c>
      <c r="O390" s="2">
        <v>0</v>
      </c>
      <c r="P390" s="2">
        <f t="shared" ref="P390" si="562">O390*1200</f>
        <v>0</v>
      </c>
      <c r="Q390" s="19">
        <v>522.5</v>
      </c>
      <c r="R390" s="2">
        <f t="shared" ref="R390" si="563">Q390*3200</f>
        <v>1672000</v>
      </c>
      <c r="S390" s="2">
        <v>0</v>
      </c>
      <c r="T390" s="2">
        <v>0</v>
      </c>
      <c r="U390" s="6">
        <f t="shared" si="475"/>
        <v>6600</v>
      </c>
      <c r="V390" s="1"/>
      <c r="W390" s="1"/>
      <c r="X390" s="1"/>
      <c r="Y390" s="1"/>
      <c r="Z390" s="1"/>
      <c r="AA390" s="1"/>
      <c r="AB390" s="1"/>
      <c r="AC390" s="3"/>
    </row>
    <row r="391" spans="1:29" ht="22.9" customHeight="1" x14ac:dyDescent="0.25">
      <c r="A391" s="39" t="s">
        <v>1477</v>
      </c>
      <c r="B391" s="9" t="s">
        <v>1033</v>
      </c>
      <c r="C391" s="7">
        <f t="shared" ref="C391:C393" si="564">D391+L391+N391+P391+R391+S391+T391</f>
        <v>3525280</v>
      </c>
      <c r="D391" s="2">
        <f t="shared" ref="D391:D393" si="565">SUM(E391:J391)</f>
        <v>0</v>
      </c>
      <c r="E391" s="2">
        <v>0</v>
      </c>
      <c r="F391" s="2">
        <v>0</v>
      </c>
      <c r="G391" s="2">
        <v>0</v>
      </c>
      <c r="H391" s="2">
        <v>0</v>
      </c>
      <c r="I391" s="2">
        <v>0</v>
      </c>
      <c r="J391" s="2">
        <v>0</v>
      </c>
      <c r="K391" s="21">
        <v>0</v>
      </c>
      <c r="L391" s="2">
        <v>0</v>
      </c>
      <c r="M391" s="19">
        <v>280.8</v>
      </c>
      <c r="N391" s="2">
        <f t="shared" ref="N391:N397" si="566">M391*6600</f>
        <v>1853280</v>
      </c>
      <c r="O391" s="2">
        <v>0</v>
      </c>
      <c r="P391" s="2">
        <f t="shared" ref="P391:P393" si="567">O391*1200</f>
        <v>0</v>
      </c>
      <c r="Q391" s="19">
        <v>522.5</v>
      </c>
      <c r="R391" s="2">
        <f t="shared" ref="R391:R397" si="568">Q391*3200</f>
        <v>1672000</v>
      </c>
      <c r="S391" s="2">
        <v>0</v>
      </c>
      <c r="T391" s="2">
        <v>0</v>
      </c>
      <c r="U391" s="6">
        <f t="shared" si="475"/>
        <v>6600</v>
      </c>
      <c r="V391" s="1"/>
      <c r="W391" s="1"/>
      <c r="X391" s="1"/>
      <c r="Y391" s="1"/>
      <c r="Z391" s="1"/>
      <c r="AA391" s="1"/>
      <c r="AB391" s="1"/>
      <c r="AC391" s="3"/>
    </row>
    <row r="392" spans="1:29" ht="22.9" customHeight="1" x14ac:dyDescent="0.25">
      <c r="A392" s="39" t="s">
        <v>1478</v>
      </c>
      <c r="B392" s="9" t="s">
        <v>1034</v>
      </c>
      <c r="C392" s="7">
        <f t="shared" si="564"/>
        <v>3525280</v>
      </c>
      <c r="D392" s="2">
        <f t="shared" si="565"/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1">
        <v>0</v>
      </c>
      <c r="L392" s="2">
        <v>0</v>
      </c>
      <c r="M392" s="19">
        <v>280.8</v>
      </c>
      <c r="N392" s="2">
        <f t="shared" si="566"/>
        <v>1853280</v>
      </c>
      <c r="O392" s="2">
        <v>0</v>
      </c>
      <c r="P392" s="2">
        <f t="shared" si="567"/>
        <v>0</v>
      </c>
      <c r="Q392" s="19">
        <v>522.5</v>
      </c>
      <c r="R392" s="2">
        <f t="shared" si="568"/>
        <v>1672000</v>
      </c>
      <c r="S392" s="2">
        <v>0</v>
      </c>
      <c r="T392" s="2">
        <v>0</v>
      </c>
      <c r="U392" s="6">
        <f t="shared" si="475"/>
        <v>6600</v>
      </c>
      <c r="V392" s="1"/>
      <c r="W392" s="1"/>
      <c r="X392" s="1"/>
      <c r="Y392" s="1"/>
      <c r="Z392" s="1"/>
      <c r="AA392" s="1"/>
      <c r="AB392" s="1"/>
      <c r="AC392" s="3"/>
    </row>
    <row r="393" spans="1:29" ht="22.9" customHeight="1" x14ac:dyDescent="0.25">
      <c r="A393" s="39" t="s">
        <v>1479</v>
      </c>
      <c r="B393" s="9" t="s">
        <v>1035</v>
      </c>
      <c r="C393" s="7">
        <f t="shared" si="564"/>
        <v>3525280</v>
      </c>
      <c r="D393" s="2">
        <f t="shared" si="565"/>
        <v>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J393" s="2">
        <v>0</v>
      </c>
      <c r="K393" s="21">
        <v>0</v>
      </c>
      <c r="L393" s="2">
        <v>0</v>
      </c>
      <c r="M393" s="19">
        <v>280.8</v>
      </c>
      <c r="N393" s="2">
        <f t="shared" si="566"/>
        <v>1853280</v>
      </c>
      <c r="O393" s="2">
        <v>0</v>
      </c>
      <c r="P393" s="2">
        <f t="shared" si="567"/>
        <v>0</v>
      </c>
      <c r="Q393" s="19">
        <v>522.5</v>
      </c>
      <c r="R393" s="2">
        <f t="shared" si="568"/>
        <v>1672000</v>
      </c>
      <c r="S393" s="2">
        <v>0</v>
      </c>
      <c r="T393" s="2">
        <v>0</v>
      </c>
      <c r="U393" s="6">
        <f t="shared" si="475"/>
        <v>6600</v>
      </c>
      <c r="V393" s="1"/>
      <c r="W393" s="1"/>
      <c r="X393" s="1"/>
      <c r="Y393" s="1"/>
      <c r="Z393" s="1"/>
      <c r="AA393" s="1"/>
      <c r="AB393" s="1"/>
      <c r="AC393" s="3"/>
    </row>
    <row r="394" spans="1:29" ht="45" customHeight="1" x14ac:dyDescent="0.25">
      <c r="A394" s="43" t="s">
        <v>1036</v>
      </c>
      <c r="B394" s="43"/>
      <c r="C394" s="1">
        <f>SUM(C395:C403)</f>
        <v>27319315</v>
      </c>
      <c r="D394" s="1">
        <f t="shared" ref="D394:T394" si="569">SUM(D395:D403)</f>
        <v>2972825</v>
      </c>
      <c r="E394" s="1">
        <f t="shared" si="569"/>
        <v>2071405</v>
      </c>
      <c r="F394" s="1">
        <f t="shared" si="569"/>
        <v>901420</v>
      </c>
      <c r="G394" s="1">
        <f t="shared" si="569"/>
        <v>0</v>
      </c>
      <c r="H394" s="1">
        <f t="shared" si="569"/>
        <v>0</v>
      </c>
      <c r="I394" s="1">
        <f t="shared" si="569"/>
        <v>0</v>
      </c>
      <c r="J394" s="1">
        <f t="shared" si="569"/>
        <v>0</v>
      </c>
      <c r="K394" s="33">
        <f t="shared" si="569"/>
        <v>0</v>
      </c>
      <c r="L394" s="1">
        <f t="shared" si="569"/>
        <v>0</v>
      </c>
      <c r="M394" s="1">
        <f t="shared" si="569"/>
        <v>2270.0499999999997</v>
      </c>
      <c r="N394" s="1">
        <f t="shared" si="569"/>
        <v>14982330</v>
      </c>
      <c r="O394" s="1">
        <f t="shared" si="569"/>
        <v>0</v>
      </c>
      <c r="P394" s="1">
        <f t="shared" si="569"/>
        <v>0</v>
      </c>
      <c r="Q394" s="1">
        <f t="shared" si="569"/>
        <v>2270.0499999999997</v>
      </c>
      <c r="R394" s="1">
        <f t="shared" si="569"/>
        <v>7264160</v>
      </c>
      <c r="S394" s="1">
        <f t="shared" si="569"/>
        <v>1200000</v>
      </c>
      <c r="T394" s="1">
        <f t="shared" si="569"/>
        <v>900000</v>
      </c>
      <c r="U394" s="3" t="e">
        <f>C394+#REF!+#REF!</f>
        <v>#REF!</v>
      </c>
    </row>
    <row r="395" spans="1:29" ht="22.9" customHeight="1" x14ac:dyDescent="0.25">
      <c r="A395" s="39" t="s">
        <v>1480</v>
      </c>
      <c r="B395" s="9" t="s">
        <v>1037</v>
      </c>
      <c r="C395" s="7">
        <f t="shared" ref="C395:C398" si="570">D395+L395+N395+P395+R395+S395+T395</f>
        <v>3428455</v>
      </c>
      <c r="D395" s="2">
        <f t="shared" ref="D395:D398" si="571">SUM(E395:J395)</f>
        <v>211897</v>
      </c>
      <c r="E395" s="2">
        <f>700*302.71</f>
        <v>211897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21">
        <v>0</v>
      </c>
      <c r="L395" s="2">
        <v>0</v>
      </c>
      <c r="M395" s="2">
        <v>302.70999999999998</v>
      </c>
      <c r="N395" s="2">
        <f t="shared" si="566"/>
        <v>1997885.9999999998</v>
      </c>
      <c r="O395" s="19">
        <v>0</v>
      </c>
      <c r="P395" s="19">
        <v>0</v>
      </c>
      <c r="Q395" s="19">
        <v>302.70999999999998</v>
      </c>
      <c r="R395" s="2">
        <f t="shared" si="568"/>
        <v>968671.99999999988</v>
      </c>
      <c r="S395" s="2">
        <v>150000</v>
      </c>
      <c r="T395" s="2">
        <v>100000</v>
      </c>
      <c r="U395" s="6">
        <f t="shared" si="475"/>
        <v>6600</v>
      </c>
      <c r="V395" s="1"/>
      <c r="W395" s="1"/>
      <c r="X395" s="1"/>
      <c r="Y395" s="1"/>
      <c r="Z395" s="1"/>
      <c r="AA395" s="1"/>
      <c r="AB395" s="1"/>
      <c r="AC395" s="3"/>
    </row>
    <row r="396" spans="1:29" ht="22.9" customHeight="1" x14ac:dyDescent="0.25">
      <c r="A396" s="39" t="s">
        <v>1481</v>
      </c>
      <c r="B396" s="9" t="s">
        <v>1038</v>
      </c>
      <c r="C396" s="7">
        <f t="shared" si="570"/>
        <v>304260</v>
      </c>
      <c r="D396" s="2">
        <f t="shared" si="571"/>
        <v>204260</v>
      </c>
      <c r="E396" s="2">
        <f>700*291.8</f>
        <v>204260</v>
      </c>
      <c r="F396" s="19">
        <v>0</v>
      </c>
      <c r="G396" s="19">
        <v>0</v>
      </c>
      <c r="H396" s="19">
        <v>0</v>
      </c>
      <c r="I396" s="19">
        <v>0</v>
      </c>
      <c r="J396" s="19">
        <v>0</v>
      </c>
      <c r="K396" s="21">
        <v>0</v>
      </c>
      <c r="L396" s="2">
        <v>0</v>
      </c>
      <c r="M396" s="2">
        <v>0</v>
      </c>
      <c r="N396" s="19">
        <v>0</v>
      </c>
      <c r="O396" s="19">
        <v>0</v>
      </c>
      <c r="P396" s="19">
        <v>0</v>
      </c>
      <c r="Q396" s="19">
        <v>0</v>
      </c>
      <c r="R396" s="2">
        <f t="shared" si="568"/>
        <v>0</v>
      </c>
      <c r="S396" s="2">
        <v>0</v>
      </c>
      <c r="T396" s="2">
        <v>100000</v>
      </c>
      <c r="U396" s="6" t="e">
        <f t="shared" si="475"/>
        <v>#DIV/0!</v>
      </c>
      <c r="V396" s="1"/>
      <c r="W396" s="1"/>
      <c r="X396" s="1"/>
      <c r="Y396" s="1"/>
      <c r="Z396" s="1"/>
      <c r="AA396" s="1"/>
      <c r="AB396" s="1"/>
      <c r="AC396" s="3"/>
    </row>
    <row r="397" spans="1:29" ht="22.9" customHeight="1" x14ac:dyDescent="0.25">
      <c r="A397" s="39" t="s">
        <v>1482</v>
      </c>
      <c r="B397" s="9" t="s">
        <v>1039</v>
      </c>
      <c r="C397" s="7">
        <f t="shared" si="570"/>
        <v>3327830</v>
      </c>
      <c r="D397" s="2">
        <f t="shared" si="571"/>
        <v>204470.00000000003</v>
      </c>
      <c r="E397" s="2">
        <f>700*292.1</f>
        <v>204470.00000000003</v>
      </c>
      <c r="F397" s="19">
        <v>0</v>
      </c>
      <c r="G397" s="19">
        <v>0</v>
      </c>
      <c r="H397" s="19">
        <v>0</v>
      </c>
      <c r="I397" s="19">
        <v>0</v>
      </c>
      <c r="J397" s="19">
        <v>0</v>
      </c>
      <c r="K397" s="22">
        <v>0</v>
      </c>
      <c r="L397" s="19">
        <v>0</v>
      </c>
      <c r="M397" s="19">
        <v>293.2</v>
      </c>
      <c r="N397" s="2">
        <f t="shared" si="566"/>
        <v>1935120</v>
      </c>
      <c r="O397" s="19">
        <v>0</v>
      </c>
      <c r="P397" s="19">
        <v>0</v>
      </c>
      <c r="Q397" s="2">
        <v>293.2</v>
      </c>
      <c r="R397" s="2">
        <f t="shared" si="568"/>
        <v>938240</v>
      </c>
      <c r="S397" s="2">
        <v>150000</v>
      </c>
      <c r="T397" s="2">
        <v>100000</v>
      </c>
      <c r="U397" s="6">
        <f t="shared" si="475"/>
        <v>6600</v>
      </c>
      <c r="V397" s="1"/>
      <c r="W397" s="1"/>
      <c r="X397" s="1"/>
      <c r="Y397" s="1"/>
      <c r="Z397" s="1"/>
      <c r="AA397" s="1"/>
      <c r="AB397" s="1"/>
      <c r="AC397" s="3"/>
    </row>
    <row r="398" spans="1:29" ht="22.9" customHeight="1" x14ac:dyDescent="0.25">
      <c r="A398" s="39" t="s">
        <v>1483</v>
      </c>
      <c r="B398" s="9" t="s">
        <v>1040</v>
      </c>
      <c r="C398" s="7">
        <f t="shared" si="570"/>
        <v>3486030</v>
      </c>
      <c r="D398" s="2">
        <f t="shared" si="571"/>
        <v>215670.00000000003</v>
      </c>
      <c r="E398" s="2">
        <f>700*308.1</f>
        <v>215670.00000000003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1">
        <v>0</v>
      </c>
      <c r="L398" s="2">
        <v>0</v>
      </c>
      <c r="M398" s="23">
        <v>308.2</v>
      </c>
      <c r="N398" s="2">
        <f t="shared" ref="N398" si="572">M398*6600</f>
        <v>2034120</v>
      </c>
      <c r="O398" s="19">
        <v>0</v>
      </c>
      <c r="P398" s="19">
        <v>0</v>
      </c>
      <c r="Q398" s="2">
        <v>308.2</v>
      </c>
      <c r="R398" s="2">
        <f t="shared" ref="R398" si="573">Q398*3200</f>
        <v>986240</v>
      </c>
      <c r="S398" s="2">
        <v>150000</v>
      </c>
      <c r="T398" s="2">
        <v>100000</v>
      </c>
      <c r="U398" s="6">
        <f t="shared" si="475"/>
        <v>6600</v>
      </c>
      <c r="V398" s="1"/>
      <c r="W398" s="1"/>
      <c r="X398" s="1"/>
      <c r="Y398" s="1"/>
      <c r="Z398" s="1"/>
      <c r="AA398" s="1"/>
      <c r="AB398" s="1"/>
      <c r="AC398" s="3"/>
    </row>
    <row r="399" spans="1:29" ht="22.9" customHeight="1" x14ac:dyDescent="0.25">
      <c r="A399" s="39" t="s">
        <v>1484</v>
      </c>
      <c r="B399" s="9" t="s">
        <v>1041</v>
      </c>
      <c r="C399" s="7">
        <f t="shared" ref="C399:C403" si="574">D399+L399+N399+P399+R399+S399+T399</f>
        <v>3159760</v>
      </c>
      <c r="D399" s="2">
        <f t="shared" ref="D399:D403" si="575">SUM(E399:J399)</f>
        <v>193984</v>
      </c>
      <c r="E399" s="2">
        <f>700*277.12</f>
        <v>193984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1">
        <v>0</v>
      </c>
      <c r="L399" s="2">
        <v>0</v>
      </c>
      <c r="M399" s="23">
        <v>277.12</v>
      </c>
      <c r="N399" s="2">
        <f t="shared" ref="N399:N403" si="576">M399*6600</f>
        <v>1828992</v>
      </c>
      <c r="O399" s="19">
        <v>0</v>
      </c>
      <c r="P399" s="19">
        <v>0</v>
      </c>
      <c r="Q399" s="2">
        <v>277.12</v>
      </c>
      <c r="R399" s="2">
        <f t="shared" ref="R399:R403" si="577">Q399*3200</f>
        <v>886784</v>
      </c>
      <c r="S399" s="2">
        <v>150000</v>
      </c>
      <c r="T399" s="2">
        <v>100000</v>
      </c>
      <c r="U399" s="6">
        <f t="shared" si="475"/>
        <v>6600</v>
      </c>
      <c r="V399" s="1"/>
      <c r="W399" s="1"/>
      <c r="X399" s="1"/>
      <c r="Y399" s="1"/>
      <c r="Z399" s="1"/>
      <c r="AA399" s="1"/>
      <c r="AB399" s="1"/>
      <c r="AC399" s="3"/>
    </row>
    <row r="400" spans="1:29" ht="22.9" customHeight="1" x14ac:dyDescent="0.25">
      <c r="A400" s="39" t="s">
        <v>1485</v>
      </c>
      <c r="B400" s="9" t="s">
        <v>1042</v>
      </c>
      <c r="C400" s="7">
        <f t="shared" si="574"/>
        <v>2577010</v>
      </c>
      <c r="D400" s="2">
        <f t="shared" si="575"/>
        <v>155134</v>
      </c>
      <c r="E400" s="2">
        <f>700*221.62</f>
        <v>155134</v>
      </c>
      <c r="F400" s="2">
        <v>0</v>
      </c>
      <c r="G400" s="2">
        <v>0</v>
      </c>
      <c r="H400" s="2">
        <v>0</v>
      </c>
      <c r="I400" s="2">
        <v>0</v>
      </c>
      <c r="J400" s="2">
        <v>0</v>
      </c>
      <c r="K400" s="21">
        <v>0</v>
      </c>
      <c r="L400" s="2">
        <v>0</v>
      </c>
      <c r="M400" s="23">
        <v>221.62</v>
      </c>
      <c r="N400" s="2">
        <f t="shared" si="576"/>
        <v>1462692</v>
      </c>
      <c r="O400" s="19">
        <v>0</v>
      </c>
      <c r="P400" s="19">
        <v>0</v>
      </c>
      <c r="Q400" s="2">
        <v>221.62</v>
      </c>
      <c r="R400" s="2">
        <f t="shared" si="577"/>
        <v>709184</v>
      </c>
      <c r="S400" s="2">
        <v>150000</v>
      </c>
      <c r="T400" s="2">
        <v>100000</v>
      </c>
      <c r="U400" s="6">
        <f t="shared" si="475"/>
        <v>6600</v>
      </c>
      <c r="V400" s="1"/>
      <c r="W400" s="1"/>
      <c r="X400" s="1"/>
      <c r="Y400" s="1"/>
      <c r="Z400" s="1"/>
      <c r="AA400" s="1"/>
      <c r="AB400" s="1"/>
      <c r="AC400" s="3"/>
    </row>
    <row r="401" spans="1:29" ht="22.9" customHeight="1" x14ac:dyDescent="0.25">
      <c r="A401" s="39" t="s">
        <v>1486</v>
      </c>
      <c r="B401" s="9" t="s">
        <v>1043</v>
      </c>
      <c r="C401" s="7">
        <f t="shared" si="574"/>
        <v>6259149.9999999991</v>
      </c>
      <c r="D401" s="2">
        <f t="shared" si="575"/>
        <v>400609.99999999994</v>
      </c>
      <c r="E401" s="2">
        <f>700*572.3</f>
        <v>400609.99999999994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1">
        <v>0</v>
      </c>
      <c r="L401" s="2">
        <v>0</v>
      </c>
      <c r="M401" s="23">
        <v>572.29999999999995</v>
      </c>
      <c r="N401" s="2">
        <f t="shared" si="576"/>
        <v>3777179.9999999995</v>
      </c>
      <c r="O401" s="19">
        <v>0</v>
      </c>
      <c r="P401" s="19">
        <v>0</v>
      </c>
      <c r="Q401" s="2">
        <v>572.29999999999995</v>
      </c>
      <c r="R401" s="2">
        <f t="shared" si="577"/>
        <v>1831359.9999999998</v>
      </c>
      <c r="S401" s="2">
        <v>150000</v>
      </c>
      <c r="T401" s="2">
        <v>100000</v>
      </c>
      <c r="U401" s="6">
        <f t="shared" si="475"/>
        <v>6600</v>
      </c>
      <c r="V401" s="1"/>
      <c r="W401" s="1"/>
      <c r="X401" s="1"/>
      <c r="Y401" s="1"/>
      <c r="Z401" s="1"/>
      <c r="AA401" s="1"/>
      <c r="AB401" s="1"/>
      <c r="AC401" s="3"/>
    </row>
    <row r="402" spans="1:29" ht="22.9" customHeight="1" x14ac:dyDescent="0.25">
      <c r="A402" s="39" t="s">
        <v>1487</v>
      </c>
      <c r="B402" s="9" t="s">
        <v>1044</v>
      </c>
      <c r="C402" s="7">
        <f t="shared" si="574"/>
        <v>1047000</v>
      </c>
      <c r="D402" s="2">
        <f t="shared" si="575"/>
        <v>797000</v>
      </c>
      <c r="E402" s="2">
        <f>700*398.5</f>
        <v>278950</v>
      </c>
      <c r="F402" s="2">
        <f>1300*398.5</f>
        <v>518050</v>
      </c>
      <c r="G402" s="2">
        <v>0</v>
      </c>
      <c r="H402" s="2">
        <v>0</v>
      </c>
      <c r="I402" s="2">
        <v>0</v>
      </c>
      <c r="J402" s="2">
        <v>0</v>
      </c>
      <c r="K402" s="21">
        <v>0</v>
      </c>
      <c r="L402" s="2">
        <v>0</v>
      </c>
      <c r="M402" s="23">
        <v>0</v>
      </c>
      <c r="N402" s="2">
        <f t="shared" si="576"/>
        <v>0</v>
      </c>
      <c r="O402" s="19">
        <v>0</v>
      </c>
      <c r="P402" s="19">
        <v>0</v>
      </c>
      <c r="Q402" s="2">
        <v>0</v>
      </c>
      <c r="R402" s="2">
        <f t="shared" si="577"/>
        <v>0</v>
      </c>
      <c r="S402" s="2">
        <v>150000</v>
      </c>
      <c r="T402" s="2">
        <v>100000</v>
      </c>
      <c r="U402" s="6" t="e">
        <f t="shared" si="475"/>
        <v>#DIV/0!</v>
      </c>
      <c r="V402" s="1"/>
      <c r="W402" s="1"/>
      <c r="X402" s="1"/>
      <c r="Y402" s="1"/>
      <c r="Z402" s="1"/>
      <c r="AA402" s="1"/>
      <c r="AB402" s="1"/>
      <c r="AC402" s="3"/>
    </row>
    <row r="403" spans="1:29" ht="22.9" customHeight="1" x14ac:dyDescent="0.25">
      <c r="A403" s="39" t="s">
        <v>1488</v>
      </c>
      <c r="B403" s="9" t="s">
        <v>1045</v>
      </c>
      <c r="C403" s="7">
        <f t="shared" si="574"/>
        <v>3729819.9999999995</v>
      </c>
      <c r="D403" s="2">
        <f t="shared" si="575"/>
        <v>589799.99999999988</v>
      </c>
      <c r="E403" s="2">
        <f>700*294.9</f>
        <v>206429.99999999997</v>
      </c>
      <c r="F403" s="2">
        <f>1300*294.9</f>
        <v>383369.99999999994</v>
      </c>
      <c r="G403" s="2">
        <v>0</v>
      </c>
      <c r="H403" s="2">
        <v>0</v>
      </c>
      <c r="I403" s="2">
        <v>0</v>
      </c>
      <c r="J403" s="2">
        <v>0</v>
      </c>
      <c r="K403" s="21">
        <v>0</v>
      </c>
      <c r="L403" s="2">
        <v>0</v>
      </c>
      <c r="M403" s="23">
        <v>294.89999999999998</v>
      </c>
      <c r="N403" s="2">
        <f t="shared" si="576"/>
        <v>1946339.9999999998</v>
      </c>
      <c r="O403" s="19">
        <v>0</v>
      </c>
      <c r="P403" s="19">
        <v>0</v>
      </c>
      <c r="Q403" s="2">
        <v>294.89999999999998</v>
      </c>
      <c r="R403" s="2">
        <f t="shared" si="577"/>
        <v>943679.99999999988</v>
      </c>
      <c r="S403" s="2">
        <v>150000</v>
      </c>
      <c r="T403" s="2">
        <v>100000</v>
      </c>
      <c r="U403" s="6">
        <f t="shared" si="475"/>
        <v>6600</v>
      </c>
      <c r="V403" s="1"/>
      <c r="W403" s="1"/>
      <c r="X403" s="1"/>
      <c r="Y403" s="1"/>
      <c r="Z403" s="1"/>
      <c r="AA403" s="1"/>
      <c r="AB403" s="1"/>
      <c r="AC403" s="3"/>
    </row>
    <row r="404" spans="1:29" ht="45" customHeight="1" x14ac:dyDescent="0.25">
      <c r="A404" s="43" t="s">
        <v>1064</v>
      </c>
      <c r="B404" s="43"/>
      <c r="C404" s="1">
        <f>SUM(C405)</f>
        <v>4672600</v>
      </c>
      <c r="D404" s="1">
        <f t="shared" ref="D404:T404" si="578">SUM(D405)</f>
        <v>294840</v>
      </c>
      <c r="E404" s="1">
        <f t="shared" si="578"/>
        <v>294840</v>
      </c>
      <c r="F404" s="1">
        <f t="shared" si="578"/>
        <v>0</v>
      </c>
      <c r="G404" s="1">
        <f t="shared" si="578"/>
        <v>0</v>
      </c>
      <c r="H404" s="1">
        <f t="shared" si="578"/>
        <v>0</v>
      </c>
      <c r="I404" s="1">
        <f t="shared" si="578"/>
        <v>0</v>
      </c>
      <c r="J404" s="1">
        <f t="shared" si="578"/>
        <v>0</v>
      </c>
      <c r="K404" s="33">
        <f t="shared" si="578"/>
        <v>0</v>
      </c>
      <c r="L404" s="1">
        <f t="shared" si="578"/>
        <v>0</v>
      </c>
      <c r="M404" s="1">
        <f t="shared" si="578"/>
        <v>421.2</v>
      </c>
      <c r="N404" s="1">
        <f t="shared" si="578"/>
        <v>2779920</v>
      </c>
      <c r="O404" s="1">
        <f t="shared" si="578"/>
        <v>0</v>
      </c>
      <c r="P404" s="1">
        <f t="shared" si="578"/>
        <v>0</v>
      </c>
      <c r="Q404" s="1">
        <f t="shared" si="578"/>
        <v>421.2</v>
      </c>
      <c r="R404" s="1">
        <f t="shared" si="578"/>
        <v>1347840</v>
      </c>
      <c r="S404" s="1">
        <f t="shared" si="578"/>
        <v>150000</v>
      </c>
      <c r="T404" s="1">
        <f t="shared" si="578"/>
        <v>100000</v>
      </c>
      <c r="U404" s="3" t="e">
        <f>C404+#REF!+#REF!</f>
        <v>#REF!</v>
      </c>
    </row>
    <row r="405" spans="1:29" ht="22.9" customHeight="1" x14ac:dyDescent="0.25">
      <c r="A405" s="39" t="s">
        <v>1489</v>
      </c>
      <c r="B405" s="9" t="s">
        <v>1065</v>
      </c>
      <c r="C405" s="7">
        <f t="shared" ref="C405" si="579">D405+L405+N405+P405+R405+S405+T405</f>
        <v>4672600</v>
      </c>
      <c r="D405" s="2">
        <f t="shared" ref="D405" si="580">SUM(E405:J405)</f>
        <v>294840</v>
      </c>
      <c r="E405" s="2">
        <f>700*421.2</f>
        <v>294840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1">
        <v>0</v>
      </c>
      <c r="L405" s="2">
        <v>0</v>
      </c>
      <c r="M405" s="23">
        <v>421.2</v>
      </c>
      <c r="N405" s="2">
        <f t="shared" ref="N405" si="581">M405*6600</f>
        <v>2779920</v>
      </c>
      <c r="O405" s="19">
        <v>0</v>
      </c>
      <c r="P405" s="19">
        <v>0</v>
      </c>
      <c r="Q405" s="2">
        <v>421.2</v>
      </c>
      <c r="R405" s="2">
        <f t="shared" ref="R405" si="582">Q405*3200</f>
        <v>1347840</v>
      </c>
      <c r="S405" s="2">
        <v>150000</v>
      </c>
      <c r="T405" s="2">
        <v>100000</v>
      </c>
      <c r="U405" s="6">
        <f t="shared" si="475"/>
        <v>6600</v>
      </c>
      <c r="V405" s="1"/>
      <c r="W405" s="1"/>
      <c r="X405" s="1"/>
      <c r="Y405" s="1"/>
      <c r="Z405" s="1"/>
      <c r="AA405" s="1"/>
      <c r="AB405" s="1"/>
      <c r="AC405" s="3"/>
    </row>
    <row r="406" spans="1:29" ht="45" customHeight="1" x14ac:dyDescent="0.25">
      <c r="A406" s="43" t="s">
        <v>1073</v>
      </c>
      <c r="B406" s="43"/>
      <c r="C406" s="1">
        <f>SUM(C407)</f>
        <v>4074090</v>
      </c>
      <c r="D406" s="1">
        <f t="shared" ref="D406:T406" si="583">SUM(D407)</f>
        <v>291690</v>
      </c>
      <c r="E406" s="1">
        <f t="shared" si="583"/>
        <v>291690</v>
      </c>
      <c r="F406" s="1">
        <f t="shared" si="583"/>
        <v>0</v>
      </c>
      <c r="G406" s="1">
        <f t="shared" si="583"/>
        <v>0</v>
      </c>
      <c r="H406" s="1">
        <f t="shared" si="583"/>
        <v>0</v>
      </c>
      <c r="I406" s="1">
        <f t="shared" si="583"/>
        <v>0</v>
      </c>
      <c r="J406" s="1">
        <f t="shared" si="583"/>
        <v>0</v>
      </c>
      <c r="K406" s="33">
        <f t="shared" si="583"/>
        <v>0</v>
      </c>
      <c r="L406" s="1">
        <f t="shared" si="583"/>
        <v>0</v>
      </c>
      <c r="M406" s="1">
        <f t="shared" si="583"/>
        <v>318</v>
      </c>
      <c r="N406" s="1">
        <f t="shared" si="583"/>
        <v>2098800</v>
      </c>
      <c r="O406" s="1">
        <f t="shared" si="583"/>
        <v>0</v>
      </c>
      <c r="P406" s="1">
        <f t="shared" si="583"/>
        <v>0</v>
      </c>
      <c r="Q406" s="1">
        <f t="shared" si="583"/>
        <v>448</v>
      </c>
      <c r="R406" s="1">
        <f t="shared" si="583"/>
        <v>1433600</v>
      </c>
      <c r="S406" s="1">
        <f t="shared" si="583"/>
        <v>150000</v>
      </c>
      <c r="T406" s="1">
        <f t="shared" si="583"/>
        <v>100000</v>
      </c>
      <c r="U406" s="3" t="e">
        <f>C406+#REF!+#REF!</f>
        <v>#REF!</v>
      </c>
    </row>
    <row r="407" spans="1:29" ht="22.9" customHeight="1" x14ac:dyDescent="0.25">
      <c r="A407" s="39" t="s">
        <v>1490</v>
      </c>
      <c r="B407" s="9" t="s">
        <v>1069</v>
      </c>
      <c r="C407" s="7">
        <f t="shared" ref="C407" si="584">D407+L407+N407+P407+R407+S407+T407</f>
        <v>4074090</v>
      </c>
      <c r="D407" s="2">
        <f t="shared" ref="D407" si="585">SUM(E407:J407)</f>
        <v>291690</v>
      </c>
      <c r="E407" s="2">
        <f>700*416.7</f>
        <v>291690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 s="21">
        <v>0</v>
      </c>
      <c r="L407" s="2">
        <v>0</v>
      </c>
      <c r="M407" s="23">
        <v>318</v>
      </c>
      <c r="N407" s="2">
        <f t="shared" ref="N407" si="586">M407*6600</f>
        <v>2098800</v>
      </c>
      <c r="O407" s="19">
        <v>0</v>
      </c>
      <c r="P407" s="19">
        <v>0</v>
      </c>
      <c r="Q407" s="2">
        <v>448</v>
      </c>
      <c r="R407" s="2">
        <f t="shared" ref="R407" si="587">Q407*3200</f>
        <v>1433600</v>
      </c>
      <c r="S407" s="2">
        <v>150000</v>
      </c>
      <c r="T407" s="2">
        <v>100000</v>
      </c>
      <c r="U407" s="6">
        <f t="shared" si="475"/>
        <v>6600</v>
      </c>
      <c r="V407" s="1"/>
      <c r="W407" s="1"/>
      <c r="X407" s="1"/>
      <c r="Y407" s="1"/>
      <c r="Z407" s="1"/>
      <c r="AA407" s="1"/>
      <c r="AB407" s="1"/>
      <c r="AC407" s="3"/>
    </row>
    <row r="408" spans="1:29" ht="45" customHeight="1" x14ac:dyDescent="0.25">
      <c r="A408" s="43" t="s">
        <v>1080</v>
      </c>
      <c r="B408" s="43"/>
      <c r="C408" s="1">
        <f>SUM(C409:C410)</f>
        <v>9793201</v>
      </c>
      <c r="D408" s="1">
        <f t="shared" ref="D408:T408" si="588">SUM(D409:D410)</f>
        <v>1204380</v>
      </c>
      <c r="E408" s="1">
        <f t="shared" si="588"/>
        <v>843066</v>
      </c>
      <c r="F408" s="1">
        <f t="shared" si="588"/>
        <v>0</v>
      </c>
      <c r="G408" s="1">
        <f t="shared" si="588"/>
        <v>361314</v>
      </c>
      <c r="H408" s="1">
        <f t="shared" si="588"/>
        <v>0</v>
      </c>
      <c r="I408" s="1">
        <f t="shared" si="588"/>
        <v>0</v>
      </c>
      <c r="J408" s="1">
        <f t="shared" si="588"/>
        <v>0</v>
      </c>
      <c r="K408" s="33">
        <f t="shared" si="588"/>
        <v>0</v>
      </c>
      <c r="L408" s="1">
        <f t="shared" si="588"/>
        <v>0</v>
      </c>
      <c r="M408" s="1">
        <f t="shared" si="588"/>
        <v>810.34500000000003</v>
      </c>
      <c r="N408" s="1">
        <f t="shared" si="588"/>
        <v>5348277</v>
      </c>
      <c r="O408" s="1">
        <f t="shared" si="588"/>
        <v>0</v>
      </c>
      <c r="P408" s="1">
        <f t="shared" si="588"/>
        <v>0</v>
      </c>
      <c r="Q408" s="1">
        <f t="shared" si="588"/>
        <v>950.17</v>
      </c>
      <c r="R408" s="1">
        <f t="shared" si="588"/>
        <v>3040544</v>
      </c>
      <c r="S408" s="1">
        <f t="shared" si="588"/>
        <v>0</v>
      </c>
      <c r="T408" s="1">
        <f t="shared" si="588"/>
        <v>200000</v>
      </c>
      <c r="U408" s="3" t="e">
        <f>C408+#REF!+#REF!</f>
        <v>#REF!</v>
      </c>
    </row>
    <row r="409" spans="1:29" ht="22.9" customHeight="1" x14ac:dyDescent="0.25">
      <c r="A409" s="39" t="s">
        <v>1491</v>
      </c>
      <c r="B409" s="9" t="s">
        <v>1081</v>
      </c>
      <c r="C409" s="7">
        <f t="shared" ref="C409" si="589">D409+L409+N409+P409+R409+S409+T409</f>
        <v>3829013</v>
      </c>
      <c r="D409" s="2">
        <f t="shared" ref="D409" si="590">SUM(E409:J409)</f>
        <v>425680</v>
      </c>
      <c r="E409" s="2">
        <f>700*425.68</f>
        <v>297976</v>
      </c>
      <c r="F409" s="2">
        <v>0</v>
      </c>
      <c r="G409" s="2">
        <f>300*425.68</f>
        <v>127704</v>
      </c>
      <c r="H409" s="2">
        <v>0</v>
      </c>
      <c r="I409" s="2">
        <v>0</v>
      </c>
      <c r="J409" s="2">
        <v>0</v>
      </c>
      <c r="K409" s="21">
        <v>0</v>
      </c>
      <c r="L409" s="2">
        <v>0</v>
      </c>
      <c r="M409" s="24">
        <v>290.745</v>
      </c>
      <c r="N409" s="2">
        <f t="shared" ref="N409" si="591">M409*6600</f>
        <v>1918917</v>
      </c>
      <c r="O409" s="2">
        <v>0</v>
      </c>
      <c r="P409" s="2">
        <f t="shared" ref="P409" si="592">O409*1200</f>
        <v>0</v>
      </c>
      <c r="Q409" s="24">
        <v>432.63</v>
      </c>
      <c r="R409" s="2">
        <f t="shared" ref="R409" si="593">Q409*3200</f>
        <v>1384416</v>
      </c>
      <c r="S409" s="2">
        <v>0</v>
      </c>
      <c r="T409" s="2">
        <v>100000</v>
      </c>
      <c r="U409" s="6">
        <f t="shared" si="475"/>
        <v>6600</v>
      </c>
      <c r="V409" s="1"/>
      <c r="W409" s="1"/>
      <c r="X409" s="1"/>
      <c r="Y409" s="1"/>
      <c r="Z409" s="1"/>
      <c r="AA409" s="1"/>
      <c r="AB409" s="1"/>
      <c r="AC409" s="3"/>
    </row>
    <row r="410" spans="1:29" ht="22.9" customHeight="1" x14ac:dyDescent="0.25">
      <c r="A410" s="39" t="s">
        <v>1492</v>
      </c>
      <c r="B410" s="9" t="s">
        <v>1082</v>
      </c>
      <c r="C410" s="7">
        <f t="shared" ref="C410" si="594">D410+L410+N410+P410+R410+S410+T410</f>
        <v>5964188</v>
      </c>
      <c r="D410" s="2">
        <f t="shared" ref="D410" si="595">SUM(E410:J410)</f>
        <v>778700</v>
      </c>
      <c r="E410" s="2">
        <f>700*778.7</f>
        <v>545090</v>
      </c>
      <c r="F410" s="2">
        <v>0</v>
      </c>
      <c r="G410" s="2">
        <f>300*778.7</f>
        <v>233610</v>
      </c>
      <c r="H410" s="2">
        <v>0</v>
      </c>
      <c r="I410" s="2">
        <v>0</v>
      </c>
      <c r="J410" s="2">
        <v>0</v>
      </c>
      <c r="K410" s="21">
        <v>0</v>
      </c>
      <c r="L410" s="2">
        <v>0</v>
      </c>
      <c r="M410" s="2">
        <v>519.6</v>
      </c>
      <c r="N410" s="2">
        <f t="shared" ref="N410" si="596">M410*6600</f>
        <v>3429360</v>
      </c>
      <c r="O410" s="2">
        <v>0</v>
      </c>
      <c r="P410" s="2">
        <f t="shared" ref="P410" si="597">O410*1200</f>
        <v>0</v>
      </c>
      <c r="Q410" s="2">
        <v>517.54</v>
      </c>
      <c r="R410" s="2">
        <f t="shared" ref="R410" si="598">Q410*3200</f>
        <v>1656128</v>
      </c>
      <c r="S410" s="2">
        <v>0</v>
      </c>
      <c r="T410" s="2">
        <v>100000</v>
      </c>
      <c r="U410" s="6">
        <f t="shared" ref="U410" si="599">N410/M410</f>
        <v>6600</v>
      </c>
      <c r="V410" s="1"/>
      <c r="W410" s="1"/>
      <c r="X410" s="1"/>
      <c r="Y410" s="1"/>
      <c r="Z410" s="1"/>
      <c r="AA410" s="1"/>
      <c r="AB410" s="1"/>
      <c r="AC410" s="3"/>
    </row>
    <row r="411" spans="1:29" ht="45" customHeight="1" x14ac:dyDescent="0.25">
      <c r="A411" s="43" t="s">
        <v>1092</v>
      </c>
      <c r="B411" s="43"/>
      <c r="C411" s="1">
        <f>SUM(C412:C413)</f>
        <v>7684150</v>
      </c>
      <c r="D411" s="1">
        <f t="shared" ref="D411:T411" si="600">SUM(D412:D413)</f>
        <v>505610</v>
      </c>
      <c r="E411" s="1">
        <f t="shared" si="600"/>
        <v>505610</v>
      </c>
      <c r="F411" s="1">
        <f t="shared" si="600"/>
        <v>0</v>
      </c>
      <c r="G411" s="1">
        <f t="shared" si="600"/>
        <v>0</v>
      </c>
      <c r="H411" s="1">
        <f t="shared" si="600"/>
        <v>0</v>
      </c>
      <c r="I411" s="1">
        <f t="shared" si="600"/>
        <v>0</v>
      </c>
      <c r="J411" s="1">
        <f t="shared" si="600"/>
        <v>0</v>
      </c>
      <c r="K411" s="33">
        <f t="shared" si="600"/>
        <v>0</v>
      </c>
      <c r="L411" s="1">
        <f t="shared" si="600"/>
        <v>0</v>
      </c>
      <c r="M411" s="1">
        <f t="shared" si="600"/>
        <v>722.3</v>
      </c>
      <c r="N411" s="1">
        <f t="shared" si="600"/>
        <v>4767180</v>
      </c>
      <c r="O411" s="1">
        <f t="shared" si="600"/>
        <v>0</v>
      </c>
      <c r="P411" s="1">
        <f t="shared" si="600"/>
        <v>0</v>
      </c>
      <c r="Q411" s="1">
        <f t="shared" si="600"/>
        <v>722.3</v>
      </c>
      <c r="R411" s="1">
        <f t="shared" si="600"/>
        <v>2311360</v>
      </c>
      <c r="S411" s="1">
        <f t="shared" si="600"/>
        <v>0</v>
      </c>
      <c r="T411" s="1">
        <f t="shared" si="600"/>
        <v>100000</v>
      </c>
      <c r="U411" s="3" t="e">
        <f>C411+#REF!+#REF!</f>
        <v>#REF!</v>
      </c>
    </row>
    <row r="412" spans="1:29" ht="22.9" customHeight="1" x14ac:dyDescent="0.25">
      <c r="A412" s="39" t="s">
        <v>1493</v>
      </c>
      <c r="B412" s="9" t="s">
        <v>1093</v>
      </c>
      <c r="C412" s="7">
        <f t="shared" ref="C412:C413" si="601">D412+L412+N412+P412+R412+S412+T412</f>
        <v>4011650</v>
      </c>
      <c r="D412" s="2">
        <f t="shared" ref="D412:D413" si="602">SUM(E412:J412)</f>
        <v>264110</v>
      </c>
      <c r="E412" s="2">
        <f>700*377.3</f>
        <v>264110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1">
        <v>0</v>
      </c>
      <c r="L412" s="2">
        <v>0</v>
      </c>
      <c r="M412" s="2">
        <v>377.3</v>
      </c>
      <c r="N412" s="2">
        <f t="shared" ref="N412:N413" si="603">M412*6600</f>
        <v>2490180</v>
      </c>
      <c r="O412" s="2">
        <v>0</v>
      </c>
      <c r="P412" s="2">
        <f t="shared" ref="P412:P413" si="604">O412*1200</f>
        <v>0</v>
      </c>
      <c r="Q412" s="2">
        <v>377.3</v>
      </c>
      <c r="R412" s="2">
        <f t="shared" ref="R412:R413" si="605">Q412*3200</f>
        <v>1207360</v>
      </c>
      <c r="S412" s="2">
        <v>0</v>
      </c>
      <c r="T412" s="2">
        <v>50000</v>
      </c>
      <c r="U412" s="6">
        <f t="shared" ref="U412:U413" si="606">N412/M412</f>
        <v>6600</v>
      </c>
      <c r="V412" s="1"/>
      <c r="W412" s="1"/>
      <c r="X412" s="1"/>
      <c r="Y412" s="1"/>
      <c r="Z412" s="1"/>
      <c r="AA412" s="1"/>
      <c r="AB412" s="1"/>
      <c r="AC412" s="3"/>
    </row>
    <row r="413" spans="1:29" ht="22.9" customHeight="1" x14ac:dyDescent="0.25">
      <c r="A413" s="39" t="s">
        <v>1494</v>
      </c>
      <c r="B413" s="9" t="s">
        <v>1094</v>
      </c>
      <c r="C413" s="7">
        <f t="shared" si="601"/>
        <v>3672500</v>
      </c>
      <c r="D413" s="2">
        <f t="shared" si="602"/>
        <v>241500</v>
      </c>
      <c r="E413" s="2">
        <f>700*345</f>
        <v>241500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1">
        <v>0</v>
      </c>
      <c r="L413" s="2">
        <v>0</v>
      </c>
      <c r="M413" s="2">
        <v>345</v>
      </c>
      <c r="N413" s="2">
        <f t="shared" si="603"/>
        <v>2277000</v>
      </c>
      <c r="O413" s="2">
        <v>0</v>
      </c>
      <c r="P413" s="2">
        <f t="shared" si="604"/>
        <v>0</v>
      </c>
      <c r="Q413" s="2">
        <v>345</v>
      </c>
      <c r="R413" s="2">
        <f t="shared" si="605"/>
        <v>1104000</v>
      </c>
      <c r="S413" s="2">
        <v>0</v>
      </c>
      <c r="T413" s="2">
        <v>50000</v>
      </c>
      <c r="U413" s="6">
        <f t="shared" si="606"/>
        <v>6600</v>
      </c>
      <c r="V413" s="1"/>
      <c r="W413" s="1"/>
      <c r="X413" s="1"/>
      <c r="Y413" s="1"/>
      <c r="Z413" s="1"/>
      <c r="AA413" s="1"/>
      <c r="AB413" s="1"/>
      <c r="AC413" s="3"/>
    </row>
    <row r="414" spans="1:29" ht="45" customHeight="1" x14ac:dyDescent="0.25">
      <c r="A414" s="43" t="s">
        <v>1098</v>
      </c>
      <c r="B414" s="43"/>
      <c r="C414" s="1">
        <f>SUM(C415)</f>
        <v>951600</v>
      </c>
      <c r="D414" s="1">
        <f t="shared" ref="D414:T414" si="607">SUM(D415)</f>
        <v>851600</v>
      </c>
      <c r="E414" s="1">
        <f t="shared" si="607"/>
        <v>298060</v>
      </c>
      <c r="F414" s="1">
        <f t="shared" si="607"/>
        <v>553540</v>
      </c>
      <c r="G414" s="1">
        <f t="shared" si="607"/>
        <v>0</v>
      </c>
      <c r="H414" s="1">
        <f t="shared" si="607"/>
        <v>0</v>
      </c>
      <c r="I414" s="1">
        <f t="shared" si="607"/>
        <v>0</v>
      </c>
      <c r="J414" s="1">
        <f t="shared" si="607"/>
        <v>0</v>
      </c>
      <c r="K414" s="33">
        <f t="shared" si="607"/>
        <v>0</v>
      </c>
      <c r="L414" s="1">
        <f t="shared" si="607"/>
        <v>0</v>
      </c>
      <c r="M414" s="1">
        <f t="shared" si="607"/>
        <v>0</v>
      </c>
      <c r="N414" s="1">
        <f t="shared" si="607"/>
        <v>0</v>
      </c>
      <c r="O414" s="1">
        <f t="shared" si="607"/>
        <v>0</v>
      </c>
      <c r="P414" s="1">
        <f t="shared" si="607"/>
        <v>0</v>
      </c>
      <c r="Q414" s="1">
        <f t="shared" si="607"/>
        <v>0</v>
      </c>
      <c r="R414" s="1">
        <f t="shared" si="607"/>
        <v>0</v>
      </c>
      <c r="S414" s="1">
        <f t="shared" si="607"/>
        <v>0</v>
      </c>
      <c r="T414" s="1">
        <f t="shared" si="607"/>
        <v>100000</v>
      </c>
      <c r="U414" s="3" t="e">
        <f>C414+#REF!+#REF!</f>
        <v>#REF!</v>
      </c>
    </row>
    <row r="415" spans="1:29" ht="22.9" customHeight="1" x14ac:dyDescent="0.25">
      <c r="A415" s="39" t="s">
        <v>1495</v>
      </c>
      <c r="B415" s="9" t="s">
        <v>1099</v>
      </c>
      <c r="C415" s="7">
        <f t="shared" ref="C415" si="608">D415+L415+N415+P415+R415+S415+T415</f>
        <v>951600</v>
      </c>
      <c r="D415" s="2">
        <f t="shared" ref="D415" si="609">SUM(E415:J415)</f>
        <v>851600</v>
      </c>
      <c r="E415" s="2">
        <f>700*425.8</f>
        <v>298060</v>
      </c>
      <c r="F415" s="2">
        <f>1300*425.8</f>
        <v>553540</v>
      </c>
      <c r="G415" s="2">
        <v>0</v>
      </c>
      <c r="H415" s="2">
        <v>0</v>
      </c>
      <c r="I415" s="2">
        <v>0</v>
      </c>
      <c r="J415" s="2">
        <v>0</v>
      </c>
      <c r="K415" s="21">
        <v>0</v>
      </c>
      <c r="L415" s="2">
        <v>0</v>
      </c>
      <c r="M415" s="23">
        <v>0</v>
      </c>
      <c r="N415" s="2">
        <f t="shared" ref="N415" si="610">M415*6600</f>
        <v>0</v>
      </c>
      <c r="O415" s="19">
        <v>0</v>
      </c>
      <c r="P415" s="19">
        <v>0</v>
      </c>
      <c r="Q415" s="2">
        <v>0</v>
      </c>
      <c r="R415" s="2">
        <f t="shared" ref="R415" si="611">Q415*3200</f>
        <v>0</v>
      </c>
      <c r="S415" s="2">
        <v>0</v>
      </c>
      <c r="T415" s="2">
        <v>100000</v>
      </c>
      <c r="U415" s="6" t="e">
        <f t="shared" ref="U415" si="612">N415/M415</f>
        <v>#DIV/0!</v>
      </c>
      <c r="V415" s="1"/>
      <c r="W415" s="1"/>
      <c r="X415" s="1"/>
      <c r="Y415" s="1"/>
      <c r="Z415" s="1"/>
      <c r="AA415" s="1"/>
      <c r="AB415" s="1"/>
      <c r="AC415" s="3"/>
    </row>
    <row r="416" spans="1:29" ht="45" customHeight="1" x14ac:dyDescent="0.25">
      <c r="A416" s="43" t="s">
        <v>1102</v>
      </c>
      <c r="B416" s="43"/>
      <c r="C416" s="1">
        <f>SUM(C417)</f>
        <v>947240</v>
      </c>
      <c r="D416" s="1">
        <f t="shared" ref="D416:T416" si="613">SUM(D417)</f>
        <v>847240</v>
      </c>
      <c r="E416" s="1">
        <f t="shared" si="613"/>
        <v>296534</v>
      </c>
      <c r="F416" s="1">
        <f t="shared" si="613"/>
        <v>550706</v>
      </c>
      <c r="G416" s="1">
        <f t="shared" si="613"/>
        <v>0</v>
      </c>
      <c r="H416" s="1">
        <f t="shared" si="613"/>
        <v>0</v>
      </c>
      <c r="I416" s="1">
        <f t="shared" si="613"/>
        <v>0</v>
      </c>
      <c r="J416" s="1">
        <f t="shared" si="613"/>
        <v>0</v>
      </c>
      <c r="K416" s="33">
        <f t="shared" si="613"/>
        <v>0</v>
      </c>
      <c r="L416" s="1">
        <f t="shared" si="613"/>
        <v>0</v>
      </c>
      <c r="M416" s="1">
        <f t="shared" si="613"/>
        <v>0</v>
      </c>
      <c r="N416" s="1">
        <f t="shared" si="613"/>
        <v>0</v>
      </c>
      <c r="O416" s="1">
        <f t="shared" si="613"/>
        <v>0</v>
      </c>
      <c r="P416" s="1">
        <f t="shared" si="613"/>
        <v>0</v>
      </c>
      <c r="Q416" s="1">
        <f t="shared" si="613"/>
        <v>0</v>
      </c>
      <c r="R416" s="1">
        <f t="shared" si="613"/>
        <v>0</v>
      </c>
      <c r="S416" s="1">
        <f t="shared" si="613"/>
        <v>0</v>
      </c>
      <c r="T416" s="1">
        <f t="shared" si="613"/>
        <v>100000</v>
      </c>
      <c r="U416" s="3" t="e">
        <f>C416+#REF!+#REF!</f>
        <v>#REF!</v>
      </c>
    </row>
    <row r="417" spans="1:29" ht="22.9" customHeight="1" x14ac:dyDescent="0.25">
      <c r="A417" s="39" t="s">
        <v>1496</v>
      </c>
      <c r="B417" s="9" t="s">
        <v>1103</v>
      </c>
      <c r="C417" s="7">
        <f t="shared" ref="C417" si="614">D417+L417+N417+P417+R417+S417+T417</f>
        <v>947240</v>
      </c>
      <c r="D417" s="2">
        <f t="shared" ref="D417" si="615">SUM(E417:J417)</f>
        <v>847240</v>
      </c>
      <c r="E417" s="2">
        <f>700*423.62</f>
        <v>296534</v>
      </c>
      <c r="F417" s="2">
        <f>1300*423.62</f>
        <v>550706</v>
      </c>
      <c r="G417" s="2">
        <v>0</v>
      </c>
      <c r="H417" s="2">
        <v>0</v>
      </c>
      <c r="I417" s="2">
        <v>0</v>
      </c>
      <c r="J417" s="2">
        <v>0</v>
      </c>
      <c r="K417" s="21">
        <v>0</v>
      </c>
      <c r="L417" s="2">
        <v>0</v>
      </c>
      <c r="M417" s="23">
        <v>0</v>
      </c>
      <c r="N417" s="2">
        <f t="shared" ref="N417" si="616">M417*6600</f>
        <v>0</v>
      </c>
      <c r="O417" s="19">
        <v>0</v>
      </c>
      <c r="P417" s="19">
        <v>0</v>
      </c>
      <c r="Q417" s="2">
        <v>0</v>
      </c>
      <c r="R417" s="2">
        <f t="shared" ref="R417" si="617">Q417*3200</f>
        <v>0</v>
      </c>
      <c r="S417" s="2">
        <v>0</v>
      </c>
      <c r="T417" s="2">
        <v>100000</v>
      </c>
      <c r="U417" s="6" t="e">
        <f t="shared" ref="U417" si="618">N417/M417</f>
        <v>#DIV/0!</v>
      </c>
      <c r="V417" s="1"/>
      <c r="W417" s="1"/>
      <c r="X417" s="1"/>
      <c r="Y417" s="1"/>
      <c r="Z417" s="1"/>
      <c r="AA417" s="1"/>
      <c r="AB417" s="1"/>
      <c r="AC417" s="3"/>
    </row>
    <row r="418" spans="1:29" ht="45" customHeight="1" x14ac:dyDescent="0.25">
      <c r="A418" s="43" t="s">
        <v>1104</v>
      </c>
      <c r="B418" s="43"/>
      <c r="C418" s="1">
        <f>SUM(C419:C429)</f>
        <v>91317020</v>
      </c>
      <c r="D418" s="1">
        <f t="shared" ref="D418:T418" si="619">SUM(D419:D429)</f>
        <v>36102240</v>
      </c>
      <c r="E418" s="1">
        <f t="shared" si="619"/>
        <v>9673230</v>
      </c>
      <c r="F418" s="1">
        <f t="shared" si="619"/>
        <v>16135990</v>
      </c>
      <c r="G418" s="1">
        <f t="shared" si="619"/>
        <v>3973290</v>
      </c>
      <c r="H418" s="1">
        <f t="shared" si="619"/>
        <v>2346440</v>
      </c>
      <c r="I418" s="1">
        <f t="shared" si="619"/>
        <v>3973290</v>
      </c>
      <c r="J418" s="1">
        <f t="shared" si="619"/>
        <v>0</v>
      </c>
      <c r="K418" s="33">
        <f t="shared" si="619"/>
        <v>0</v>
      </c>
      <c r="L418" s="1">
        <f t="shared" si="619"/>
        <v>0</v>
      </c>
      <c r="M418" s="1">
        <f t="shared" si="619"/>
        <v>3735.9</v>
      </c>
      <c r="N418" s="1">
        <f t="shared" si="619"/>
        <v>24656940</v>
      </c>
      <c r="O418" s="1">
        <f t="shared" si="619"/>
        <v>0</v>
      </c>
      <c r="P418" s="1">
        <f t="shared" si="619"/>
        <v>0</v>
      </c>
      <c r="Q418" s="1">
        <f t="shared" si="619"/>
        <v>8971.2000000000007</v>
      </c>
      <c r="R418" s="1">
        <f t="shared" si="619"/>
        <v>28707840</v>
      </c>
      <c r="S418" s="1">
        <f t="shared" si="619"/>
        <v>150000</v>
      </c>
      <c r="T418" s="1">
        <f t="shared" si="619"/>
        <v>1700000</v>
      </c>
      <c r="U418" s="3" t="e">
        <f>C418+#REF!+#REF!</f>
        <v>#REF!</v>
      </c>
    </row>
    <row r="419" spans="1:29" ht="22.9" customHeight="1" x14ac:dyDescent="0.25">
      <c r="A419" s="39" t="s">
        <v>1497</v>
      </c>
      <c r="B419" s="9" t="s">
        <v>1105</v>
      </c>
      <c r="C419" s="7">
        <f t="shared" ref="C419" si="620">D419+L419+N419+P419+R419+S419+T419</f>
        <v>2290940</v>
      </c>
      <c r="D419" s="2">
        <f t="shared" ref="D419" si="621">SUM(E419:J419)</f>
        <v>402220</v>
      </c>
      <c r="E419" s="2">
        <f>700*574.6</f>
        <v>402220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1">
        <v>0</v>
      </c>
      <c r="L419" s="2">
        <v>0</v>
      </c>
      <c r="M419" s="2">
        <v>0</v>
      </c>
      <c r="N419" s="2">
        <f t="shared" ref="N419" si="622">M419*6600</f>
        <v>0</v>
      </c>
      <c r="O419" s="2">
        <v>0</v>
      </c>
      <c r="P419" s="2">
        <f t="shared" ref="P419" si="623">O419*1200</f>
        <v>0</v>
      </c>
      <c r="Q419" s="2">
        <v>574.6</v>
      </c>
      <c r="R419" s="2">
        <f t="shared" ref="R419" si="624">Q419*3200</f>
        <v>1838720</v>
      </c>
      <c r="S419" s="2">
        <v>0</v>
      </c>
      <c r="T419" s="2">
        <v>50000</v>
      </c>
      <c r="U419" s="6" t="e">
        <f t="shared" ref="U419:U429" si="625">N419/M419</f>
        <v>#DIV/0!</v>
      </c>
      <c r="V419" s="1"/>
      <c r="W419" s="1"/>
      <c r="X419" s="1"/>
      <c r="Y419" s="1"/>
      <c r="Z419" s="1"/>
      <c r="AA419" s="1"/>
      <c r="AB419" s="1"/>
      <c r="AC419" s="3"/>
    </row>
    <row r="420" spans="1:29" ht="22.9" customHeight="1" x14ac:dyDescent="0.25">
      <c r="A420" s="39" t="s">
        <v>1498</v>
      </c>
      <c r="B420" s="9" t="s">
        <v>1106</v>
      </c>
      <c r="C420" s="7">
        <f t="shared" ref="C420:C424" si="626">D420+L420+N420+P420+R420+S420+T420</f>
        <v>1158080</v>
      </c>
      <c r="D420" s="2">
        <f t="shared" ref="D420:D424" si="627">SUM(E420:J420)</f>
        <v>0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1">
        <v>0</v>
      </c>
      <c r="L420" s="2">
        <v>0</v>
      </c>
      <c r="M420" s="2">
        <v>0</v>
      </c>
      <c r="N420" s="2">
        <f t="shared" ref="N420:N425" si="628">M420*6600</f>
        <v>0</v>
      </c>
      <c r="O420" s="2">
        <v>0</v>
      </c>
      <c r="P420" s="2">
        <f t="shared" ref="P420:P424" si="629">O420*1200</f>
        <v>0</v>
      </c>
      <c r="Q420" s="2">
        <v>361.9</v>
      </c>
      <c r="R420" s="2">
        <f t="shared" ref="R420:R424" si="630">Q420*3200</f>
        <v>1158080</v>
      </c>
      <c r="S420" s="2">
        <v>0</v>
      </c>
      <c r="T420" s="2">
        <v>0</v>
      </c>
      <c r="U420" s="6" t="e">
        <f t="shared" si="625"/>
        <v>#DIV/0!</v>
      </c>
      <c r="V420" s="1"/>
      <c r="W420" s="1"/>
      <c r="X420" s="1"/>
      <c r="Y420" s="1"/>
      <c r="Z420" s="1"/>
      <c r="AA420" s="1"/>
      <c r="AB420" s="1"/>
      <c r="AC420" s="3"/>
    </row>
    <row r="421" spans="1:29" ht="22.9" customHeight="1" x14ac:dyDescent="0.25">
      <c r="A421" s="39" t="s">
        <v>1499</v>
      </c>
      <c r="B421" s="9" t="s">
        <v>1107</v>
      </c>
      <c r="C421" s="7">
        <f t="shared" si="626"/>
        <v>1181600</v>
      </c>
      <c r="D421" s="2">
        <f t="shared" si="627"/>
        <v>1081600</v>
      </c>
      <c r="E421" s="2">
        <f>700*832</f>
        <v>582400</v>
      </c>
      <c r="F421" s="2">
        <v>0</v>
      </c>
      <c r="G421" s="2">
        <f>300*832</f>
        <v>249600</v>
      </c>
      <c r="H421" s="2">
        <v>0</v>
      </c>
      <c r="I421" s="2">
        <f>300*832</f>
        <v>249600</v>
      </c>
      <c r="J421" s="2">
        <v>0</v>
      </c>
      <c r="K421" s="21">
        <v>0</v>
      </c>
      <c r="L421" s="2">
        <v>0</v>
      </c>
      <c r="M421" s="19">
        <v>0</v>
      </c>
      <c r="N421" s="2">
        <f t="shared" si="628"/>
        <v>0</v>
      </c>
      <c r="O421" s="2">
        <v>0</v>
      </c>
      <c r="P421" s="2">
        <f t="shared" si="629"/>
        <v>0</v>
      </c>
      <c r="Q421" s="19">
        <v>0</v>
      </c>
      <c r="R421" s="2">
        <f t="shared" si="630"/>
        <v>0</v>
      </c>
      <c r="S421" s="2">
        <v>0</v>
      </c>
      <c r="T421" s="2">
        <v>100000</v>
      </c>
      <c r="U421" s="6" t="e">
        <f t="shared" si="625"/>
        <v>#DIV/0!</v>
      </c>
      <c r="V421" s="1"/>
      <c r="W421" s="1"/>
      <c r="X421" s="1"/>
      <c r="Y421" s="1"/>
      <c r="Z421" s="1"/>
      <c r="AA421" s="1"/>
      <c r="AB421" s="1"/>
      <c r="AC421" s="3"/>
    </row>
    <row r="422" spans="1:29" ht="22.9" customHeight="1" x14ac:dyDescent="0.25">
      <c r="A422" s="39" t="s">
        <v>1500</v>
      </c>
      <c r="B422" s="9" t="s">
        <v>1108</v>
      </c>
      <c r="C422" s="7">
        <f t="shared" si="626"/>
        <v>23151560</v>
      </c>
      <c r="D422" s="2">
        <f t="shared" si="627"/>
        <v>0</v>
      </c>
      <c r="E422" s="2">
        <v>0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1">
        <v>0</v>
      </c>
      <c r="L422" s="2">
        <v>0</v>
      </c>
      <c r="M422" s="2">
        <v>1706.2</v>
      </c>
      <c r="N422" s="2">
        <f t="shared" si="628"/>
        <v>11260920</v>
      </c>
      <c r="O422" s="2">
        <v>0</v>
      </c>
      <c r="P422" s="2">
        <f t="shared" si="629"/>
        <v>0</v>
      </c>
      <c r="Q422" s="2">
        <v>3450.2</v>
      </c>
      <c r="R422" s="2">
        <f t="shared" si="630"/>
        <v>11040640</v>
      </c>
      <c r="S422" s="2">
        <v>0</v>
      </c>
      <c r="T422" s="2">
        <v>850000</v>
      </c>
      <c r="U422" s="6">
        <f t="shared" si="625"/>
        <v>6600</v>
      </c>
      <c r="V422" s="1"/>
      <c r="W422" s="1"/>
      <c r="X422" s="1"/>
      <c r="Y422" s="1"/>
      <c r="Z422" s="1"/>
      <c r="AA422" s="1"/>
      <c r="AB422" s="1"/>
      <c r="AC422" s="3"/>
    </row>
    <row r="423" spans="1:29" ht="22.9" customHeight="1" x14ac:dyDescent="0.25">
      <c r="A423" s="39" t="s">
        <v>1501</v>
      </c>
      <c r="B423" s="9" t="s">
        <v>1109</v>
      </c>
      <c r="C423" s="7">
        <f t="shared" si="626"/>
        <v>2784240.0000000005</v>
      </c>
      <c r="D423" s="2">
        <f t="shared" si="627"/>
        <v>2684240.0000000005</v>
      </c>
      <c r="E423" s="2">
        <f>700*1032.4</f>
        <v>722680.00000000012</v>
      </c>
      <c r="F423" s="2">
        <f>1300*1032.4</f>
        <v>1342120.0000000002</v>
      </c>
      <c r="G423" s="2">
        <f>300*1032.4</f>
        <v>309720</v>
      </c>
      <c r="H423" s="2">
        <v>0</v>
      </c>
      <c r="I423" s="2">
        <f>300*1032.4</f>
        <v>309720</v>
      </c>
      <c r="J423" s="2">
        <v>0</v>
      </c>
      <c r="K423" s="21">
        <v>0</v>
      </c>
      <c r="L423" s="2">
        <v>0</v>
      </c>
      <c r="M423" s="19">
        <v>0</v>
      </c>
      <c r="N423" s="2">
        <f t="shared" si="628"/>
        <v>0</v>
      </c>
      <c r="O423" s="2">
        <v>0</v>
      </c>
      <c r="P423" s="2">
        <f t="shared" si="629"/>
        <v>0</v>
      </c>
      <c r="Q423" s="19">
        <v>0</v>
      </c>
      <c r="R423" s="2">
        <f t="shared" si="630"/>
        <v>0</v>
      </c>
      <c r="S423" s="2">
        <v>0</v>
      </c>
      <c r="T423" s="2">
        <v>100000</v>
      </c>
      <c r="U423" s="6" t="e">
        <f t="shared" si="625"/>
        <v>#DIV/0!</v>
      </c>
      <c r="V423" s="1"/>
      <c r="W423" s="1"/>
      <c r="X423" s="1"/>
      <c r="Y423" s="1"/>
      <c r="Z423" s="1"/>
      <c r="AA423" s="1"/>
      <c r="AB423" s="1"/>
      <c r="AC423" s="3"/>
    </row>
    <row r="424" spans="1:29" ht="22.9" customHeight="1" x14ac:dyDescent="0.25">
      <c r="A424" s="39" t="s">
        <v>1502</v>
      </c>
      <c r="B424" s="9" t="s">
        <v>1110</v>
      </c>
      <c r="C424" s="7">
        <f t="shared" si="626"/>
        <v>5227780</v>
      </c>
      <c r="D424" s="2">
        <f t="shared" si="627"/>
        <v>2298660</v>
      </c>
      <c r="E424" s="2">
        <f>700*884.1</f>
        <v>618870</v>
      </c>
      <c r="F424" s="2">
        <f>1300*884.1</f>
        <v>1149330</v>
      </c>
      <c r="G424" s="2">
        <f>300*884.1</f>
        <v>265230</v>
      </c>
      <c r="H424" s="2">
        <v>0</v>
      </c>
      <c r="I424" s="2">
        <f>300*884.1</f>
        <v>265230</v>
      </c>
      <c r="J424" s="2">
        <v>0</v>
      </c>
      <c r="K424" s="21">
        <v>0</v>
      </c>
      <c r="L424" s="2">
        <v>0</v>
      </c>
      <c r="M424" s="19">
        <v>0</v>
      </c>
      <c r="N424" s="2">
        <f t="shared" si="628"/>
        <v>0</v>
      </c>
      <c r="O424" s="2">
        <v>0</v>
      </c>
      <c r="P424" s="2">
        <f t="shared" si="629"/>
        <v>0</v>
      </c>
      <c r="Q424" s="19">
        <v>884.1</v>
      </c>
      <c r="R424" s="2">
        <f t="shared" si="630"/>
        <v>2829120</v>
      </c>
      <c r="S424" s="2">
        <v>0</v>
      </c>
      <c r="T424" s="2">
        <v>100000</v>
      </c>
      <c r="U424" s="6" t="e">
        <f t="shared" si="625"/>
        <v>#DIV/0!</v>
      </c>
      <c r="V424" s="1"/>
      <c r="W424" s="1"/>
      <c r="X424" s="1"/>
      <c r="Y424" s="1"/>
      <c r="Z424" s="1"/>
      <c r="AA424" s="1"/>
      <c r="AB424" s="1"/>
      <c r="AC424" s="3"/>
    </row>
    <row r="425" spans="1:29" ht="22.9" customHeight="1" x14ac:dyDescent="0.25">
      <c r="A425" s="39" t="s">
        <v>1503</v>
      </c>
      <c r="B425" s="9" t="s">
        <v>1111</v>
      </c>
      <c r="C425" s="7">
        <f t="shared" ref="C425" si="631">D425+L425+N425+P425+R425+S425+T425</f>
        <v>11628280</v>
      </c>
      <c r="D425" s="2">
        <f t="shared" ref="D425" si="632">SUM(E425:J425)</f>
        <v>2417220</v>
      </c>
      <c r="E425" s="2">
        <f>700*929.7</f>
        <v>650790</v>
      </c>
      <c r="F425" s="2">
        <f>1300*929.7</f>
        <v>1208610</v>
      </c>
      <c r="G425" s="2">
        <f>300*929.7</f>
        <v>278910</v>
      </c>
      <c r="H425" s="2">
        <v>0</v>
      </c>
      <c r="I425" s="2">
        <f>300*929.7</f>
        <v>278910</v>
      </c>
      <c r="J425" s="2">
        <v>0</v>
      </c>
      <c r="K425" s="21">
        <v>0</v>
      </c>
      <c r="L425" s="2">
        <v>0</v>
      </c>
      <c r="M425" s="2">
        <v>929.7</v>
      </c>
      <c r="N425" s="2">
        <f t="shared" si="628"/>
        <v>6136020</v>
      </c>
      <c r="O425" s="2">
        <v>0</v>
      </c>
      <c r="P425" s="2">
        <f t="shared" ref="P425" si="633">O425*1200</f>
        <v>0</v>
      </c>
      <c r="Q425" s="19">
        <v>929.7</v>
      </c>
      <c r="R425" s="2">
        <f t="shared" ref="R425" si="634">Q425*3200</f>
        <v>2975040</v>
      </c>
      <c r="S425" s="2">
        <v>0</v>
      </c>
      <c r="T425" s="2">
        <v>100000</v>
      </c>
      <c r="U425" s="6">
        <f t="shared" si="625"/>
        <v>6600</v>
      </c>
      <c r="V425" s="1"/>
      <c r="W425" s="1"/>
      <c r="X425" s="1"/>
      <c r="Y425" s="1"/>
      <c r="Z425" s="1"/>
      <c r="AA425" s="1"/>
      <c r="AB425" s="1"/>
      <c r="AC425" s="3"/>
    </row>
    <row r="426" spans="1:29" ht="22.9" customHeight="1" x14ac:dyDescent="0.25">
      <c r="A426" s="39" t="s">
        <v>1504</v>
      </c>
      <c r="B426" s="9" t="s">
        <v>1112</v>
      </c>
      <c r="C426" s="7">
        <f t="shared" ref="C426:C428" si="635">D426+L426+N426+P426+R426+S426+T426</f>
        <v>2516180</v>
      </c>
      <c r="D426" s="2">
        <f t="shared" ref="D426:D428" si="636">SUM(E426:J426)</f>
        <v>2416180</v>
      </c>
      <c r="E426" s="2">
        <f>700*929.3</f>
        <v>650510</v>
      </c>
      <c r="F426" s="2">
        <f>1300*929.3</f>
        <v>1208090</v>
      </c>
      <c r="G426" s="2">
        <f>300*929.3</f>
        <v>278790</v>
      </c>
      <c r="H426" s="2">
        <v>0</v>
      </c>
      <c r="I426" s="2">
        <f>300*929.3</f>
        <v>278790</v>
      </c>
      <c r="J426" s="2">
        <v>0</v>
      </c>
      <c r="K426" s="21">
        <v>0</v>
      </c>
      <c r="L426" s="2">
        <v>0</v>
      </c>
      <c r="M426" s="2">
        <v>0</v>
      </c>
      <c r="N426" s="2">
        <f t="shared" ref="N426:N428" si="637">M426*6600</f>
        <v>0</v>
      </c>
      <c r="O426" s="2">
        <v>0</v>
      </c>
      <c r="P426" s="2">
        <f t="shared" ref="P426:P428" si="638">O426*1200</f>
        <v>0</v>
      </c>
      <c r="Q426" s="19">
        <v>0</v>
      </c>
      <c r="R426" s="2">
        <f t="shared" ref="R426:R427" si="639">Q426*3200</f>
        <v>0</v>
      </c>
      <c r="S426" s="2">
        <v>0</v>
      </c>
      <c r="T426" s="2">
        <v>100000</v>
      </c>
      <c r="U426" s="6" t="e">
        <f t="shared" si="625"/>
        <v>#DIV/0!</v>
      </c>
      <c r="V426" s="1"/>
      <c r="W426" s="1"/>
      <c r="X426" s="1"/>
      <c r="Y426" s="1"/>
      <c r="Z426" s="1"/>
      <c r="AA426" s="1"/>
      <c r="AB426" s="1"/>
      <c r="AC426" s="3"/>
    </row>
    <row r="427" spans="1:29" ht="22.9" customHeight="1" x14ac:dyDescent="0.25">
      <c r="A427" s="39" t="s">
        <v>1505</v>
      </c>
      <c r="B427" s="9" t="s">
        <v>1113</v>
      </c>
      <c r="C427" s="7">
        <f t="shared" si="635"/>
        <v>23430060</v>
      </c>
      <c r="D427" s="2">
        <f t="shared" si="636"/>
        <v>7203819.9999999991</v>
      </c>
      <c r="E427" s="2">
        <f>700*2770.7</f>
        <v>1939489.9999999998</v>
      </c>
      <c r="F427" s="2">
        <f>1300*2770.7</f>
        <v>3601909.9999999995</v>
      </c>
      <c r="G427" s="2">
        <f>300*2770.7</f>
        <v>831210</v>
      </c>
      <c r="H427" s="2">
        <v>0</v>
      </c>
      <c r="I427" s="2">
        <f>300*2770.7</f>
        <v>831210</v>
      </c>
      <c r="J427" s="2">
        <v>0</v>
      </c>
      <c r="K427" s="21">
        <v>0</v>
      </c>
      <c r="L427" s="2">
        <v>0</v>
      </c>
      <c r="M427" s="2">
        <v>1100</v>
      </c>
      <c r="N427" s="2">
        <f t="shared" si="637"/>
        <v>7260000</v>
      </c>
      <c r="O427" s="2">
        <v>0</v>
      </c>
      <c r="P427" s="2">
        <f t="shared" si="638"/>
        <v>0</v>
      </c>
      <c r="Q427" s="19">
        <v>2770.7</v>
      </c>
      <c r="R427" s="2">
        <f t="shared" si="639"/>
        <v>8866240</v>
      </c>
      <c r="S427" s="2">
        <v>0</v>
      </c>
      <c r="T427" s="2">
        <v>100000</v>
      </c>
      <c r="U427" s="6">
        <f t="shared" si="625"/>
        <v>6600</v>
      </c>
      <c r="V427" s="1"/>
      <c r="W427" s="1"/>
      <c r="X427" s="1"/>
      <c r="Y427" s="1"/>
      <c r="Z427" s="1"/>
      <c r="AA427" s="1"/>
      <c r="AB427" s="1"/>
      <c r="AC427" s="3"/>
    </row>
    <row r="428" spans="1:29" ht="22.9" customHeight="1" x14ac:dyDescent="0.25">
      <c r="A428" s="39" t="s">
        <v>1506</v>
      </c>
      <c r="B428" s="9" t="s">
        <v>1114</v>
      </c>
      <c r="C428" s="7">
        <f t="shared" si="635"/>
        <v>13174600</v>
      </c>
      <c r="D428" s="2">
        <f t="shared" si="636"/>
        <v>13074600</v>
      </c>
      <c r="E428" s="2">
        <f>700*4358.2</f>
        <v>3050740</v>
      </c>
      <c r="F428" s="2">
        <f>1300*4358.2</f>
        <v>5665660</v>
      </c>
      <c r="G428" s="2">
        <f>300*4358.2</f>
        <v>1307460</v>
      </c>
      <c r="H428" s="2">
        <f>400*4358.2</f>
        <v>1743280</v>
      </c>
      <c r="I428" s="2">
        <f>300*4358.2</f>
        <v>1307460</v>
      </c>
      <c r="J428" s="2">
        <v>0</v>
      </c>
      <c r="K428" s="21">
        <v>0</v>
      </c>
      <c r="L428" s="2">
        <v>0</v>
      </c>
      <c r="M428" s="19">
        <v>0</v>
      </c>
      <c r="N428" s="2">
        <f t="shared" si="637"/>
        <v>0</v>
      </c>
      <c r="O428" s="2">
        <v>0</v>
      </c>
      <c r="P428" s="2">
        <f t="shared" si="638"/>
        <v>0</v>
      </c>
      <c r="Q428" s="19">
        <v>0</v>
      </c>
      <c r="R428" s="2">
        <v>0</v>
      </c>
      <c r="S428" s="2">
        <v>0</v>
      </c>
      <c r="T428" s="2">
        <v>100000</v>
      </c>
      <c r="U428" s="6" t="e">
        <f t="shared" si="625"/>
        <v>#DIV/0!</v>
      </c>
      <c r="V428" s="1"/>
      <c r="W428" s="1"/>
      <c r="X428" s="1"/>
      <c r="Y428" s="1"/>
      <c r="Z428" s="1"/>
      <c r="AA428" s="1"/>
      <c r="AB428" s="1"/>
      <c r="AC428" s="3"/>
    </row>
    <row r="429" spans="1:29" ht="22.9" customHeight="1" x14ac:dyDescent="0.25">
      <c r="A429" s="39" t="s">
        <v>1507</v>
      </c>
      <c r="B429" s="9" t="s">
        <v>1115</v>
      </c>
      <c r="C429" s="7">
        <f t="shared" ref="C429" si="640">D429+L429+N429+P429+R429+S429+T429</f>
        <v>4773700</v>
      </c>
      <c r="D429" s="2">
        <f t="shared" ref="D429" si="641">SUM(E429:J429)</f>
        <v>4523700</v>
      </c>
      <c r="E429" s="2">
        <f>700*1507.9</f>
        <v>1055530</v>
      </c>
      <c r="F429" s="2">
        <f>1300*1507.9</f>
        <v>1960270.0000000002</v>
      </c>
      <c r="G429" s="2">
        <f>300*1507.9</f>
        <v>452370</v>
      </c>
      <c r="H429" s="2">
        <f>400*1507.9</f>
        <v>603160</v>
      </c>
      <c r="I429" s="2">
        <f>300*1507.9</f>
        <v>452370</v>
      </c>
      <c r="J429" s="2">
        <v>0</v>
      </c>
      <c r="K429" s="21">
        <v>0</v>
      </c>
      <c r="L429" s="2">
        <v>0</v>
      </c>
      <c r="M429" s="19">
        <v>0</v>
      </c>
      <c r="N429" s="2">
        <f t="shared" ref="N429" si="642">M429*6600</f>
        <v>0</v>
      </c>
      <c r="O429" s="2">
        <v>0</v>
      </c>
      <c r="P429" s="2">
        <f t="shared" ref="P429" si="643">O429*1200</f>
        <v>0</v>
      </c>
      <c r="Q429" s="19">
        <v>0</v>
      </c>
      <c r="R429" s="2">
        <v>0</v>
      </c>
      <c r="S429" s="2">
        <v>150000</v>
      </c>
      <c r="T429" s="2">
        <v>100000</v>
      </c>
      <c r="U429" s="6" t="e">
        <f t="shared" si="625"/>
        <v>#DIV/0!</v>
      </c>
      <c r="V429" s="1"/>
      <c r="W429" s="1"/>
      <c r="X429" s="1"/>
      <c r="Y429" s="1"/>
      <c r="Z429" s="1"/>
      <c r="AA429" s="1"/>
      <c r="AB429" s="1"/>
      <c r="AC429" s="3"/>
    </row>
    <row r="430" spans="1:29" ht="45" customHeight="1" x14ac:dyDescent="0.25">
      <c r="A430" s="43" t="s">
        <v>1140</v>
      </c>
      <c r="B430" s="43"/>
      <c r="C430" s="1">
        <f>SUM(C431)</f>
        <v>6600000</v>
      </c>
      <c r="D430" s="1">
        <f t="shared" ref="D430:T430" si="644">SUM(D431)</f>
        <v>0</v>
      </c>
      <c r="E430" s="1">
        <f t="shared" si="644"/>
        <v>0</v>
      </c>
      <c r="F430" s="1">
        <f t="shared" si="644"/>
        <v>0</v>
      </c>
      <c r="G430" s="1">
        <f t="shared" si="644"/>
        <v>0</v>
      </c>
      <c r="H430" s="1">
        <f t="shared" si="644"/>
        <v>0</v>
      </c>
      <c r="I430" s="1">
        <f t="shared" si="644"/>
        <v>0</v>
      </c>
      <c r="J430" s="1">
        <f t="shared" si="644"/>
        <v>0</v>
      </c>
      <c r="K430" s="33">
        <f t="shared" si="644"/>
        <v>0</v>
      </c>
      <c r="L430" s="1">
        <f t="shared" si="644"/>
        <v>0</v>
      </c>
      <c r="M430" s="1">
        <f t="shared" si="644"/>
        <v>1000</v>
      </c>
      <c r="N430" s="1">
        <f t="shared" si="644"/>
        <v>6600000</v>
      </c>
      <c r="O430" s="1">
        <f t="shared" si="644"/>
        <v>0</v>
      </c>
      <c r="P430" s="1">
        <f t="shared" si="644"/>
        <v>0</v>
      </c>
      <c r="Q430" s="1">
        <f t="shared" si="644"/>
        <v>0</v>
      </c>
      <c r="R430" s="1">
        <f t="shared" si="644"/>
        <v>0</v>
      </c>
      <c r="S430" s="1">
        <f t="shared" si="644"/>
        <v>0</v>
      </c>
      <c r="T430" s="1">
        <f t="shared" si="644"/>
        <v>0</v>
      </c>
      <c r="U430" s="3" t="e">
        <f>C430+#REF!+#REF!</f>
        <v>#REF!</v>
      </c>
    </row>
    <row r="431" spans="1:29" ht="22.9" customHeight="1" x14ac:dyDescent="0.25">
      <c r="A431" s="39" t="s">
        <v>1508</v>
      </c>
      <c r="B431" s="9" t="s">
        <v>1139</v>
      </c>
      <c r="C431" s="7">
        <f t="shared" ref="C431" si="645">D431+L431+N431+P431+R431+S431+T431</f>
        <v>6600000</v>
      </c>
      <c r="D431" s="2">
        <f t="shared" ref="D431" si="646">SUM(E431:J431)</f>
        <v>0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1">
        <v>0</v>
      </c>
      <c r="L431" s="2">
        <v>0</v>
      </c>
      <c r="M431" s="2">
        <v>1000</v>
      </c>
      <c r="N431" s="2">
        <f t="shared" ref="N431" si="647">M431*6600</f>
        <v>6600000</v>
      </c>
      <c r="O431" s="2">
        <v>0</v>
      </c>
      <c r="P431" s="2">
        <f t="shared" ref="P431" si="648">O431*1200</f>
        <v>0</v>
      </c>
      <c r="Q431" s="19">
        <v>0</v>
      </c>
      <c r="R431" s="2">
        <f t="shared" ref="R431" si="649">Q431*3200</f>
        <v>0</v>
      </c>
      <c r="S431" s="2">
        <v>0</v>
      </c>
      <c r="T431" s="2">
        <v>0</v>
      </c>
      <c r="U431" s="6"/>
      <c r="V431" s="1"/>
      <c r="W431" s="1"/>
      <c r="X431" s="1"/>
      <c r="Y431" s="1"/>
      <c r="Z431" s="1"/>
      <c r="AA431" s="1"/>
      <c r="AB431" s="1"/>
      <c r="AC431" s="3"/>
    </row>
    <row r="432" spans="1:29" ht="24.95" customHeight="1" x14ac:dyDescent="0.25">
      <c r="A432" s="43" t="s">
        <v>32</v>
      </c>
      <c r="B432" s="43"/>
      <c r="C432" s="1">
        <f t="shared" ref="C432:T432" si="650">C433+C437+C453+C458+C460+C463+C467+C471+C474+C485+C489+C493+C495+C497+C503+C505+C507+C518+C520+C523+C528+C535+C537+C540+C543+C545+C549+C552+C555+C558+C564+C570+C574+C577+C581+C601+C603+C606+C611+C613+C616+C622+C627+C630+C649+C652+C654+C657+C659+C661+C664+C667+C769+C775+C777+C782+C785+C789+C791+C796+C804+C814+C816+C818+C821+C825+C829+C831+C842</f>
        <v>2020348339.8000002</v>
      </c>
      <c r="D432" s="1">
        <f t="shared" si="650"/>
        <v>496903194</v>
      </c>
      <c r="E432" s="1">
        <f t="shared" si="650"/>
        <v>139223175</v>
      </c>
      <c r="F432" s="1">
        <f t="shared" si="650"/>
        <v>210011685</v>
      </c>
      <c r="G432" s="1">
        <f t="shared" si="650"/>
        <v>55363577</v>
      </c>
      <c r="H432" s="1">
        <f t="shared" si="650"/>
        <v>40527388</v>
      </c>
      <c r="I432" s="1">
        <f t="shared" si="650"/>
        <v>52427793</v>
      </c>
      <c r="J432" s="1">
        <f t="shared" si="650"/>
        <v>0</v>
      </c>
      <c r="K432" s="33">
        <f t="shared" si="650"/>
        <v>2</v>
      </c>
      <c r="L432" s="1">
        <f t="shared" si="650"/>
        <v>5400000</v>
      </c>
      <c r="M432" s="1">
        <f t="shared" si="650"/>
        <v>161853.87000000002</v>
      </c>
      <c r="N432" s="1">
        <f t="shared" si="650"/>
        <v>1028975381</v>
      </c>
      <c r="O432" s="1">
        <f t="shared" si="650"/>
        <v>12198.9</v>
      </c>
      <c r="P432" s="1">
        <f t="shared" si="650"/>
        <v>14638680</v>
      </c>
      <c r="Q432" s="1">
        <f t="shared" si="650"/>
        <v>138997.21400000001</v>
      </c>
      <c r="R432" s="1">
        <f t="shared" si="650"/>
        <v>444791084.80000001</v>
      </c>
      <c r="S432" s="1">
        <f t="shared" si="650"/>
        <v>9550000</v>
      </c>
      <c r="T432" s="1">
        <f t="shared" si="650"/>
        <v>20300000</v>
      </c>
      <c r="U432" s="3" t="e">
        <f>D432+L432+N432+P432+R432+S432+#REF!+T432</f>
        <v>#REF!</v>
      </c>
    </row>
    <row r="433" spans="1:22" ht="45" customHeight="1" x14ac:dyDescent="0.25">
      <c r="A433" s="44" t="s">
        <v>2194</v>
      </c>
      <c r="B433" s="45"/>
      <c r="C433" s="1">
        <f>SUM(C434:C436)</f>
        <v>8789300</v>
      </c>
      <c r="D433" s="1">
        <f t="shared" ref="D433:T433" si="651">SUM(D434:D436)</f>
        <v>1832430</v>
      </c>
      <c r="E433" s="1">
        <f t="shared" si="651"/>
        <v>694330</v>
      </c>
      <c r="F433" s="1">
        <f t="shared" si="651"/>
        <v>778700</v>
      </c>
      <c r="G433" s="1">
        <f t="shared" si="651"/>
        <v>179700</v>
      </c>
      <c r="H433" s="1">
        <f t="shared" si="651"/>
        <v>0</v>
      </c>
      <c r="I433" s="1">
        <f t="shared" si="651"/>
        <v>179700</v>
      </c>
      <c r="J433" s="1">
        <f t="shared" si="651"/>
        <v>0</v>
      </c>
      <c r="K433" s="33">
        <f t="shared" si="651"/>
        <v>0</v>
      </c>
      <c r="L433" s="1">
        <f t="shared" si="651"/>
        <v>0</v>
      </c>
      <c r="M433" s="1">
        <f t="shared" si="651"/>
        <v>907.79</v>
      </c>
      <c r="N433" s="1">
        <f t="shared" si="651"/>
        <v>5991414</v>
      </c>
      <c r="O433" s="1">
        <f t="shared" si="651"/>
        <v>0</v>
      </c>
      <c r="P433" s="1">
        <f t="shared" si="651"/>
        <v>0</v>
      </c>
      <c r="Q433" s="1">
        <f t="shared" si="651"/>
        <v>286.08</v>
      </c>
      <c r="R433" s="1">
        <f t="shared" si="651"/>
        <v>915456</v>
      </c>
      <c r="S433" s="1">
        <f t="shared" si="651"/>
        <v>0</v>
      </c>
      <c r="T433" s="1">
        <f t="shared" si="651"/>
        <v>50000</v>
      </c>
      <c r="U433" s="3" t="e">
        <f>C433+#REF!+#REF!</f>
        <v>#REF!</v>
      </c>
    </row>
    <row r="434" spans="1:22" ht="22.9" customHeight="1" x14ac:dyDescent="0.25">
      <c r="A434" s="29" t="s">
        <v>1509</v>
      </c>
      <c r="B434" s="9" t="s">
        <v>1145</v>
      </c>
      <c r="C434" s="7">
        <f t="shared" ref="C434:C436" si="652">D434+L434+N434+P434+R434+S434+T434</f>
        <v>2669290</v>
      </c>
      <c r="D434" s="2">
        <f t="shared" ref="D434:D436" si="653">SUM(E434:J434)</f>
        <v>275030</v>
      </c>
      <c r="E434" s="2">
        <f>700*392.9</f>
        <v>275030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1">
        <v>0</v>
      </c>
      <c r="L434" s="2">
        <v>0</v>
      </c>
      <c r="M434" s="2">
        <v>272.33999999999997</v>
      </c>
      <c r="N434" s="2">
        <f t="shared" ref="N434:N444" si="654">M434*6600</f>
        <v>1797443.9999999998</v>
      </c>
      <c r="O434" s="2">
        <v>0</v>
      </c>
      <c r="P434" s="2">
        <v>0</v>
      </c>
      <c r="Q434" s="2">
        <v>170.88</v>
      </c>
      <c r="R434" s="2">
        <f t="shared" ref="R434:R441" si="655">Q434*3200</f>
        <v>546816</v>
      </c>
      <c r="S434" s="2">
        <v>0</v>
      </c>
      <c r="T434" s="2">
        <v>50000</v>
      </c>
      <c r="U434" s="6">
        <f t="shared" ref="U434:U436" si="656">N434/M434</f>
        <v>6600</v>
      </c>
    </row>
    <row r="435" spans="1:22" ht="22.9" customHeight="1" x14ac:dyDescent="0.25">
      <c r="A435" s="29" t="s">
        <v>1510</v>
      </c>
      <c r="B435" s="9" t="s">
        <v>1146</v>
      </c>
      <c r="C435" s="7">
        <f t="shared" si="652"/>
        <v>2097840</v>
      </c>
      <c r="D435" s="2">
        <f t="shared" si="653"/>
        <v>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1">
        <v>0</v>
      </c>
      <c r="L435" s="2">
        <v>0</v>
      </c>
      <c r="M435" s="2">
        <v>262</v>
      </c>
      <c r="N435" s="2">
        <f t="shared" si="654"/>
        <v>1729200</v>
      </c>
      <c r="O435" s="2">
        <v>0</v>
      </c>
      <c r="P435" s="2">
        <v>0</v>
      </c>
      <c r="Q435" s="2">
        <v>115.2</v>
      </c>
      <c r="R435" s="2">
        <f t="shared" si="655"/>
        <v>368640</v>
      </c>
      <c r="S435" s="2">
        <v>0</v>
      </c>
      <c r="T435" s="2">
        <v>0</v>
      </c>
      <c r="U435" s="6">
        <f t="shared" si="656"/>
        <v>6600</v>
      </c>
    </row>
    <row r="436" spans="1:22" ht="22.9" customHeight="1" x14ac:dyDescent="0.25">
      <c r="A436" s="29" t="s">
        <v>1511</v>
      </c>
      <c r="B436" s="9" t="s">
        <v>1147</v>
      </c>
      <c r="C436" s="7">
        <f t="shared" si="652"/>
        <v>4022170</v>
      </c>
      <c r="D436" s="2">
        <f t="shared" si="653"/>
        <v>1557400</v>
      </c>
      <c r="E436" s="2">
        <f>700*599</f>
        <v>419300</v>
      </c>
      <c r="F436" s="2">
        <f>1300*599</f>
        <v>778700</v>
      </c>
      <c r="G436" s="2">
        <f>300*599</f>
        <v>179700</v>
      </c>
      <c r="H436" s="2">
        <v>0</v>
      </c>
      <c r="I436" s="2">
        <f>300*599</f>
        <v>179700</v>
      </c>
      <c r="J436" s="2">
        <v>0</v>
      </c>
      <c r="K436" s="21">
        <v>0</v>
      </c>
      <c r="L436" s="2">
        <v>0</v>
      </c>
      <c r="M436" s="2">
        <v>373.45</v>
      </c>
      <c r="N436" s="2">
        <f t="shared" si="654"/>
        <v>2464770</v>
      </c>
      <c r="O436" s="2">
        <v>0</v>
      </c>
      <c r="P436" s="2">
        <v>0</v>
      </c>
      <c r="Q436" s="2">
        <v>0</v>
      </c>
      <c r="R436" s="2">
        <f t="shared" si="655"/>
        <v>0</v>
      </c>
      <c r="S436" s="2">
        <v>0</v>
      </c>
      <c r="U436" s="6">
        <f t="shared" si="656"/>
        <v>6600</v>
      </c>
    </row>
    <row r="437" spans="1:22" ht="45" customHeight="1" x14ac:dyDescent="0.25">
      <c r="A437" s="43" t="s">
        <v>0</v>
      </c>
      <c r="B437" s="43"/>
      <c r="C437" s="1">
        <f>SUM(C438:C452)</f>
        <v>174474352</v>
      </c>
      <c r="D437" s="1">
        <f t="shared" ref="D437:T437" si="657">SUM(D438:D452)</f>
        <v>44078900</v>
      </c>
      <c r="E437" s="1">
        <f t="shared" si="657"/>
        <v>11631746</v>
      </c>
      <c r="F437" s="1">
        <f t="shared" si="657"/>
        <v>21601814</v>
      </c>
      <c r="G437" s="1">
        <f t="shared" si="657"/>
        <v>4985034</v>
      </c>
      <c r="H437" s="1">
        <f t="shared" si="657"/>
        <v>1525696</v>
      </c>
      <c r="I437" s="1">
        <f t="shared" si="657"/>
        <v>4985034</v>
      </c>
      <c r="J437" s="1">
        <f t="shared" si="657"/>
        <v>0</v>
      </c>
      <c r="K437" s="33">
        <f t="shared" si="657"/>
        <v>0</v>
      </c>
      <c r="L437" s="1">
        <f t="shared" si="657"/>
        <v>0</v>
      </c>
      <c r="M437" s="1">
        <f t="shared" si="657"/>
        <v>13328.54</v>
      </c>
      <c r="N437" s="1">
        <f t="shared" si="657"/>
        <v>80689324</v>
      </c>
      <c r="O437" s="1">
        <f t="shared" si="657"/>
        <v>2393.92</v>
      </c>
      <c r="P437" s="1">
        <f t="shared" si="657"/>
        <v>2872704</v>
      </c>
      <c r="Q437" s="1">
        <f t="shared" si="657"/>
        <v>13901.07</v>
      </c>
      <c r="R437" s="1">
        <f t="shared" si="657"/>
        <v>44483424</v>
      </c>
      <c r="S437" s="1">
        <f t="shared" si="657"/>
        <v>1500000</v>
      </c>
      <c r="T437" s="1">
        <f t="shared" si="657"/>
        <v>1000000</v>
      </c>
      <c r="U437" s="3" t="e">
        <f>C437+#REF!+#REF!</f>
        <v>#REF!</v>
      </c>
    </row>
    <row r="438" spans="1:22" ht="22.9" customHeight="1" x14ac:dyDescent="0.25">
      <c r="A438" s="39" t="s">
        <v>1512</v>
      </c>
      <c r="B438" s="9" t="s">
        <v>48</v>
      </c>
      <c r="C438" s="25">
        <f>D438+N438+P438+R438+T438</f>
        <v>10756668</v>
      </c>
      <c r="D438" s="18">
        <v>3577332</v>
      </c>
      <c r="E438" s="2">
        <f>700*1626.06</f>
        <v>1138242</v>
      </c>
      <c r="F438" s="2">
        <f>1300*1626.06</f>
        <v>2113878</v>
      </c>
      <c r="G438" s="2">
        <f>300*1626.06</f>
        <v>487818</v>
      </c>
      <c r="H438" s="2">
        <v>0</v>
      </c>
      <c r="I438" s="2">
        <f>300*1626.06</f>
        <v>487818</v>
      </c>
      <c r="J438" s="2">
        <v>0</v>
      </c>
      <c r="K438" s="34">
        <v>0</v>
      </c>
      <c r="L438" s="18">
        <v>0</v>
      </c>
      <c r="M438" s="18">
        <v>616.28</v>
      </c>
      <c r="N438" s="2">
        <f t="shared" si="654"/>
        <v>4067448</v>
      </c>
      <c r="O438" s="18">
        <v>359.4</v>
      </c>
      <c r="P438" s="18">
        <f>O438*1200</f>
        <v>431280</v>
      </c>
      <c r="Q438" s="18">
        <v>806.44</v>
      </c>
      <c r="R438" s="2">
        <f t="shared" si="655"/>
        <v>2580608</v>
      </c>
      <c r="S438" s="2">
        <v>150000</v>
      </c>
      <c r="T438" s="2">
        <v>100000</v>
      </c>
      <c r="U438" s="6">
        <f t="shared" ref="U438:U484" si="658">N438/M438</f>
        <v>6600</v>
      </c>
      <c r="V438" s="3"/>
    </row>
    <row r="439" spans="1:22" ht="22.9" customHeight="1" x14ac:dyDescent="0.25">
      <c r="A439" s="39" t="s">
        <v>1513</v>
      </c>
      <c r="B439" s="9" t="s">
        <v>49</v>
      </c>
      <c r="C439" s="7">
        <f t="shared" ref="C439:C452" si="659">D439+L439+N439+P439+R439+S439+T439</f>
        <v>4060440</v>
      </c>
      <c r="D439" s="2">
        <f t="shared" ref="D439:D452" si="660">SUM(E439:J439)</f>
        <v>0</v>
      </c>
      <c r="E439" s="19">
        <v>0</v>
      </c>
      <c r="F439" s="19">
        <v>0</v>
      </c>
      <c r="G439" s="19">
        <v>0</v>
      </c>
      <c r="H439" s="19">
        <v>0</v>
      </c>
      <c r="I439" s="19">
        <v>0</v>
      </c>
      <c r="J439" s="2">
        <v>0</v>
      </c>
      <c r="K439" s="22">
        <v>0</v>
      </c>
      <c r="L439" s="19">
        <v>0</v>
      </c>
      <c r="M439" s="19">
        <v>383.4</v>
      </c>
      <c r="N439" s="2">
        <f t="shared" si="654"/>
        <v>2530440</v>
      </c>
      <c r="O439" s="19">
        <v>0</v>
      </c>
      <c r="P439" s="19">
        <v>0</v>
      </c>
      <c r="Q439" s="19">
        <v>400</v>
      </c>
      <c r="R439" s="2">
        <f t="shared" si="655"/>
        <v>1280000</v>
      </c>
      <c r="S439" s="2">
        <v>150000</v>
      </c>
      <c r="T439" s="2">
        <v>100000</v>
      </c>
      <c r="U439" s="6">
        <f t="shared" si="658"/>
        <v>6600</v>
      </c>
      <c r="V439" s="3"/>
    </row>
    <row r="440" spans="1:22" ht="22.9" customHeight="1" x14ac:dyDescent="0.25">
      <c r="A440" s="39" t="s">
        <v>1514</v>
      </c>
      <c r="B440" s="9" t="s">
        <v>50</v>
      </c>
      <c r="C440" s="7">
        <f t="shared" si="659"/>
        <v>19387600</v>
      </c>
      <c r="D440" s="2">
        <f t="shared" si="660"/>
        <v>0</v>
      </c>
      <c r="E440" s="18">
        <v>0</v>
      </c>
      <c r="F440" s="18">
        <v>0</v>
      </c>
      <c r="G440" s="18">
        <v>0</v>
      </c>
      <c r="H440" s="18">
        <v>0</v>
      </c>
      <c r="I440" s="18">
        <v>0</v>
      </c>
      <c r="J440" s="2">
        <v>0</v>
      </c>
      <c r="K440" s="34">
        <v>0</v>
      </c>
      <c r="L440" s="18">
        <v>0</v>
      </c>
      <c r="M440" s="18">
        <v>1386</v>
      </c>
      <c r="N440" s="2">
        <f t="shared" si="654"/>
        <v>9147600</v>
      </c>
      <c r="O440" s="18">
        <v>0</v>
      </c>
      <c r="P440" s="18">
        <v>0</v>
      </c>
      <c r="Q440" s="18">
        <v>3200</v>
      </c>
      <c r="R440" s="2">
        <f t="shared" si="655"/>
        <v>10240000</v>
      </c>
      <c r="S440" s="18">
        <v>0</v>
      </c>
      <c r="T440" s="18">
        <v>0</v>
      </c>
      <c r="U440" s="6">
        <f t="shared" si="658"/>
        <v>6600</v>
      </c>
      <c r="V440" s="3"/>
    </row>
    <row r="441" spans="1:22" ht="22.9" customHeight="1" x14ac:dyDescent="0.25">
      <c r="A441" s="39" t="s">
        <v>1515</v>
      </c>
      <c r="B441" s="9" t="s">
        <v>51</v>
      </c>
      <c r="C441" s="7">
        <f t="shared" si="659"/>
        <v>4507680</v>
      </c>
      <c r="D441" s="2">
        <f t="shared" si="660"/>
        <v>0</v>
      </c>
      <c r="E441" s="18">
        <v>0</v>
      </c>
      <c r="F441" s="18">
        <v>0</v>
      </c>
      <c r="G441" s="18">
        <v>0</v>
      </c>
      <c r="H441" s="18">
        <v>0</v>
      </c>
      <c r="I441" s="18">
        <v>0</v>
      </c>
      <c r="J441" s="2">
        <v>0</v>
      </c>
      <c r="K441" s="34">
        <v>0</v>
      </c>
      <c r="L441" s="18">
        <v>0</v>
      </c>
      <c r="M441" s="18">
        <v>382</v>
      </c>
      <c r="N441" s="2">
        <f t="shared" si="654"/>
        <v>2521200</v>
      </c>
      <c r="O441" s="18">
        <v>0</v>
      </c>
      <c r="P441" s="18">
        <v>0</v>
      </c>
      <c r="Q441" s="18">
        <v>542.65</v>
      </c>
      <c r="R441" s="2">
        <f t="shared" si="655"/>
        <v>1736480</v>
      </c>
      <c r="S441" s="2">
        <v>150000</v>
      </c>
      <c r="T441" s="2">
        <v>100000</v>
      </c>
      <c r="U441" s="6">
        <f t="shared" si="658"/>
        <v>6600</v>
      </c>
      <c r="V441" s="3"/>
    </row>
    <row r="442" spans="1:22" ht="22.9" customHeight="1" x14ac:dyDescent="0.25">
      <c r="A442" s="39" t="s">
        <v>1516</v>
      </c>
      <c r="B442" s="9" t="s">
        <v>52</v>
      </c>
      <c r="C442" s="7">
        <f t="shared" si="659"/>
        <v>4752000</v>
      </c>
      <c r="D442" s="2">
        <f t="shared" si="660"/>
        <v>0</v>
      </c>
      <c r="E442" s="18">
        <v>0</v>
      </c>
      <c r="F442" s="18">
        <v>0</v>
      </c>
      <c r="G442" s="18">
        <v>0</v>
      </c>
      <c r="H442" s="18">
        <v>0</v>
      </c>
      <c r="I442" s="18">
        <v>0</v>
      </c>
      <c r="J442" s="2">
        <v>0</v>
      </c>
      <c r="K442" s="34">
        <v>0</v>
      </c>
      <c r="L442" s="18">
        <v>0</v>
      </c>
      <c r="M442" s="18">
        <v>720</v>
      </c>
      <c r="N442" s="2">
        <f t="shared" si="654"/>
        <v>4752000</v>
      </c>
      <c r="O442" s="18">
        <v>0</v>
      </c>
      <c r="P442" s="18">
        <v>0</v>
      </c>
      <c r="Q442" s="18">
        <v>0</v>
      </c>
      <c r="R442" s="18">
        <v>0</v>
      </c>
      <c r="S442" s="18">
        <v>0</v>
      </c>
      <c r="T442" s="18">
        <v>0</v>
      </c>
      <c r="U442" s="6">
        <f t="shared" si="658"/>
        <v>6600</v>
      </c>
      <c r="V442" s="3"/>
    </row>
    <row r="443" spans="1:22" ht="22.9" customHeight="1" x14ac:dyDescent="0.25">
      <c r="A443" s="39" t="s">
        <v>1517</v>
      </c>
      <c r="B443" s="9" t="s">
        <v>53</v>
      </c>
      <c r="C443" s="7">
        <f t="shared" si="659"/>
        <v>4752000</v>
      </c>
      <c r="D443" s="2">
        <f t="shared" si="660"/>
        <v>0</v>
      </c>
      <c r="E443" s="18">
        <v>0</v>
      </c>
      <c r="F443" s="18">
        <v>0</v>
      </c>
      <c r="G443" s="18">
        <v>0</v>
      </c>
      <c r="H443" s="18">
        <v>0</v>
      </c>
      <c r="I443" s="18">
        <v>0</v>
      </c>
      <c r="J443" s="2">
        <v>0</v>
      </c>
      <c r="K443" s="34">
        <v>0</v>
      </c>
      <c r="L443" s="18">
        <v>0</v>
      </c>
      <c r="M443" s="18">
        <v>720</v>
      </c>
      <c r="N443" s="2">
        <f t="shared" si="654"/>
        <v>4752000</v>
      </c>
      <c r="O443" s="18">
        <v>0</v>
      </c>
      <c r="P443" s="18">
        <v>0</v>
      </c>
      <c r="Q443" s="18">
        <v>0</v>
      </c>
      <c r="R443" s="18">
        <v>0</v>
      </c>
      <c r="S443" s="18">
        <v>0</v>
      </c>
      <c r="T443" s="18">
        <v>0</v>
      </c>
      <c r="U443" s="6">
        <f t="shared" si="658"/>
        <v>6600</v>
      </c>
      <c r="V443" s="3"/>
    </row>
    <row r="444" spans="1:22" ht="22.9" customHeight="1" x14ac:dyDescent="0.25">
      <c r="A444" s="39" t="s">
        <v>1518</v>
      </c>
      <c r="B444" s="9" t="s">
        <v>54</v>
      </c>
      <c r="C444" s="7">
        <f t="shared" ref="C444" si="661">D444+L444+N444+P444+R444+S444+T444</f>
        <v>21172050</v>
      </c>
      <c r="D444" s="2">
        <f t="shared" ref="D444" si="662">SUM(E444:J444)</f>
        <v>7285330.0000000009</v>
      </c>
      <c r="E444" s="2">
        <f>700*2802.05</f>
        <v>1961435.0000000002</v>
      </c>
      <c r="F444" s="2">
        <f>1300*2802.05</f>
        <v>3642665.0000000005</v>
      </c>
      <c r="G444" s="2">
        <f>300*2802.05</f>
        <v>840615</v>
      </c>
      <c r="H444" s="18">
        <v>0</v>
      </c>
      <c r="I444" s="2">
        <f>300*2802.05</f>
        <v>840615</v>
      </c>
      <c r="J444" s="2">
        <v>0</v>
      </c>
      <c r="K444" s="34">
        <v>0</v>
      </c>
      <c r="L444" s="18">
        <v>0</v>
      </c>
      <c r="M444" s="18">
        <v>1300</v>
      </c>
      <c r="N444" s="2">
        <f t="shared" si="654"/>
        <v>8580000</v>
      </c>
      <c r="O444" s="18">
        <v>480.6</v>
      </c>
      <c r="P444" s="18">
        <f>O444*1200</f>
        <v>576720</v>
      </c>
      <c r="Q444" s="18">
        <v>1400</v>
      </c>
      <c r="R444" s="2">
        <f t="shared" ref="R444" si="663">Q444*3200</f>
        <v>4480000</v>
      </c>
      <c r="S444" s="2">
        <v>150000</v>
      </c>
      <c r="T444" s="2">
        <v>100000</v>
      </c>
      <c r="U444" s="6">
        <f t="shared" si="658"/>
        <v>6600</v>
      </c>
      <c r="V444" s="3"/>
    </row>
    <row r="445" spans="1:22" ht="22.9" customHeight="1" x14ac:dyDescent="0.25">
      <c r="A445" s="39" t="s">
        <v>1519</v>
      </c>
      <c r="B445" s="9" t="s">
        <v>55</v>
      </c>
      <c r="C445" s="7">
        <f t="shared" ref="C445" si="664">D445+L445+N445+P445+R445+S445+T445</f>
        <v>14335422</v>
      </c>
      <c r="D445" s="2">
        <f t="shared" ref="D445" si="665">SUM(E445:J445)</f>
        <v>3727022</v>
      </c>
      <c r="E445" s="2">
        <f>700*1433.47</f>
        <v>1003429</v>
      </c>
      <c r="F445" s="2">
        <f>1300*1433.47</f>
        <v>1863511</v>
      </c>
      <c r="G445" s="2">
        <f>300*1433.47</f>
        <v>430041</v>
      </c>
      <c r="H445" s="18">
        <v>0</v>
      </c>
      <c r="I445" s="2">
        <f>300*1433.47</f>
        <v>430041</v>
      </c>
      <c r="J445" s="2">
        <v>0</v>
      </c>
      <c r="K445" s="34">
        <v>0</v>
      </c>
      <c r="L445" s="18">
        <v>0</v>
      </c>
      <c r="M445" s="18">
        <v>720</v>
      </c>
      <c r="N445" s="2">
        <f t="shared" ref="N445" si="666">M445*6600</f>
        <v>4752000</v>
      </c>
      <c r="O445" s="18">
        <v>480</v>
      </c>
      <c r="P445" s="18">
        <f>O445*1200</f>
        <v>576000</v>
      </c>
      <c r="Q445" s="18">
        <v>1572</v>
      </c>
      <c r="R445" s="2">
        <f t="shared" ref="R445" si="667">Q445*3200</f>
        <v>5030400</v>
      </c>
      <c r="S445" s="2">
        <v>150000</v>
      </c>
      <c r="T445" s="2">
        <v>100000</v>
      </c>
      <c r="U445" s="6">
        <f t="shared" si="658"/>
        <v>6600</v>
      </c>
      <c r="V445" s="3"/>
    </row>
    <row r="446" spans="1:22" ht="22.9" customHeight="1" x14ac:dyDescent="0.25">
      <c r="A446" s="39" t="s">
        <v>1520</v>
      </c>
      <c r="B446" s="9" t="s">
        <v>56</v>
      </c>
      <c r="C446" s="7">
        <f t="shared" si="659"/>
        <v>13166060</v>
      </c>
      <c r="D446" s="2">
        <f t="shared" si="660"/>
        <v>6579819.9999999991</v>
      </c>
      <c r="E446" s="2">
        <f>700*2530.7</f>
        <v>1771489.9999999998</v>
      </c>
      <c r="F446" s="2">
        <f>1300*2530.7</f>
        <v>3289909.9999999995</v>
      </c>
      <c r="G446" s="2">
        <f>300*2530.7</f>
        <v>759210</v>
      </c>
      <c r="H446" s="18">
        <v>0</v>
      </c>
      <c r="I446" s="2">
        <f>300*2530.7</f>
        <v>759210</v>
      </c>
      <c r="J446" s="2">
        <v>0</v>
      </c>
      <c r="K446" s="34">
        <v>0</v>
      </c>
      <c r="L446" s="18">
        <v>0</v>
      </c>
      <c r="M446" s="18">
        <v>520</v>
      </c>
      <c r="N446" s="2">
        <f t="shared" ref="N446:N448" si="668">M446*6600</f>
        <v>3432000</v>
      </c>
      <c r="O446" s="18">
        <v>149.80000000000001</v>
      </c>
      <c r="P446" s="18">
        <f>O446*1200</f>
        <v>179760</v>
      </c>
      <c r="Q446" s="18">
        <v>851.4</v>
      </c>
      <c r="R446" s="2">
        <f t="shared" ref="R446:R448" si="669">Q446*3200</f>
        <v>2724480</v>
      </c>
      <c r="S446" s="2">
        <v>150000</v>
      </c>
      <c r="T446" s="2">
        <v>100000</v>
      </c>
      <c r="U446" s="6">
        <f t="shared" si="658"/>
        <v>6600</v>
      </c>
      <c r="V446" s="3"/>
    </row>
    <row r="447" spans="1:22" ht="22.9" customHeight="1" x14ac:dyDescent="0.25">
      <c r="A447" s="39" t="s">
        <v>1521</v>
      </c>
      <c r="B447" s="9" t="s">
        <v>57</v>
      </c>
      <c r="C447" s="7">
        <f t="shared" si="659"/>
        <v>11690226</v>
      </c>
      <c r="D447" s="2">
        <f t="shared" si="660"/>
        <v>4277962</v>
      </c>
      <c r="E447" s="2">
        <f>700*1645.37</f>
        <v>1151759</v>
      </c>
      <c r="F447" s="2">
        <f>1300*1645.37</f>
        <v>2138981</v>
      </c>
      <c r="G447" s="2">
        <f>300*1645.37</f>
        <v>493610.99999999994</v>
      </c>
      <c r="H447" s="18">
        <v>0</v>
      </c>
      <c r="I447" s="2">
        <f>300*1645.37</f>
        <v>493610.99999999994</v>
      </c>
      <c r="J447" s="2">
        <v>0</v>
      </c>
      <c r="K447" s="34">
        <v>0</v>
      </c>
      <c r="L447" s="18">
        <v>0</v>
      </c>
      <c r="M447" s="18">
        <v>500</v>
      </c>
      <c r="N447" s="2">
        <f t="shared" si="668"/>
        <v>3300000</v>
      </c>
      <c r="O447" s="18">
        <v>363.3</v>
      </c>
      <c r="P447" s="18">
        <f>363.3*1200</f>
        <v>435960</v>
      </c>
      <c r="Q447" s="18">
        <v>1070.72</v>
      </c>
      <c r="R447" s="2">
        <f t="shared" si="669"/>
        <v>3426304</v>
      </c>
      <c r="S447" s="2">
        <v>150000</v>
      </c>
      <c r="T447" s="2">
        <v>100000</v>
      </c>
      <c r="U447" s="6">
        <f t="shared" si="658"/>
        <v>6600</v>
      </c>
      <c r="V447" s="3"/>
    </row>
    <row r="448" spans="1:22" ht="22.9" customHeight="1" x14ac:dyDescent="0.25">
      <c r="A448" s="39" t="s">
        <v>1522</v>
      </c>
      <c r="B448" s="9" t="s">
        <v>58</v>
      </c>
      <c r="C448" s="7">
        <f t="shared" si="659"/>
        <v>6888730</v>
      </c>
      <c r="D448" s="2">
        <f t="shared" si="660"/>
        <v>1613429.9999999998</v>
      </c>
      <c r="E448" s="2">
        <f>700*537.81</f>
        <v>376466.99999999994</v>
      </c>
      <c r="F448" s="2">
        <f>1300*537.81</f>
        <v>699152.99999999988</v>
      </c>
      <c r="G448" s="2">
        <f>300*537.81</f>
        <v>161342.99999999997</v>
      </c>
      <c r="H448" s="2">
        <f>400*537.81</f>
        <v>215123.99999999997</v>
      </c>
      <c r="I448" s="2">
        <f>300*537.81</f>
        <v>161342.99999999997</v>
      </c>
      <c r="J448" s="2">
        <v>0</v>
      </c>
      <c r="K448" s="34">
        <v>0</v>
      </c>
      <c r="L448" s="18">
        <v>0</v>
      </c>
      <c r="M448" s="18">
        <v>504.1</v>
      </c>
      <c r="N448" s="2">
        <f t="shared" si="668"/>
        <v>3327060</v>
      </c>
      <c r="O448" s="18">
        <v>0</v>
      </c>
      <c r="P448" s="18">
        <v>0</v>
      </c>
      <c r="Q448" s="18">
        <v>530.70000000000005</v>
      </c>
      <c r="R448" s="2">
        <f t="shared" si="669"/>
        <v>1698240.0000000002</v>
      </c>
      <c r="S448" s="2">
        <v>150000</v>
      </c>
      <c r="T448" s="2">
        <v>100000</v>
      </c>
      <c r="U448" s="6">
        <f t="shared" si="658"/>
        <v>6600</v>
      </c>
      <c r="V448" s="3"/>
    </row>
    <row r="449" spans="1:25" ht="22.9" customHeight="1" x14ac:dyDescent="0.25">
      <c r="A449" s="39" t="s">
        <v>1523</v>
      </c>
      <c r="B449" s="9" t="s">
        <v>59</v>
      </c>
      <c r="C449" s="7">
        <f t="shared" si="659"/>
        <v>7055920</v>
      </c>
      <c r="D449" s="2">
        <f t="shared" si="660"/>
        <v>0</v>
      </c>
      <c r="E449" s="18">
        <v>0</v>
      </c>
      <c r="F449" s="18">
        <v>0</v>
      </c>
      <c r="G449" s="18">
        <v>0</v>
      </c>
      <c r="H449" s="18">
        <v>0</v>
      </c>
      <c r="I449" s="18">
        <v>0</v>
      </c>
      <c r="J449" s="2">
        <v>0</v>
      </c>
      <c r="K449" s="34">
        <v>0</v>
      </c>
      <c r="L449" s="18">
        <v>0</v>
      </c>
      <c r="M449" s="18">
        <v>1585.6</v>
      </c>
      <c r="N449" s="2">
        <f>M449*4450</f>
        <v>7055920</v>
      </c>
      <c r="O449" s="18">
        <v>0</v>
      </c>
      <c r="P449" s="18">
        <v>0</v>
      </c>
      <c r="Q449" s="18">
        <v>0</v>
      </c>
      <c r="R449" s="18">
        <v>0</v>
      </c>
      <c r="S449" s="18">
        <v>0</v>
      </c>
      <c r="T449" s="18">
        <v>0</v>
      </c>
      <c r="U449" s="6">
        <f t="shared" si="658"/>
        <v>4450</v>
      </c>
      <c r="V449" s="3"/>
    </row>
    <row r="450" spans="1:25" ht="22.9" customHeight="1" x14ac:dyDescent="0.25">
      <c r="A450" s="39" t="s">
        <v>1524</v>
      </c>
      <c r="B450" s="9" t="s">
        <v>60</v>
      </c>
      <c r="C450" s="7">
        <f t="shared" si="659"/>
        <v>21394594</v>
      </c>
      <c r="D450" s="2">
        <f t="shared" si="660"/>
        <v>9829290</v>
      </c>
      <c r="E450" s="2">
        <f>700*3276.43</f>
        <v>2293501</v>
      </c>
      <c r="F450" s="2">
        <f>1300*3276.43</f>
        <v>4259359</v>
      </c>
      <c r="G450" s="2">
        <f>300*3276.43</f>
        <v>982929</v>
      </c>
      <c r="H450" s="2">
        <f>400*3276.43</f>
        <v>1310572</v>
      </c>
      <c r="I450" s="2">
        <f>300*3276.43</f>
        <v>982929</v>
      </c>
      <c r="J450" s="2">
        <v>0</v>
      </c>
      <c r="K450" s="34">
        <v>0</v>
      </c>
      <c r="L450" s="18">
        <v>0</v>
      </c>
      <c r="M450" s="18">
        <v>677.2</v>
      </c>
      <c r="N450" s="2">
        <f t="shared" ref="N450:N457" si="670">M450*6600</f>
        <v>4469520</v>
      </c>
      <c r="O450" s="18">
        <v>560.82000000000005</v>
      </c>
      <c r="P450" s="18">
        <v>672984</v>
      </c>
      <c r="Q450" s="18">
        <v>1929</v>
      </c>
      <c r="R450" s="2">
        <f t="shared" ref="R450:R451" si="671">Q450*3200</f>
        <v>6172800</v>
      </c>
      <c r="S450" s="2">
        <v>150000</v>
      </c>
      <c r="T450" s="2">
        <v>100000</v>
      </c>
      <c r="U450" s="6">
        <f t="shared" si="658"/>
        <v>6600</v>
      </c>
      <c r="V450" s="3"/>
    </row>
    <row r="451" spans="1:25" ht="22.9" customHeight="1" x14ac:dyDescent="0.25">
      <c r="A451" s="39" t="s">
        <v>1525</v>
      </c>
      <c r="B451" s="9" t="s">
        <v>61</v>
      </c>
      <c r="C451" s="7">
        <f t="shared" si="659"/>
        <v>22544962</v>
      </c>
      <c r="D451" s="2">
        <f t="shared" si="660"/>
        <v>7188714</v>
      </c>
      <c r="E451" s="2">
        <f>700*2764.89</f>
        <v>1935423</v>
      </c>
      <c r="F451" s="2">
        <f>1300*2764.89</f>
        <v>3594357</v>
      </c>
      <c r="G451" s="2">
        <f>300*2764.89</f>
        <v>829467</v>
      </c>
      <c r="H451" s="18">
        <v>0</v>
      </c>
      <c r="I451" s="2">
        <f>300*2764.89</f>
        <v>829467</v>
      </c>
      <c r="J451" s="2">
        <v>0</v>
      </c>
      <c r="K451" s="34">
        <v>0</v>
      </c>
      <c r="L451" s="18">
        <v>0</v>
      </c>
      <c r="M451" s="18">
        <v>1513.96</v>
      </c>
      <c r="N451" s="2">
        <f t="shared" si="670"/>
        <v>9992136</v>
      </c>
      <c r="O451" s="18">
        <v>0</v>
      </c>
      <c r="P451" s="18">
        <v>0</v>
      </c>
      <c r="Q451" s="18">
        <v>1598.16</v>
      </c>
      <c r="R451" s="2">
        <f t="shared" si="671"/>
        <v>5114112</v>
      </c>
      <c r="S451" s="2">
        <v>150000</v>
      </c>
      <c r="T451" s="2">
        <v>100000</v>
      </c>
      <c r="U451" s="6">
        <f t="shared" si="658"/>
        <v>6600</v>
      </c>
      <c r="V451" s="3"/>
    </row>
    <row r="452" spans="1:25" ht="22.9" customHeight="1" x14ac:dyDescent="0.25">
      <c r="A452" s="39" t="s">
        <v>1526</v>
      </c>
      <c r="B452" s="9" t="s">
        <v>76</v>
      </c>
      <c r="C452" s="7">
        <f t="shared" si="659"/>
        <v>8010000</v>
      </c>
      <c r="D452" s="2">
        <f t="shared" si="660"/>
        <v>0</v>
      </c>
      <c r="E452" s="18">
        <v>0</v>
      </c>
      <c r="F452" s="18">
        <v>0</v>
      </c>
      <c r="G452" s="18">
        <v>0</v>
      </c>
      <c r="H452" s="18">
        <v>0</v>
      </c>
      <c r="I452" s="18">
        <v>0</v>
      </c>
      <c r="J452" s="2">
        <v>0</v>
      </c>
      <c r="K452" s="34">
        <v>0</v>
      </c>
      <c r="L452" s="18">
        <v>0</v>
      </c>
      <c r="M452" s="2">
        <v>1800</v>
      </c>
      <c r="N452" s="2">
        <f>M452*4450</f>
        <v>8010000</v>
      </c>
      <c r="O452" s="18">
        <v>0</v>
      </c>
      <c r="P452" s="18">
        <v>0</v>
      </c>
      <c r="Q452" s="18">
        <v>0</v>
      </c>
      <c r="R452" s="18">
        <v>0</v>
      </c>
      <c r="S452" s="18">
        <v>0</v>
      </c>
      <c r="T452" s="18">
        <v>0</v>
      </c>
      <c r="U452" s="6">
        <f t="shared" si="658"/>
        <v>4450</v>
      </c>
      <c r="V452" s="3"/>
    </row>
    <row r="453" spans="1:25" ht="45" customHeight="1" x14ac:dyDescent="0.25">
      <c r="A453" s="43" t="s">
        <v>77</v>
      </c>
      <c r="B453" s="43"/>
      <c r="C453" s="1">
        <f>SUM(C454:C457)</f>
        <v>18414200</v>
      </c>
      <c r="D453" s="1">
        <f t="shared" ref="D453:T453" si="672">SUM(D454:D457)</f>
        <v>2196200</v>
      </c>
      <c r="E453" s="1">
        <f t="shared" si="672"/>
        <v>1320200</v>
      </c>
      <c r="F453" s="1">
        <f t="shared" si="672"/>
        <v>0</v>
      </c>
      <c r="G453" s="1">
        <f t="shared" si="672"/>
        <v>565800</v>
      </c>
      <c r="H453" s="1">
        <f t="shared" si="672"/>
        <v>0</v>
      </c>
      <c r="I453" s="1">
        <f t="shared" si="672"/>
        <v>310200</v>
      </c>
      <c r="J453" s="1">
        <f t="shared" si="672"/>
        <v>0</v>
      </c>
      <c r="K453" s="33">
        <f t="shared" si="672"/>
        <v>0</v>
      </c>
      <c r="L453" s="1">
        <f t="shared" si="672"/>
        <v>0</v>
      </c>
      <c r="M453" s="1">
        <f t="shared" si="672"/>
        <v>1610</v>
      </c>
      <c r="N453" s="1">
        <f t="shared" si="672"/>
        <v>10626000</v>
      </c>
      <c r="O453" s="1">
        <f t="shared" si="672"/>
        <v>0</v>
      </c>
      <c r="P453" s="1">
        <f t="shared" si="672"/>
        <v>0</v>
      </c>
      <c r="Q453" s="1">
        <f t="shared" si="672"/>
        <v>1435</v>
      </c>
      <c r="R453" s="1">
        <f t="shared" si="672"/>
        <v>4592000</v>
      </c>
      <c r="S453" s="1">
        <f t="shared" si="672"/>
        <v>600000</v>
      </c>
      <c r="T453" s="1">
        <f t="shared" si="672"/>
        <v>400000</v>
      </c>
      <c r="U453" s="3" t="e">
        <f>C453+#REF!+#REF!</f>
        <v>#REF!</v>
      </c>
    </row>
    <row r="454" spans="1:25" ht="22.9" customHeight="1" x14ac:dyDescent="0.25">
      <c r="A454" s="39" t="s">
        <v>1527</v>
      </c>
      <c r="B454" s="9" t="s">
        <v>83</v>
      </c>
      <c r="C454" s="7">
        <f t="shared" ref="C454:C457" si="673">D454+L454+N454+P454+R454+S454+T454</f>
        <v>4065700</v>
      </c>
      <c r="D454" s="2">
        <f t="shared" ref="D454:D457" si="674">SUM(E454:J454)</f>
        <v>531700</v>
      </c>
      <c r="E454" s="2">
        <f>700*409</f>
        <v>286300</v>
      </c>
      <c r="F454" s="18">
        <v>0</v>
      </c>
      <c r="G454" s="2">
        <f>300*409</f>
        <v>122700</v>
      </c>
      <c r="H454" s="18">
        <v>0</v>
      </c>
      <c r="I454" s="2">
        <f>300*409</f>
        <v>122700</v>
      </c>
      <c r="J454" s="2">
        <v>0</v>
      </c>
      <c r="K454" s="22">
        <v>0</v>
      </c>
      <c r="L454" s="19">
        <v>0</v>
      </c>
      <c r="M454" s="18">
        <v>340</v>
      </c>
      <c r="N454" s="2">
        <f t="shared" si="670"/>
        <v>2244000</v>
      </c>
      <c r="O454" s="18">
        <v>0</v>
      </c>
      <c r="P454" s="18">
        <v>0</v>
      </c>
      <c r="Q454" s="18">
        <v>325</v>
      </c>
      <c r="R454" s="2">
        <f t="shared" ref="R454:R476" si="675">Q454*3200</f>
        <v>1040000</v>
      </c>
      <c r="S454" s="2">
        <v>150000</v>
      </c>
      <c r="T454" s="2">
        <v>100000</v>
      </c>
      <c r="U454" s="6">
        <f t="shared" si="658"/>
        <v>6600</v>
      </c>
      <c r="V454" s="3"/>
    </row>
    <row r="455" spans="1:25" ht="22.9" customHeight="1" x14ac:dyDescent="0.25">
      <c r="A455" s="39" t="s">
        <v>1528</v>
      </c>
      <c r="B455" s="9" t="s">
        <v>84</v>
      </c>
      <c r="C455" s="7">
        <f t="shared" si="673"/>
        <v>6428500</v>
      </c>
      <c r="D455" s="2">
        <f t="shared" si="674"/>
        <v>812500</v>
      </c>
      <c r="E455" s="2">
        <f>700*625</f>
        <v>437500</v>
      </c>
      <c r="F455" s="18">
        <v>0</v>
      </c>
      <c r="G455" s="2">
        <f>300*625</f>
        <v>187500</v>
      </c>
      <c r="H455" s="18">
        <v>0</v>
      </c>
      <c r="I455" s="2">
        <f>300*625</f>
        <v>187500</v>
      </c>
      <c r="J455" s="2">
        <v>0</v>
      </c>
      <c r="K455" s="34">
        <v>0</v>
      </c>
      <c r="L455" s="18">
        <v>0</v>
      </c>
      <c r="M455" s="18">
        <v>590</v>
      </c>
      <c r="N455" s="2">
        <f t="shared" si="670"/>
        <v>3894000</v>
      </c>
      <c r="O455" s="18">
        <v>0</v>
      </c>
      <c r="P455" s="18">
        <v>0</v>
      </c>
      <c r="Q455" s="18">
        <v>460</v>
      </c>
      <c r="R455" s="2">
        <f t="shared" si="675"/>
        <v>1472000</v>
      </c>
      <c r="S455" s="2">
        <v>150000</v>
      </c>
      <c r="T455" s="2">
        <v>100000</v>
      </c>
      <c r="U455" s="6">
        <f t="shared" si="658"/>
        <v>6600</v>
      </c>
      <c r="V455" s="3"/>
    </row>
    <row r="456" spans="1:25" ht="22.9" customHeight="1" x14ac:dyDescent="0.25">
      <c r="A456" s="39" t="s">
        <v>1529</v>
      </c>
      <c r="B456" s="9" t="s">
        <v>85</v>
      </c>
      <c r="C456" s="7">
        <f t="shared" si="673"/>
        <v>3960000</v>
      </c>
      <c r="D456" s="2">
        <f t="shared" si="674"/>
        <v>426000</v>
      </c>
      <c r="E456" s="2">
        <f>700*426</f>
        <v>298200</v>
      </c>
      <c r="F456" s="18">
        <v>0</v>
      </c>
      <c r="G456" s="2">
        <f>300*426</f>
        <v>127800</v>
      </c>
      <c r="H456" s="18">
        <v>0</v>
      </c>
      <c r="I456" s="18">
        <v>0</v>
      </c>
      <c r="J456" s="2">
        <v>0</v>
      </c>
      <c r="K456" s="34">
        <v>0</v>
      </c>
      <c r="L456" s="18">
        <v>0</v>
      </c>
      <c r="M456" s="18">
        <v>340</v>
      </c>
      <c r="N456" s="2">
        <f t="shared" si="670"/>
        <v>2244000</v>
      </c>
      <c r="O456" s="18">
        <v>0</v>
      </c>
      <c r="P456" s="18">
        <v>0</v>
      </c>
      <c r="Q456" s="18">
        <v>325</v>
      </c>
      <c r="R456" s="2">
        <f t="shared" si="675"/>
        <v>1040000</v>
      </c>
      <c r="S456" s="2">
        <v>150000</v>
      </c>
      <c r="T456" s="2">
        <v>100000</v>
      </c>
      <c r="U456" s="6">
        <f t="shared" si="658"/>
        <v>6600</v>
      </c>
      <c r="V456" s="3"/>
    </row>
    <row r="457" spans="1:25" ht="22.9" customHeight="1" x14ac:dyDescent="0.25">
      <c r="A457" s="39" t="s">
        <v>1530</v>
      </c>
      <c r="B457" s="9" t="s">
        <v>86</v>
      </c>
      <c r="C457" s="7">
        <f t="shared" si="673"/>
        <v>3960000</v>
      </c>
      <c r="D457" s="2">
        <f t="shared" si="674"/>
        <v>426000</v>
      </c>
      <c r="E457" s="2">
        <f>700*426</f>
        <v>298200</v>
      </c>
      <c r="F457" s="18">
        <v>0</v>
      </c>
      <c r="G457" s="2">
        <f>300*426</f>
        <v>127800</v>
      </c>
      <c r="H457" s="18">
        <v>0</v>
      </c>
      <c r="I457" s="18">
        <v>0</v>
      </c>
      <c r="J457" s="2">
        <v>0</v>
      </c>
      <c r="K457" s="34">
        <v>0</v>
      </c>
      <c r="L457" s="18">
        <v>0</v>
      </c>
      <c r="M457" s="18">
        <v>340</v>
      </c>
      <c r="N457" s="2">
        <f t="shared" si="670"/>
        <v>2244000</v>
      </c>
      <c r="O457" s="18">
        <v>0</v>
      </c>
      <c r="P457" s="18">
        <v>0</v>
      </c>
      <c r="Q457" s="18">
        <v>325</v>
      </c>
      <c r="R457" s="2">
        <f t="shared" si="675"/>
        <v>1040000</v>
      </c>
      <c r="S457" s="2">
        <v>150000</v>
      </c>
      <c r="T457" s="2">
        <v>100000</v>
      </c>
      <c r="U457" s="6">
        <f t="shared" si="658"/>
        <v>6600</v>
      </c>
      <c r="V457" s="3"/>
    </row>
    <row r="458" spans="1:25" ht="45" customHeight="1" x14ac:dyDescent="0.25">
      <c r="A458" s="43" t="s">
        <v>91</v>
      </c>
      <c r="B458" s="43"/>
      <c r="C458" s="1">
        <f>SUM(C459)</f>
        <v>5725880</v>
      </c>
      <c r="D458" s="1">
        <f t="shared" ref="D458:T458" si="676">SUM(D459)</f>
        <v>1605720</v>
      </c>
      <c r="E458" s="1">
        <f t="shared" si="676"/>
        <v>1124004</v>
      </c>
      <c r="F458" s="1">
        <f t="shared" si="676"/>
        <v>0</v>
      </c>
      <c r="G458" s="1">
        <f t="shared" si="676"/>
        <v>481716</v>
      </c>
      <c r="H458" s="1">
        <f t="shared" si="676"/>
        <v>0</v>
      </c>
      <c r="I458" s="1">
        <f t="shared" si="676"/>
        <v>0</v>
      </c>
      <c r="J458" s="1">
        <f t="shared" si="676"/>
        <v>0</v>
      </c>
      <c r="K458" s="33">
        <f t="shared" si="676"/>
        <v>0</v>
      </c>
      <c r="L458" s="1">
        <f t="shared" si="676"/>
        <v>0</v>
      </c>
      <c r="M458" s="1">
        <f t="shared" si="676"/>
        <v>0</v>
      </c>
      <c r="N458" s="1">
        <f t="shared" si="676"/>
        <v>0</v>
      </c>
      <c r="O458" s="1">
        <f t="shared" si="676"/>
        <v>600.79999999999995</v>
      </c>
      <c r="P458" s="1">
        <f t="shared" si="676"/>
        <v>720960</v>
      </c>
      <c r="Q458" s="1">
        <f t="shared" si="676"/>
        <v>1031</v>
      </c>
      <c r="R458" s="1">
        <f t="shared" si="676"/>
        <v>3299200</v>
      </c>
      <c r="S458" s="1">
        <f t="shared" si="676"/>
        <v>0</v>
      </c>
      <c r="T458" s="1">
        <f t="shared" si="676"/>
        <v>100000</v>
      </c>
      <c r="U458" s="3" t="e">
        <f>C458+#REF!+#REF!</f>
        <v>#REF!</v>
      </c>
    </row>
    <row r="459" spans="1:25" ht="22.9" customHeight="1" x14ac:dyDescent="0.25">
      <c r="A459" s="39" t="s">
        <v>1531</v>
      </c>
      <c r="B459" s="9" t="s">
        <v>95</v>
      </c>
      <c r="C459" s="7">
        <f t="shared" ref="C459" si="677">D459+L459+N459+P459+R459+S459+T459</f>
        <v>5725880</v>
      </c>
      <c r="D459" s="2">
        <f t="shared" ref="D459" si="678">SUM(E459:J459)</f>
        <v>1605720</v>
      </c>
      <c r="E459" s="2">
        <f>700*1605.72</f>
        <v>1124004</v>
      </c>
      <c r="F459" s="18">
        <v>0</v>
      </c>
      <c r="G459" s="2">
        <f>300*1605.72</f>
        <v>481716</v>
      </c>
      <c r="H459" s="18">
        <v>0</v>
      </c>
      <c r="I459" s="18">
        <v>0</v>
      </c>
      <c r="J459" s="2">
        <v>0</v>
      </c>
      <c r="K459" s="34">
        <v>0</v>
      </c>
      <c r="L459" s="18">
        <v>0</v>
      </c>
      <c r="M459" s="18">
        <v>0</v>
      </c>
      <c r="N459" s="18">
        <v>0</v>
      </c>
      <c r="O459" s="18">
        <v>600.79999999999995</v>
      </c>
      <c r="P459" s="18">
        <f>O459*1200</f>
        <v>720960</v>
      </c>
      <c r="Q459" s="18">
        <v>1031</v>
      </c>
      <c r="R459" s="2">
        <f t="shared" si="675"/>
        <v>3299200</v>
      </c>
      <c r="S459" s="18">
        <v>0</v>
      </c>
      <c r="T459" s="2">
        <v>100000</v>
      </c>
      <c r="U459" s="6" t="e">
        <f t="shared" si="658"/>
        <v>#DIV/0!</v>
      </c>
      <c r="V459" s="3"/>
    </row>
    <row r="460" spans="1:25" ht="45" customHeight="1" x14ac:dyDescent="0.25">
      <c r="A460" s="43" t="s">
        <v>97</v>
      </c>
      <c r="B460" s="43"/>
      <c r="C460" s="1">
        <f>SUM(C461:C462)</f>
        <v>8923470</v>
      </c>
      <c r="D460" s="1">
        <f t="shared" ref="D460:T460" si="679">SUM(D461:D462)</f>
        <v>1622800</v>
      </c>
      <c r="E460" s="1">
        <f t="shared" si="679"/>
        <v>567980</v>
      </c>
      <c r="F460" s="1">
        <f t="shared" si="679"/>
        <v>1054820</v>
      </c>
      <c r="G460" s="1">
        <f t="shared" si="679"/>
        <v>0</v>
      </c>
      <c r="H460" s="1">
        <f t="shared" si="679"/>
        <v>0</v>
      </c>
      <c r="I460" s="1">
        <f t="shared" si="679"/>
        <v>0</v>
      </c>
      <c r="J460" s="1">
        <f t="shared" si="679"/>
        <v>0</v>
      </c>
      <c r="K460" s="33">
        <f t="shared" si="679"/>
        <v>0</v>
      </c>
      <c r="L460" s="1">
        <f t="shared" si="679"/>
        <v>0</v>
      </c>
      <c r="M460" s="1">
        <f t="shared" si="679"/>
        <v>647.99</v>
      </c>
      <c r="N460" s="1">
        <f t="shared" si="679"/>
        <v>4276734</v>
      </c>
      <c r="O460" s="1">
        <f t="shared" si="679"/>
        <v>0</v>
      </c>
      <c r="P460" s="1">
        <f t="shared" si="679"/>
        <v>0</v>
      </c>
      <c r="Q460" s="1">
        <f t="shared" si="679"/>
        <v>788.73</v>
      </c>
      <c r="R460" s="1">
        <f t="shared" si="679"/>
        <v>2523936</v>
      </c>
      <c r="S460" s="1">
        <f t="shared" si="679"/>
        <v>300000</v>
      </c>
      <c r="T460" s="1">
        <f t="shared" si="679"/>
        <v>200000</v>
      </c>
      <c r="U460" s="3" t="e">
        <f>C460+#REF!+#REF!</f>
        <v>#REF!</v>
      </c>
    </row>
    <row r="461" spans="1:25" ht="22.9" customHeight="1" x14ac:dyDescent="0.25">
      <c r="A461" s="39" t="s">
        <v>1532</v>
      </c>
      <c r="B461" s="9" t="s">
        <v>100</v>
      </c>
      <c r="C461" s="7">
        <f t="shared" ref="C461:C462" si="680">D461+L461+N461+P461+R461+S461+T461</f>
        <v>4431170</v>
      </c>
      <c r="D461" s="2">
        <f t="shared" ref="D461:D462" si="681">SUM(E461:J461)</f>
        <v>810400</v>
      </c>
      <c r="E461" s="2">
        <f>700*405.2</f>
        <v>283640</v>
      </c>
      <c r="F461" s="2">
        <f>1300*405.2</f>
        <v>526760</v>
      </c>
      <c r="G461" s="18">
        <v>0</v>
      </c>
      <c r="H461" s="18">
        <v>0</v>
      </c>
      <c r="I461" s="18">
        <v>0</v>
      </c>
      <c r="J461" s="18">
        <v>0</v>
      </c>
      <c r="K461" s="22">
        <v>0</v>
      </c>
      <c r="L461" s="19">
        <v>0</v>
      </c>
      <c r="M461" s="19">
        <v>320.89</v>
      </c>
      <c r="N461" s="2">
        <f t="shared" ref="N461:N462" si="682">M461*6600</f>
        <v>2117874</v>
      </c>
      <c r="O461" s="19">
        <v>0</v>
      </c>
      <c r="P461" s="19">
        <v>0</v>
      </c>
      <c r="Q461" s="19">
        <v>391.53</v>
      </c>
      <c r="R461" s="2">
        <f t="shared" si="675"/>
        <v>1252896</v>
      </c>
      <c r="S461" s="2">
        <v>150000</v>
      </c>
      <c r="T461" s="2">
        <v>100000</v>
      </c>
      <c r="U461" s="6">
        <f t="shared" si="658"/>
        <v>6600</v>
      </c>
      <c r="V461" s="1"/>
      <c r="W461" s="1"/>
      <c r="X461" s="3"/>
    </row>
    <row r="462" spans="1:25" ht="22.9" customHeight="1" x14ac:dyDescent="0.25">
      <c r="A462" s="39" t="s">
        <v>1533</v>
      </c>
      <c r="B462" s="9" t="s">
        <v>101</v>
      </c>
      <c r="C462" s="7">
        <f t="shared" si="680"/>
        <v>4492300</v>
      </c>
      <c r="D462" s="2">
        <f t="shared" si="681"/>
        <v>812400</v>
      </c>
      <c r="E462" s="2">
        <f>700*406.2</f>
        <v>284340</v>
      </c>
      <c r="F462" s="2">
        <f>1300*406.2</f>
        <v>528060</v>
      </c>
      <c r="G462" s="18">
        <v>0</v>
      </c>
      <c r="H462" s="18">
        <v>0</v>
      </c>
      <c r="I462" s="18">
        <v>0</v>
      </c>
      <c r="J462" s="18">
        <v>0</v>
      </c>
      <c r="K462" s="22">
        <v>0</v>
      </c>
      <c r="L462" s="19">
        <v>0</v>
      </c>
      <c r="M462" s="19">
        <v>327.10000000000002</v>
      </c>
      <c r="N462" s="2">
        <f t="shared" si="682"/>
        <v>2158860</v>
      </c>
      <c r="O462" s="19">
        <v>0</v>
      </c>
      <c r="P462" s="19">
        <v>0</v>
      </c>
      <c r="Q462" s="19">
        <v>397.2</v>
      </c>
      <c r="R462" s="2">
        <f t="shared" si="675"/>
        <v>1271040</v>
      </c>
      <c r="S462" s="2">
        <v>150000</v>
      </c>
      <c r="T462" s="2">
        <v>100000</v>
      </c>
      <c r="U462" s="6">
        <f t="shared" si="658"/>
        <v>6599.9999999999991</v>
      </c>
      <c r="V462" s="1"/>
      <c r="W462" s="1"/>
      <c r="X462" s="3"/>
    </row>
    <row r="463" spans="1:25" ht="45" customHeight="1" x14ac:dyDescent="0.25">
      <c r="A463" s="43" t="s">
        <v>103</v>
      </c>
      <c r="B463" s="43"/>
      <c r="C463" s="1">
        <f>SUM(C464:C466)</f>
        <v>18421560</v>
      </c>
      <c r="D463" s="1">
        <f t="shared" ref="D463:T463" si="683">SUM(D464:D466)</f>
        <v>848820</v>
      </c>
      <c r="E463" s="1">
        <f t="shared" si="683"/>
        <v>848820</v>
      </c>
      <c r="F463" s="1">
        <f t="shared" si="683"/>
        <v>0</v>
      </c>
      <c r="G463" s="1">
        <f t="shared" si="683"/>
        <v>0</v>
      </c>
      <c r="H463" s="1">
        <f t="shared" si="683"/>
        <v>0</v>
      </c>
      <c r="I463" s="1">
        <f t="shared" si="683"/>
        <v>0</v>
      </c>
      <c r="J463" s="1">
        <f t="shared" si="683"/>
        <v>0</v>
      </c>
      <c r="K463" s="33">
        <f t="shared" si="683"/>
        <v>0</v>
      </c>
      <c r="L463" s="1">
        <f t="shared" si="683"/>
        <v>0</v>
      </c>
      <c r="M463" s="1">
        <f t="shared" si="683"/>
        <v>1839.3000000000002</v>
      </c>
      <c r="N463" s="1">
        <f t="shared" si="683"/>
        <v>12139380</v>
      </c>
      <c r="O463" s="1">
        <f t="shared" si="683"/>
        <v>150</v>
      </c>
      <c r="P463" s="1">
        <f t="shared" si="683"/>
        <v>180000</v>
      </c>
      <c r="Q463" s="1">
        <f t="shared" si="683"/>
        <v>1407.3</v>
      </c>
      <c r="R463" s="1">
        <f t="shared" si="683"/>
        <v>4503360</v>
      </c>
      <c r="S463" s="1">
        <f t="shared" si="683"/>
        <v>450000</v>
      </c>
      <c r="T463" s="1">
        <f t="shared" si="683"/>
        <v>300000</v>
      </c>
      <c r="U463" s="3" t="e">
        <f>C463+#REF!+#REF!</f>
        <v>#REF!</v>
      </c>
    </row>
    <row r="464" spans="1:25" ht="22.9" customHeight="1" x14ac:dyDescent="0.25">
      <c r="A464" s="39" t="s">
        <v>1534</v>
      </c>
      <c r="B464" s="9" t="s">
        <v>107</v>
      </c>
      <c r="C464" s="7">
        <f t="shared" ref="C464:C466" si="684">D464+L464+N464+P464+R464+S464+T464</f>
        <v>7303180</v>
      </c>
      <c r="D464" s="2">
        <f t="shared" ref="D464:D466" si="685">SUM(E464:J464)</f>
        <v>346780</v>
      </c>
      <c r="E464" s="2">
        <f>700*495.4</f>
        <v>346780</v>
      </c>
      <c r="F464" s="18">
        <v>0</v>
      </c>
      <c r="G464" s="18">
        <v>0</v>
      </c>
      <c r="H464" s="18">
        <v>0</v>
      </c>
      <c r="I464" s="18">
        <v>0</v>
      </c>
      <c r="J464" s="18">
        <v>0</v>
      </c>
      <c r="K464" s="34">
        <v>0</v>
      </c>
      <c r="L464" s="18">
        <v>0</v>
      </c>
      <c r="M464" s="18">
        <v>747.2</v>
      </c>
      <c r="N464" s="2">
        <f t="shared" ref="N464:N466" si="686">M464*6600</f>
        <v>4931520</v>
      </c>
      <c r="O464" s="18">
        <v>50</v>
      </c>
      <c r="P464" s="18">
        <f>O464*1200</f>
        <v>60000</v>
      </c>
      <c r="Q464" s="18">
        <v>535.9</v>
      </c>
      <c r="R464" s="2">
        <f t="shared" si="675"/>
        <v>1714880</v>
      </c>
      <c r="S464" s="2">
        <v>150000</v>
      </c>
      <c r="T464" s="2">
        <v>100000</v>
      </c>
      <c r="U464" s="6">
        <f t="shared" si="658"/>
        <v>6600</v>
      </c>
      <c r="V464" s="1"/>
      <c r="W464" s="1"/>
      <c r="X464" s="1"/>
      <c r="Y464" s="3"/>
    </row>
    <row r="465" spans="1:26" ht="22.9" customHeight="1" x14ac:dyDescent="0.25">
      <c r="A465" s="39" t="s">
        <v>1535</v>
      </c>
      <c r="B465" s="9" t="s">
        <v>108</v>
      </c>
      <c r="C465" s="7">
        <f t="shared" si="684"/>
        <v>5548830</v>
      </c>
      <c r="D465" s="2">
        <f t="shared" si="685"/>
        <v>250529.99999999997</v>
      </c>
      <c r="E465" s="2">
        <f>700*357.9</f>
        <v>250529.99999999997</v>
      </c>
      <c r="F465" s="18">
        <v>0</v>
      </c>
      <c r="G465" s="18">
        <v>0</v>
      </c>
      <c r="H465" s="18">
        <v>0</v>
      </c>
      <c r="I465" s="18">
        <v>0</v>
      </c>
      <c r="J465" s="18">
        <v>0</v>
      </c>
      <c r="K465" s="34">
        <v>0</v>
      </c>
      <c r="L465" s="18">
        <v>0</v>
      </c>
      <c r="M465" s="18">
        <v>544.70000000000005</v>
      </c>
      <c r="N465" s="2">
        <f t="shared" si="686"/>
        <v>3595020.0000000005</v>
      </c>
      <c r="O465" s="18">
        <v>50</v>
      </c>
      <c r="P465" s="18">
        <f t="shared" ref="P465:P466" si="687">O465*1200</f>
        <v>60000</v>
      </c>
      <c r="Q465" s="18">
        <v>435.4</v>
      </c>
      <c r="R465" s="2">
        <f t="shared" si="675"/>
        <v>1393280</v>
      </c>
      <c r="S465" s="2">
        <v>150000</v>
      </c>
      <c r="T465" s="2">
        <v>100000</v>
      </c>
      <c r="U465" s="6">
        <f t="shared" si="658"/>
        <v>6600</v>
      </c>
      <c r="V465" s="1"/>
      <c r="W465" s="1"/>
      <c r="X465" s="1"/>
      <c r="Y465" s="3"/>
    </row>
    <row r="466" spans="1:26" ht="22.9" customHeight="1" x14ac:dyDescent="0.25">
      <c r="A466" s="39" t="s">
        <v>1536</v>
      </c>
      <c r="B466" s="9" t="s">
        <v>109</v>
      </c>
      <c r="C466" s="7">
        <f t="shared" si="684"/>
        <v>5569550</v>
      </c>
      <c r="D466" s="2">
        <f t="shared" si="685"/>
        <v>251510</v>
      </c>
      <c r="E466" s="2">
        <f>700*359.3</f>
        <v>251510</v>
      </c>
      <c r="F466" s="18">
        <v>0</v>
      </c>
      <c r="G466" s="18">
        <v>0</v>
      </c>
      <c r="H466" s="18">
        <v>0</v>
      </c>
      <c r="I466" s="18">
        <v>0</v>
      </c>
      <c r="J466" s="18">
        <v>0</v>
      </c>
      <c r="K466" s="34">
        <v>0</v>
      </c>
      <c r="L466" s="18">
        <v>0</v>
      </c>
      <c r="M466" s="18">
        <v>547.4</v>
      </c>
      <c r="N466" s="2">
        <f t="shared" si="686"/>
        <v>3612840</v>
      </c>
      <c r="O466" s="18">
        <v>50</v>
      </c>
      <c r="P466" s="18">
        <f t="shared" si="687"/>
        <v>60000</v>
      </c>
      <c r="Q466" s="18">
        <v>436</v>
      </c>
      <c r="R466" s="2">
        <f t="shared" si="675"/>
        <v>1395200</v>
      </c>
      <c r="S466" s="2">
        <v>150000</v>
      </c>
      <c r="T466" s="2">
        <v>100000</v>
      </c>
      <c r="U466" s="6">
        <f t="shared" si="658"/>
        <v>6600</v>
      </c>
      <c r="V466" s="1"/>
      <c r="W466" s="1"/>
      <c r="X466" s="1"/>
      <c r="Y466" s="3"/>
    </row>
    <row r="467" spans="1:26" ht="45" customHeight="1" x14ac:dyDescent="0.25">
      <c r="A467" s="43" t="s">
        <v>113</v>
      </c>
      <c r="B467" s="43"/>
      <c r="C467" s="1">
        <f>SUM(C468:C470)</f>
        <v>14492583</v>
      </c>
      <c r="D467" s="1">
        <f t="shared" ref="D467:T467" si="688">SUM(D468:D470)</f>
        <v>839783</v>
      </c>
      <c r="E467" s="1">
        <f t="shared" si="688"/>
        <v>839783</v>
      </c>
      <c r="F467" s="1">
        <f t="shared" si="688"/>
        <v>0</v>
      </c>
      <c r="G467" s="1">
        <f t="shared" si="688"/>
        <v>0</v>
      </c>
      <c r="H467" s="1">
        <f t="shared" si="688"/>
        <v>0</v>
      </c>
      <c r="I467" s="1">
        <f t="shared" si="688"/>
        <v>0</v>
      </c>
      <c r="J467" s="1">
        <f t="shared" si="688"/>
        <v>0</v>
      </c>
      <c r="K467" s="33">
        <f t="shared" si="688"/>
        <v>0</v>
      </c>
      <c r="L467" s="1">
        <f t="shared" si="688"/>
        <v>0</v>
      </c>
      <c r="M467" s="1">
        <f t="shared" si="688"/>
        <v>1330</v>
      </c>
      <c r="N467" s="1">
        <f t="shared" si="688"/>
        <v>8778000</v>
      </c>
      <c r="O467" s="1">
        <f t="shared" si="688"/>
        <v>0</v>
      </c>
      <c r="P467" s="1">
        <f t="shared" si="688"/>
        <v>0</v>
      </c>
      <c r="Q467" s="1">
        <f t="shared" si="688"/>
        <v>1289</v>
      </c>
      <c r="R467" s="1">
        <f t="shared" si="688"/>
        <v>4124800</v>
      </c>
      <c r="S467" s="1">
        <f t="shared" si="688"/>
        <v>450000</v>
      </c>
      <c r="T467" s="1">
        <f t="shared" si="688"/>
        <v>300000</v>
      </c>
      <c r="U467" s="3" t="e">
        <f>C467+#REF!+#REF!</f>
        <v>#REF!</v>
      </c>
    </row>
    <row r="468" spans="1:26" ht="22.9" customHeight="1" x14ac:dyDescent="0.25">
      <c r="A468" s="39" t="s">
        <v>1537</v>
      </c>
      <c r="B468" s="9" t="s">
        <v>118</v>
      </c>
      <c r="C468" s="7">
        <f t="shared" ref="C468:C470" si="689">D468+L468+N468+P468+R468+S468+T468</f>
        <v>4818363</v>
      </c>
      <c r="D468" s="2">
        <f t="shared" ref="D468:D470" si="690">SUM(E468:J468)</f>
        <v>277963</v>
      </c>
      <c r="E468" s="2">
        <f>700*397.09</f>
        <v>277963</v>
      </c>
      <c r="F468" s="18">
        <v>0</v>
      </c>
      <c r="G468" s="18">
        <v>0</v>
      </c>
      <c r="H468" s="18">
        <v>0</v>
      </c>
      <c r="I468" s="18">
        <v>0</v>
      </c>
      <c r="J468" s="18">
        <v>0</v>
      </c>
      <c r="K468" s="34">
        <v>0</v>
      </c>
      <c r="L468" s="18">
        <v>0</v>
      </c>
      <c r="M468" s="18">
        <v>444</v>
      </c>
      <c r="N468" s="2">
        <f t="shared" ref="N468:N470" si="691">M468*6600</f>
        <v>2930400</v>
      </c>
      <c r="O468" s="18">
        <v>0</v>
      </c>
      <c r="P468" s="18">
        <v>0</v>
      </c>
      <c r="Q468" s="18">
        <v>425</v>
      </c>
      <c r="R468" s="2">
        <f t="shared" si="675"/>
        <v>1360000</v>
      </c>
      <c r="S468" s="2">
        <v>150000</v>
      </c>
      <c r="T468" s="2">
        <v>100000</v>
      </c>
      <c r="U468" s="6">
        <f t="shared" si="658"/>
        <v>6600</v>
      </c>
      <c r="V468" s="1"/>
      <c r="W468" s="1"/>
      <c r="X468" s="3"/>
    </row>
    <row r="469" spans="1:26" ht="22.9" customHeight="1" x14ac:dyDescent="0.25">
      <c r="A469" s="39" t="s">
        <v>1538</v>
      </c>
      <c r="B469" s="9" t="s">
        <v>119</v>
      </c>
      <c r="C469" s="7">
        <f t="shared" si="689"/>
        <v>4868420</v>
      </c>
      <c r="D469" s="2">
        <f t="shared" si="690"/>
        <v>280420</v>
      </c>
      <c r="E469" s="2">
        <f>700*400.6</f>
        <v>280420</v>
      </c>
      <c r="F469" s="18">
        <v>0</v>
      </c>
      <c r="G469" s="18">
        <v>0</v>
      </c>
      <c r="H469" s="18">
        <v>0</v>
      </c>
      <c r="I469" s="18">
        <v>0</v>
      </c>
      <c r="J469" s="18">
        <v>0</v>
      </c>
      <c r="K469" s="34">
        <v>0</v>
      </c>
      <c r="L469" s="18">
        <v>0</v>
      </c>
      <c r="M469" s="18">
        <v>442</v>
      </c>
      <c r="N469" s="2">
        <f t="shared" si="691"/>
        <v>2917200</v>
      </c>
      <c r="O469" s="18">
        <v>0</v>
      </c>
      <c r="P469" s="18">
        <v>0</v>
      </c>
      <c r="Q469" s="18">
        <v>444</v>
      </c>
      <c r="R469" s="2">
        <f t="shared" si="675"/>
        <v>1420800</v>
      </c>
      <c r="S469" s="2">
        <v>150000</v>
      </c>
      <c r="T469" s="2">
        <v>100000</v>
      </c>
      <c r="U469" s="6">
        <f t="shared" si="658"/>
        <v>6600</v>
      </c>
      <c r="V469" s="1"/>
      <c r="W469" s="1"/>
      <c r="X469" s="1"/>
      <c r="Y469" s="3"/>
    </row>
    <row r="470" spans="1:26" ht="22.9" customHeight="1" x14ac:dyDescent="0.25">
      <c r="A470" s="39" t="s">
        <v>1539</v>
      </c>
      <c r="B470" s="9" t="s">
        <v>120</v>
      </c>
      <c r="C470" s="7">
        <f t="shared" si="689"/>
        <v>4805800</v>
      </c>
      <c r="D470" s="2">
        <f t="shared" si="690"/>
        <v>281400</v>
      </c>
      <c r="E470" s="2">
        <f>700*402</f>
        <v>281400</v>
      </c>
      <c r="F470" s="18">
        <v>0</v>
      </c>
      <c r="G470" s="18">
        <v>0</v>
      </c>
      <c r="H470" s="18">
        <v>0</v>
      </c>
      <c r="I470" s="18">
        <v>0</v>
      </c>
      <c r="J470" s="18">
        <v>0</v>
      </c>
      <c r="K470" s="34">
        <v>0</v>
      </c>
      <c r="L470" s="18">
        <v>0</v>
      </c>
      <c r="M470" s="18">
        <v>444</v>
      </c>
      <c r="N470" s="2">
        <f t="shared" si="691"/>
        <v>2930400</v>
      </c>
      <c r="O470" s="18">
        <v>0</v>
      </c>
      <c r="P470" s="18">
        <v>0</v>
      </c>
      <c r="Q470" s="18">
        <v>420</v>
      </c>
      <c r="R470" s="2">
        <f t="shared" si="675"/>
        <v>1344000</v>
      </c>
      <c r="S470" s="2">
        <v>150000</v>
      </c>
      <c r="T470" s="2">
        <v>100000</v>
      </c>
      <c r="U470" s="6">
        <f t="shared" si="658"/>
        <v>6600</v>
      </c>
      <c r="V470" s="1"/>
      <c r="W470" s="1"/>
      <c r="X470" s="1"/>
      <c r="Y470" s="3"/>
    </row>
    <row r="471" spans="1:26" ht="45" customHeight="1" x14ac:dyDescent="0.25">
      <c r="A471" s="43" t="s">
        <v>124</v>
      </c>
      <c r="B471" s="43"/>
      <c r="C471" s="1">
        <f>SUM(C472:C473)</f>
        <v>8174800</v>
      </c>
      <c r="D471" s="1">
        <f t="shared" ref="D471:T471" si="692">SUM(D472:D473)</f>
        <v>774800</v>
      </c>
      <c r="E471" s="1">
        <f t="shared" si="692"/>
        <v>542360</v>
      </c>
      <c r="F471" s="1">
        <f t="shared" si="692"/>
        <v>0</v>
      </c>
      <c r="G471" s="1">
        <f t="shared" si="692"/>
        <v>232440</v>
      </c>
      <c r="H471" s="1">
        <f t="shared" si="692"/>
        <v>0</v>
      </c>
      <c r="I471" s="1">
        <f t="shared" si="692"/>
        <v>0</v>
      </c>
      <c r="J471" s="1">
        <f t="shared" si="692"/>
        <v>0</v>
      </c>
      <c r="K471" s="33">
        <f t="shared" si="692"/>
        <v>0</v>
      </c>
      <c r="L471" s="1">
        <f t="shared" si="692"/>
        <v>0</v>
      </c>
      <c r="M471" s="1">
        <f t="shared" si="692"/>
        <v>600</v>
      </c>
      <c r="N471" s="1">
        <f t="shared" si="692"/>
        <v>3960000</v>
      </c>
      <c r="O471" s="1">
        <f t="shared" si="692"/>
        <v>50</v>
      </c>
      <c r="P471" s="1">
        <f t="shared" si="692"/>
        <v>60000</v>
      </c>
      <c r="Q471" s="1">
        <f t="shared" si="692"/>
        <v>900</v>
      </c>
      <c r="R471" s="1">
        <f t="shared" si="692"/>
        <v>2880000</v>
      </c>
      <c r="S471" s="1">
        <f t="shared" si="692"/>
        <v>300000</v>
      </c>
      <c r="T471" s="1">
        <f t="shared" si="692"/>
        <v>200000</v>
      </c>
      <c r="U471" s="3" t="e">
        <f>C471+#REF!+#REF!</f>
        <v>#REF!</v>
      </c>
    </row>
    <row r="472" spans="1:26" ht="22.9" customHeight="1" x14ac:dyDescent="0.25">
      <c r="A472" s="39" t="s">
        <v>1540</v>
      </c>
      <c r="B472" s="9" t="s">
        <v>127</v>
      </c>
      <c r="C472" s="7">
        <f t="shared" ref="C472:C473" si="693">D472+L472+N472+P472+R472+S472+T472</f>
        <v>4056100</v>
      </c>
      <c r="D472" s="2">
        <f t="shared" ref="D472:D473" si="694">SUM(E472:J472)</f>
        <v>386100</v>
      </c>
      <c r="E472" s="2">
        <f>700*386.1</f>
        <v>270270</v>
      </c>
      <c r="F472" s="18">
        <v>0</v>
      </c>
      <c r="G472" s="2">
        <f>300*386.1</f>
        <v>115830</v>
      </c>
      <c r="H472" s="18">
        <v>0</v>
      </c>
      <c r="I472" s="18">
        <v>0</v>
      </c>
      <c r="J472" s="18">
        <v>0</v>
      </c>
      <c r="K472" s="34">
        <v>0</v>
      </c>
      <c r="L472" s="18">
        <v>0</v>
      </c>
      <c r="M472" s="18">
        <v>300</v>
      </c>
      <c r="N472" s="2">
        <f t="shared" ref="N472:N473" si="695">M472*6600</f>
        <v>1980000</v>
      </c>
      <c r="O472" s="18">
        <v>0</v>
      </c>
      <c r="P472" s="18">
        <v>0</v>
      </c>
      <c r="Q472" s="18">
        <v>450</v>
      </c>
      <c r="R472" s="2">
        <f t="shared" si="675"/>
        <v>1440000</v>
      </c>
      <c r="S472" s="2">
        <v>150000</v>
      </c>
      <c r="T472" s="2">
        <v>100000</v>
      </c>
      <c r="U472" s="6">
        <f t="shared" si="658"/>
        <v>6600</v>
      </c>
      <c r="V472" s="1"/>
      <c r="W472" s="1"/>
      <c r="X472" s="1"/>
      <c r="Y472" s="3"/>
    </row>
    <row r="473" spans="1:26" ht="22.9" customHeight="1" x14ac:dyDescent="0.25">
      <c r="A473" s="39" t="s">
        <v>1541</v>
      </c>
      <c r="B473" s="9" t="s">
        <v>128</v>
      </c>
      <c r="C473" s="7">
        <f t="shared" si="693"/>
        <v>4118700</v>
      </c>
      <c r="D473" s="2">
        <f t="shared" si="694"/>
        <v>388700</v>
      </c>
      <c r="E473" s="2">
        <f>700*388.7</f>
        <v>272090</v>
      </c>
      <c r="F473" s="18">
        <v>0</v>
      </c>
      <c r="G473" s="2">
        <f>300*388.7</f>
        <v>116610</v>
      </c>
      <c r="H473" s="18">
        <v>0</v>
      </c>
      <c r="I473" s="18">
        <v>0</v>
      </c>
      <c r="J473" s="18">
        <v>0</v>
      </c>
      <c r="K473" s="34">
        <v>0</v>
      </c>
      <c r="L473" s="18">
        <v>0</v>
      </c>
      <c r="M473" s="18">
        <v>300</v>
      </c>
      <c r="N473" s="2">
        <f t="shared" si="695"/>
        <v>1980000</v>
      </c>
      <c r="O473" s="18">
        <v>50</v>
      </c>
      <c r="P473" s="18">
        <f t="shared" ref="P473" si="696">O473*1200</f>
        <v>60000</v>
      </c>
      <c r="Q473" s="18">
        <v>450</v>
      </c>
      <c r="R473" s="2">
        <f t="shared" si="675"/>
        <v>1440000</v>
      </c>
      <c r="S473" s="2">
        <v>150000</v>
      </c>
      <c r="T473" s="2">
        <v>100000</v>
      </c>
      <c r="U473" s="6">
        <f t="shared" si="658"/>
        <v>6600</v>
      </c>
      <c r="V473" s="1"/>
      <c r="W473" s="1"/>
      <c r="X473" s="1"/>
      <c r="Y473" s="1"/>
      <c r="Z473" s="3"/>
    </row>
    <row r="474" spans="1:26" ht="45" customHeight="1" x14ac:dyDescent="0.25">
      <c r="A474" s="43" t="s">
        <v>131</v>
      </c>
      <c r="B474" s="43"/>
      <c r="C474" s="1">
        <f>SUM(C475:C484)</f>
        <v>90958220</v>
      </c>
      <c r="D474" s="1">
        <f t="shared" ref="D474:T474" si="697">SUM(D475:D484)</f>
        <v>36158700</v>
      </c>
      <c r="E474" s="1">
        <f t="shared" si="697"/>
        <v>8437030</v>
      </c>
      <c r="F474" s="1">
        <f t="shared" si="697"/>
        <v>15668770</v>
      </c>
      <c r="G474" s="1">
        <f t="shared" si="697"/>
        <v>3615870</v>
      </c>
      <c r="H474" s="1">
        <f t="shared" si="697"/>
        <v>4821160</v>
      </c>
      <c r="I474" s="1">
        <f t="shared" si="697"/>
        <v>3615870</v>
      </c>
      <c r="J474" s="1">
        <f t="shared" si="697"/>
        <v>0</v>
      </c>
      <c r="K474" s="33">
        <f t="shared" si="697"/>
        <v>0</v>
      </c>
      <c r="L474" s="1">
        <f t="shared" si="697"/>
        <v>0</v>
      </c>
      <c r="M474" s="1">
        <f t="shared" si="697"/>
        <v>4576</v>
      </c>
      <c r="N474" s="1">
        <f t="shared" si="697"/>
        <v>30201600</v>
      </c>
      <c r="O474" s="1">
        <f t="shared" si="697"/>
        <v>0</v>
      </c>
      <c r="P474" s="1">
        <f t="shared" si="697"/>
        <v>0</v>
      </c>
      <c r="Q474" s="1">
        <f t="shared" si="697"/>
        <v>7468.0999999999995</v>
      </c>
      <c r="R474" s="1">
        <f t="shared" si="697"/>
        <v>23897920</v>
      </c>
      <c r="S474" s="1">
        <f t="shared" si="697"/>
        <v>0</v>
      </c>
      <c r="T474" s="1">
        <f t="shared" si="697"/>
        <v>700000</v>
      </c>
      <c r="U474" s="3" t="e">
        <f>C474+#REF!+#REF!</f>
        <v>#REF!</v>
      </c>
    </row>
    <row r="475" spans="1:26" ht="22.9" customHeight="1" x14ac:dyDescent="0.25">
      <c r="A475" s="39" t="s">
        <v>1542</v>
      </c>
      <c r="B475" s="9" t="s">
        <v>142</v>
      </c>
      <c r="C475" s="7">
        <f t="shared" ref="C475:C484" si="698">D475+L475+N475+P475+R475+S475+T475</f>
        <v>992000</v>
      </c>
      <c r="D475" s="2">
        <f t="shared" ref="D475:D484" si="699">SUM(E475:J475)</f>
        <v>0</v>
      </c>
      <c r="E475" s="2">
        <v>0</v>
      </c>
      <c r="F475" s="2">
        <v>0</v>
      </c>
      <c r="G475" s="2">
        <v>0</v>
      </c>
      <c r="H475" s="2">
        <v>0</v>
      </c>
      <c r="I475" s="2">
        <v>0</v>
      </c>
      <c r="J475" s="2">
        <v>0</v>
      </c>
      <c r="K475" s="34">
        <v>0</v>
      </c>
      <c r="L475" s="18">
        <v>0</v>
      </c>
      <c r="M475" s="18">
        <v>0</v>
      </c>
      <c r="N475" s="18">
        <v>0</v>
      </c>
      <c r="O475" s="18">
        <v>0</v>
      </c>
      <c r="P475" s="18">
        <v>0</v>
      </c>
      <c r="Q475" s="2">
        <v>310</v>
      </c>
      <c r="R475" s="2">
        <f t="shared" si="675"/>
        <v>992000</v>
      </c>
      <c r="S475" s="18">
        <v>0</v>
      </c>
      <c r="T475" s="18">
        <v>0</v>
      </c>
      <c r="U475" s="6" t="e">
        <f t="shared" si="658"/>
        <v>#DIV/0!</v>
      </c>
      <c r="V475" s="1"/>
      <c r="W475" s="1"/>
      <c r="X475" s="1"/>
      <c r="Y475" s="3"/>
    </row>
    <row r="476" spans="1:26" ht="22.9" customHeight="1" x14ac:dyDescent="0.25">
      <c r="A476" s="39" t="s">
        <v>1543</v>
      </c>
      <c r="B476" s="9" t="s">
        <v>143</v>
      </c>
      <c r="C476" s="7">
        <f t="shared" si="698"/>
        <v>12749240</v>
      </c>
      <c r="D476" s="2">
        <f t="shared" si="699"/>
        <v>6120600</v>
      </c>
      <c r="E476" s="2">
        <f>700*2040.2</f>
        <v>1428140</v>
      </c>
      <c r="F476" s="2">
        <f>1300*2040.2</f>
        <v>2652260</v>
      </c>
      <c r="G476" s="2">
        <f>300*2040.2</f>
        <v>612060</v>
      </c>
      <c r="H476" s="2">
        <f>400*2040.2</f>
        <v>816080</v>
      </c>
      <c r="I476" s="2">
        <f>300*2040.2</f>
        <v>612060</v>
      </c>
      <c r="J476" s="2">
        <v>0</v>
      </c>
      <c r="K476" s="34">
        <v>0</v>
      </c>
      <c r="L476" s="18">
        <v>0</v>
      </c>
      <c r="M476" s="18">
        <v>0</v>
      </c>
      <c r="N476" s="18">
        <v>0</v>
      </c>
      <c r="O476" s="18">
        <v>0</v>
      </c>
      <c r="P476" s="18">
        <v>0</v>
      </c>
      <c r="Q476" s="2">
        <v>2040.2</v>
      </c>
      <c r="R476" s="2">
        <f t="shared" si="675"/>
        <v>6528640</v>
      </c>
      <c r="S476" s="18">
        <v>0</v>
      </c>
      <c r="T476" s="2">
        <v>100000</v>
      </c>
      <c r="U476" s="6" t="e">
        <f t="shared" si="658"/>
        <v>#DIV/0!</v>
      </c>
      <c r="V476" s="1"/>
      <c r="W476" s="1"/>
      <c r="X476" s="1"/>
      <c r="Y476" s="3"/>
    </row>
    <row r="477" spans="1:26" ht="22.9" customHeight="1" x14ac:dyDescent="0.25">
      <c r="A477" s="39" t="s">
        <v>1544</v>
      </c>
      <c r="B477" s="9" t="s">
        <v>144</v>
      </c>
      <c r="C477" s="7">
        <f t="shared" si="698"/>
        <v>13446400</v>
      </c>
      <c r="D477" s="2">
        <f t="shared" si="699"/>
        <v>6086400</v>
      </c>
      <c r="E477" s="2">
        <f>700*2028.8</f>
        <v>1420160</v>
      </c>
      <c r="F477" s="2">
        <f>1300*2028.8</f>
        <v>2637440</v>
      </c>
      <c r="G477" s="2">
        <f>300*2028.8</f>
        <v>608640</v>
      </c>
      <c r="H477" s="2">
        <f>400*2028.8</f>
        <v>811520</v>
      </c>
      <c r="I477" s="2">
        <f>300*2028.8</f>
        <v>608640</v>
      </c>
      <c r="J477" s="2">
        <v>0</v>
      </c>
      <c r="K477" s="34">
        <v>0</v>
      </c>
      <c r="L477" s="18">
        <v>0</v>
      </c>
      <c r="M477" s="2">
        <v>1100</v>
      </c>
      <c r="N477" s="2">
        <f t="shared" ref="N477:N481" si="700">M477*6600</f>
        <v>7260000</v>
      </c>
      <c r="O477" s="18">
        <v>0</v>
      </c>
      <c r="P477" s="18">
        <v>0</v>
      </c>
      <c r="Q477" s="2">
        <v>0</v>
      </c>
      <c r="R477" s="2">
        <v>0</v>
      </c>
      <c r="S477" s="18">
        <v>0</v>
      </c>
      <c r="T477" s="2">
        <v>100000</v>
      </c>
      <c r="U477" s="6">
        <f t="shared" si="658"/>
        <v>6600</v>
      </c>
      <c r="V477" s="1"/>
      <c r="W477" s="1"/>
      <c r="X477" s="1"/>
      <c r="Y477" s="3"/>
    </row>
    <row r="478" spans="1:26" ht="22.9" customHeight="1" x14ac:dyDescent="0.25">
      <c r="A478" s="39" t="s">
        <v>1545</v>
      </c>
      <c r="B478" s="9" t="s">
        <v>145</v>
      </c>
      <c r="C478" s="7">
        <f t="shared" si="698"/>
        <v>3637600</v>
      </c>
      <c r="D478" s="2">
        <f t="shared" si="699"/>
        <v>1105500</v>
      </c>
      <c r="E478" s="2">
        <f>700*368.5</f>
        <v>257950</v>
      </c>
      <c r="F478" s="2">
        <f>1300*368.5</f>
        <v>479050</v>
      </c>
      <c r="G478" s="2">
        <f>300*368.5</f>
        <v>110550</v>
      </c>
      <c r="H478" s="2">
        <f>400*368.5</f>
        <v>147400</v>
      </c>
      <c r="I478" s="2">
        <f>300*368.5</f>
        <v>110550</v>
      </c>
      <c r="J478" s="2">
        <v>0</v>
      </c>
      <c r="K478" s="34">
        <v>0</v>
      </c>
      <c r="L478" s="18">
        <v>0</v>
      </c>
      <c r="M478" s="2">
        <v>368.5</v>
      </c>
      <c r="N478" s="2">
        <f t="shared" si="700"/>
        <v>2432100</v>
      </c>
      <c r="O478" s="18">
        <v>0</v>
      </c>
      <c r="P478" s="18">
        <v>0</v>
      </c>
      <c r="Q478" s="2">
        <v>0</v>
      </c>
      <c r="R478" s="2">
        <v>0</v>
      </c>
      <c r="S478" s="18">
        <v>0</v>
      </c>
      <c r="T478" s="2">
        <v>100000</v>
      </c>
      <c r="U478" s="6">
        <f t="shared" si="658"/>
        <v>6600</v>
      </c>
      <c r="V478" s="1"/>
      <c r="W478" s="1"/>
      <c r="X478" s="1"/>
      <c r="Y478" s="3"/>
    </row>
    <row r="479" spans="1:26" ht="22.9" customHeight="1" x14ac:dyDescent="0.25">
      <c r="A479" s="39" t="s">
        <v>1546</v>
      </c>
      <c r="B479" s="9" t="s">
        <v>146</v>
      </c>
      <c r="C479" s="7">
        <f t="shared" si="698"/>
        <v>587200</v>
      </c>
      <c r="D479" s="2">
        <f t="shared" si="699"/>
        <v>0</v>
      </c>
      <c r="E479" s="2">
        <v>0</v>
      </c>
      <c r="F479" s="2">
        <v>0</v>
      </c>
      <c r="G479" s="2">
        <v>0</v>
      </c>
      <c r="H479" s="2">
        <v>0</v>
      </c>
      <c r="I479" s="2">
        <v>0</v>
      </c>
      <c r="J479" s="2">
        <v>0</v>
      </c>
      <c r="K479" s="34">
        <v>0</v>
      </c>
      <c r="L479" s="18">
        <v>0</v>
      </c>
      <c r="M479" s="18">
        <v>0</v>
      </c>
      <c r="N479" s="18">
        <v>0</v>
      </c>
      <c r="O479" s="18">
        <v>0</v>
      </c>
      <c r="P479" s="18">
        <v>0</v>
      </c>
      <c r="Q479" s="2">
        <v>183.5</v>
      </c>
      <c r="R479" s="2">
        <f t="shared" ref="R479:R484" si="701">Q479*3200</f>
        <v>587200</v>
      </c>
      <c r="S479" s="18">
        <v>0</v>
      </c>
      <c r="T479" s="18">
        <v>0</v>
      </c>
      <c r="U479" s="6" t="e">
        <f t="shared" si="658"/>
        <v>#DIV/0!</v>
      </c>
      <c r="V479" s="1"/>
      <c r="W479" s="1"/>
      <c r="X479" s="1"/>
      <c r="Y479" s="3"/>
    </row>
    <row r="480" spans="1:26" ht="22.9" customHeight="1" x14ac:dyDescent="0.25">
      <c r="A480" s="39" t="s">
        <v>1547</v>
      </c>
      <c r="B480" s="9" t="s">
        <v>147</v>
      </c>
      <c r="C480" s="7">
        <f t="shared" si="698"/>
        <v>18401440</v>
      </c>
      <c r="D480" s="2">
        <f t="shared" si="699"/>
        <v>4289400</v>
      </c>
      <c r="E480" s="2">
        <f>700*1429.8</f>
        <v>1000860</v>
      </c>
      <c r="F480" s="2">
        <f>1300*1429.8</f>
        <v>1858740</v>
      </c>
      <c r="G480" s="2">
        <f>300*1429.8</f>
        <v>428940</v>
      </c>
      <c r="H480" s="2">
        <f>400*1429.8</f>
        <v>571920</v>
      </c>
      <c r="I480" s="2">
        <f>300*1429.8</f>
        <v>428940</v>
      </c>
      <c r="J480" s="2">
        <v>0</v>
      </c>
      <c r="K480" s="34">
        <v>0</v>
      </c>
      <c r="L480" s="18">
        <v>0</v>
      </c>
      <c r="M480" s="2">
        <v>1429.8</v>
      </c>
      <c r="N480" s="2">
        <f t="shared" si="700"/>
        <v>9436680</v>
      </c>
      <c r="O480" s="18">
        <v>0</v>
      </c>
      <c r="P480" s="18">
        <v>0</v>
      </c>
      <c r="Q480" s="2">
        <v>1429.8</v>
      </c>
      <c r="R480" s="2">
        <f t="shared" si="701"/>
        <v>4575360</v>
      </c>
      <c r="S480" s="18">
        <v>0</v>
      </c>
      <c r="T480" s="2">
        <v>100000</v>
      </c>
      <c r="U480" s="6">
        <f t="shared" si="658"/>
        <v>6600</v>
      </c>
      <c r="V480" s="1"/>
      <c r="W480" s="1"/>
      <c r="X480" s="1"/>
      <c r="Y480" s="3"/>
    </row>
    <row r="481" spans="1:26" ht="22.9" customHeight="1" x14ac:dyDescent="0.25">
      <c r="A481" s="39" t="s">
        <v>1548</v>
      </c>
      <c r="B481" s="9" t="s">
        <v>148</v>
      </c>
      <c r="C481" s="7">
        <f t="shared" si="698"/>
        <v>25523000</v>
      </c>
      <c r="D481" s="2">
        <f t="shared" si="699"/>
        <v>14643000</v>
      </c>
      <c r="E481" s="2">
        <f>700*4881</f>
        <v>3416700</v>
      </c>
      <c r="F481" s="2">
        <f>1300*4881</f>
        <v>6345300</v>
      </c>
      <c r="G481" s="2">
        <f>300*4881</f>
        <v>1464300</v>
      </c>
      <c r="H481" s="2">
        <f>400*4881</f>
        <v>1952400</v>
      </c>
      <c r="I481" s="2">
        <f>300*4881</f>
        <v>1464300</v>
      </c>
      <c r="J481" s="2">
        <v>0</v>
      </c>
      <c r="K481" s="34">
        <v>0</v>
      </c>
      <c r="L481" s="18">
        <v>0</v>
      </c>
      <c r="M481" s="2">
        <v>1100</v>
      </c>
      <c r="N481" s="2">
        <f t="shared" si="700"/>
        <v>7260000</v>
      </c>
      <c r="O481" s="18">
        <v>0</v>
      </c>
      <c r="P481" s="18">
        <v>0</v>
      </c>
      <c r="Q481" s="2">
        <v>1100</v>
      </c>
      <c r="R481" s="2">
        <f t="shared" si="701"/>
        <v>3520000</v>
      </c>
      <c r="S481" s="18">
        <v>0</v>
      </c>
      <c r="T481" s="2">
        <v>100000</v>
      </c>
      <c r="U481" s="6">
        <f t="shared" si="658"/>
        <v>6600</v>
      </c>
      <c r="V481" s="1"/>
      <c r="W481" s="1"/>
      <c r="X481" s="1"/>
      <c r="Y481" s="3"/>
    </row>
    <row r="482" spans="1:26" ht="22.9" customHeight="1" x14ac:dyDescent="0.25">
      <c r="A482" s="39" t="s">
        <v>1549</v>
      </c>
      <c r="B482" s="9" t="s">
        <v>149</v>
      </c>
      <c r="C482" s="7">
        <f t="shared" si="698"/>
        <v>4606780</v>
      </c>
      <c r="D482" s="2">
        <f t="shared" si="699"/>
        <v>2180700</v>
      </c>
      <c r="E482" s="2">
        <f>700*726.9</f>
        <v>508830</v>
      </c>
      <c r="F482" s="2">
        <f>1300*726.9</f>
        <v>944970</v>
      </c>
      <c r="G482" s="2">
        <f>300*726.9</f>
        <v>218070</v>
      </c>
      <c r="H482" s="2">
        <f>400*726.9</f>
        <v>290760</v>
      </c>
      <c r="I482" s="2">
        <f>300*726.9</f>
        <v>218070</v>
      </c>
      <c r="J482" s="2">
        <v>0</v>
      </c>
      <c r="K482" s="34">
        <v>0</v>
      </c>
      <c r="L482" s="18">
        <v>0</v>
      </c>
      <c r="M482" s="18">
        <v>0</v>
      </c>
      <c r="N482" s="18">
        <v>0</v>
      </c>
      <c r="O482" s="18">
        <v>0</v>
      </c>
      <c r="P482" s="18">
        <v>0</v>
      </c>
      <c r="Q482" s="2">
        <v>726.9</v>
      </c>
      <c r="R482" s="2">
        <f t="shared" si="701"/>
        <v>2326080</v>
      </c>
      <c r="S482" s="18">
        <v>0</v>
      </c>
      <c r="T482" s="2">
        <v>100000</v>
      </c>
      <c r="U482" s="6" t="e">
        <f t="shared" si="658"/>
        <v>#DIV/0!</v>
      </c>
      <c r="V482" s="1"/>
      <c r="W482" s="1"/>
      <c r="X482" s="1"/>
      <c r="Y482" s="3"/>
    </row>
    <row r="483" spans="1:26" ht="22.9" customHeight="1" x14ac:dyDescent="0.25">
      <c r="A483" s="39" t="s">
        <v>1550</v>
      </c>
      <c r="B483" s="9" t="s">
        <v>150</v>
      </c>
      <c r="C483" s="7">
        <f t="shared" si="698"/>
        <v>3520000</v>
      </c>
      <c r="D483" s="2">
        <f t="shared" si="699"/>
        <v>0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  <c r="J483" s="2">
        <v>0</v>
      </c>
      <c r="K483" s="34">
        <v>0</v>
      </c>
      <c r="L483" s="18">
        <v>0</v>
      </c>
      <c r="M483" s="18">
        <v>0</v>
      </c>
      <c r="N483" s="18">
        <v>0</v>
      </c>
      <c r="O483" s="18">
        <v>0</v>
      </c>
      <c r="P483" s="18">
        <v>0</v>
      </c>
      <c r="Q483" s="2">
        <v>1100</v>
      </c>
      <c r="R483" s="2">
        <f t="shared" si="701"/>
        <v>3520000</v>
      </c>
      <c r="S483" s="18">
        <v>0</v>
      </c>
      <c r="T483" s="18">
        <v>0</v>
      </c>
      <c r="U483" s="6" t="e">
        <f t="shared" si="658"/>
        <v>#DIV/0!</v>
      </c>
      <c r="V483" s="1"/>
      <c r="W483" s="1"/>
      <c r="X483" s="1"/>
      <c r="Y483" s="3"/>
    </row>
    <row r="484" spans="1:26" ht="22.9" customHeight="1" x14ac:dyDescent="0.25">
      <c r="A484" s="39" t="s">
        <v>1551</v>
      </c>
      <c r="B484" s="9" t="s">
        <v>151</v>
      </c>
      <c r="C484" s="7">
        <f t="shared" si="698"/>
        <v>7494560.0000000009</v>
      </c>
      <c r="D484" s="2">
        <f t="shared" si="699"/>
        <v>1733100.0000000002</v>
      </c>
      <c r="E484" s="2">
        <f>700*577.7</f>
        <v>404390.00000000006</v>
      </c>
      <c r="F484" s="2">
        <f>1300*577.7</f>
        <v>751010.00000000012</v>
      </c>
      <c r="G484" s="2">
        <f>300*577.7</f>
        <v>173310</v>
      </c>
      <c r="H484" s="2">
        <f>400*577.7</f>
        <v>231080.00000000003</v>
      </c>
      <c r="I484" s="2">
        <f>300*577.7</f>
        <v>173310</v>
      </c>
      <c r="J484" s="2">
        <v>0</v>
      </c>
      <c r="K484" s="34">
        <v>0</v>
      </c>
      <c r="L484" s="18">
        <v>0</v>
      </c>
      <c r="M484" s="2">
        <v>577.70000000000005</v>
      </c>
      <c r="N484" s="2">
        <f t="shared" ref="N484" si="702">M484*6600</f>
        <v>3812820.0000000005</v>
      </c>
      <c r="O484" s="18">
        <v>0</v>
      </c>
      <c r="P484" s="18">
        <v>0</v>
      </c>
      <c r="Q484" s="2">
        <v>577.70000000000005</v>
      </c>
      <c r="R484" s="2">
        <f t="shared" si="701"/>
        <v>1848640.0000000002</v>
      </c>
      <c r="S484" s="18">
        <v>0</v>
      </c>
      <c r="T484" s="2">
        <v>100000</v>
      </c>
      <c r="U484" s="6">
        <f t="shared" si="658"/>
        <v>6600</v>
      </c>
      <c r="V484" s="1"/>
      <c r="W484" s="1"/>
      <c r="X484" s="1"/>
      <c r="Y484" s="1"/>
      <c r="Z484" s="3"/>
    </row>
    <row r="485" spans="1:26" ht="45" customHeight="1" x14ac:dyDescent="0.25">
      <c r="A485" s="43" t="s">
        <v>162</v>
      </c>
      <c r="B485" s="43"/>
      <c r="C485" s="1">
        <f>SUM(C486:C488)</f>
        <v>2849000</v>
      </c>
      <c r="D485" s="1">
        <f t="shared" ref="D485:T485" si="703">SUM(D486:D488)</f>
        <v>2589000</v>
      </c>
      <c r="E485" s="1">
        <f t="shared" si="703"/>
        <v>604100</v>
      </c>
      <c r="F485" s="1">
        <f t="shared" si="703"/>
        <v>1121900</v>
      </c>
      <c r="G485" s="1">
        <f t="shared" si="703"/>
        <v>258900</v>
      </c>
      <c r="H485" s="1">
        <f t="shared" si="703"/>
        <v>345200</v>
      </c>
      <c r="I485" s="1">
        <f t="shared" si="703"/>
        <v>258900</v>
      </c>
      <c r="J485" s="1">
        <f t="shared" si="703"/>
        <v>0</v>
      </c>
      <c r="K485" s="33">
        <f t="shared" si="703"/>
        <v>0</v>
      </c>
      <c r="L485" s="1">
        <f t="shared" si="703"/>
        <v>0</v>
      </c>
      <c r="M485" s="1">
        <f t="shared" si="703"/>
        <v>0</v>
      </c>
      <c r="N485" s="1">
        <f t="shared" si="703"/>
        <v>0</v>
      </c>
      <c r="O485" s="1">
        <f t="shared" si="703"/>
        <v>50</v>
      </c>
      <c r="P485" s="1">
        <f t="shared" si="703"/>
        <v>60000</v>
      </c>
      <c r="Q485" s="1">
        <f t="shared" si="703"/>
        <v>0</v>
      </c>
      <c r="R485" s="1">
        <f t="shared" si="703"/>
        <v>0</v>
      </c>
      <c r="S485" s="1">
        <f t="shared" si="703"/>
        <v>0</v>
      </c>
      <c r="T485" s="1">
        <f t="shared" si="703"/>
        <v>200000</v>
      </c>
      <c r="U485" s="3" t="e">
        <f>C485+#REF!+#REF!</f>
        <v>#REF!</v>
      </c>
    </row>
    <row r="486" spans="1:26" ht="22.9" customHeight="1" x14ac:dyDescent="0.25">
      <c r="A486" s="39" t="s">
        <v>1552</v>
      </c>
      <c r="B486" s="9" t="s">
        <v>166</v>
      </c>
      <c r="C486" s="7">
        <f t="shared" ref="C486:C487" si="704">D486+L486+N486+P486+R486+S486+T486</f>
        <v>1408000</v>
      </c>
      <c r="D486" s="2">
        <f t="shared" ref="D486:D487" si="705">SUM(E486:J486)</f>
        <v>1308000</v>
      </c>
      <c r="E486" s="2">
        <f>700*436</f>
        <v>305200</v>
      </c>
      <c r="F486" s="2">
        <f>1300*436</f>
        <v>566800</v>
      </c>
      <c r="G486" s="2">
        <f>300*436</f>
        <v>130800</v>
      </c>
      <c r="H486" s="2">
        <f>400*436</f>
        <v>174400</v>
      </c>
      <c r="I486" s="2">
        <f>300*436</f>
        <v>130800</v>
      </c>
      <c r="J486" s="2">
        <v>0</v>
      </c>
      <c r="K486" s="34">
        <v>0</v>
      </c>
      <c r="L486" s="18">
        <v>0</v>
      </c>
      <c r="M486" s="18">
        <v>0</v>
      </c>
      <c r="N486" s="18">
        <v>0</v>
      </c>
      <c r="O486" s="18">
        <v>0</v>
      </c>
      <c r="P486" s="18">
        <v>0</v>
      </c>
      <c r="Q486" s="18">
        <v>0</v>
      </c>
      <c r="R486" s="18">
        <v>0</v>
      </c>
      <c r="S486" s="18">
        <v>0</v>
      </c>
      <c r="T486" s="2">
        <v>100000</v>
      </c>
      <c r="U486" s="6"/>
      <c r="V486" s="1"/>
      <c r="W486" s="1"/>
      <c r="X486" s="1"/>
      <c r="Y486" s="3"/>
    </row>
    <row r="487" spans="1:26" ht="22.9" customHeight="1" x14ac:dyDescent="0.25">
      <c r="A487" s="39" t="s">
        <v>1553</v>
      </c>
      <c r="B487" s="9" t="s">
        <v>167</v>
      </c>
      <c r="C487" s="7">
        <f t="shared" si="704"/>
        <v>60000</v>
      </c>
      <c r="D487" s="2">
        <f t="shared" si="705"/>
        <v>0</v>
      </c>
      <c r="E487" s="2">
        <v>0</v>
      </c>
      <c r="F487" s="2">
        <v>0</v>
      </c>
      <c r="G487" s="2">
        <v>0</v>
      </c>
      <c r="H487" s="2">
        <v>0</v>
      </c>
      <c r="I487" s="2">
        <v>0</v>
      </c>
      <c r="J487" s="2">
        <v>0</v>
      </c>
      <c r="K487" s="34">
        <v>0</v>
      </c>
      <c r="L487" s="18">
        <v>0</v>
      </c>
      <c r="M487" s="18">
        <v>0</v>
      </c>
      <c r="N487" s="18">
        <v>0</v>
      </c>
      <c r="O487" s="2">
        <v>50</v>
      </c>
      <c r="P487" s="2">
        <f>O487*1200</f>
        <v>60000</v>
      </c>
      <c r="Q487" s="18">
        <v>0</v>
      </c>
      <c r="R487" s="18">
        <v>0</v>
      </c>
      <c r="S487" s="18">
        <v>0</v>
      </c>
      <c r="T487" s="18">
        <v>0</v>
      </c>
      <c r="U487" s="6"/>
      <c r="V487" s="1"/>
      <c r="W487" s="1"/>
      <c r="X487" s="1"/>
      <c r="Y487" s="3"/>
    </row>
    <row r="488" spans="1:26" ht="22.9" customHeight="1" x14ac:dyDescent="0.25">
      <c r="A488" s="39" t="s">
        <v>1554</v>
      </c>
      <c r="B488" s="9" t="s">
        <v>168</v>
      </c>
      <c r="C488" s="7">
        <f t="shared" ref="C488" si="706">D488+L488+N488+P488+R488+S488+T488</f>
        <v>1381000</v>
      </c>
      <c r="D488" s="2">
        <f t="shared" ref="D488" si="707">SUM(E488:J488)</f>
        <v>1281000</v>
      </c>
      <c r="E488" s="2">
        <f>700*427</f>
        <v>298900</v>
      </c>
      <c r="F488" s="2">
        <f>1300*427</f>
        <v>555100</v>
      </c>
      <c r="G488" s="2">
        <f>300*427</f>
        <v>128100</v>
      </c>
      <c r="H488" s="2">
        <f>400*427</f>
        <v>170800</v>
      </c>
      <c r="I488" s="2">
        <f>300*427</f>
        <v>128100</v>
      </c>
      <c r="J488" s="2">
        <v>0</v>
      </c>
      <c r="K488" s="34">
        <v>0</v>
      </c>
      <c r="L488" s="18">
        <v>0</v>
      </c>
      <c r="M488" s="18">
        <v>0</v>
      </c>
      <c r="N488" s="18">
        <v>0</v>
      </c>
      <c r="O488" s="18">
        <v>0</v>
      </c>
      <c r="P488" s="18">
        <v>0</v>
      </c>
      <c r="Q488" s="18">
        <v>0</v>
      </c>
      <c r="R488" s="18">
        <v>0</v>
      </c>
      <c r="S488" s="18">
        <v>0</v>
      </c>
      <c r="T488" s="2">
        <v>100000</v>
      </c>
      <c r="U488" s="6"/>
      <c r="V488" s="1"/>
      <c r="W488" s="1"/>
      <c r="X488" s="1"/>
      <c r="Y488" s="3"/>
    </row>
    <row r="489" spans="1:26" ht="40.15" customHeight="1" x14ac:dyDescent="0.25">
      <c r="A489" s="43" t="s">
        <v>172</v>
      </c>
      <c r="B489" s="43"/>
      <c r="C489" s="1">
        <f>SUM(C490:C492)</f>
        <v>8712900</v>
      </c>
      <c r="D489" s="1">
        <f t="shared" ref="D489:T489" si="708">SUM(D490:D492)</f>
        <v>6492900</v>
      </c>
      <c r="E489" s="1">
        <f t="shared" si="708"/>
        <v>1515010</v>
      </c>
      <c r="F489" s="1">
        <f t="shared" si="708"/>
        <v>2813590</v>
      </c>
      <c r="G489" s="1">
        <f t="shared" si="708"/>
        <v>649290</v>
      </c>
      <c r="H489" s="1">
        <f t="shared" si="708"/>
        <v>865720</v>
      </c>
      <c r="I489" s="1">
        <f t="shared" si="708"/>
        <v>649290</v>
      </c>
      <c r="J489" s="1">
        <f t="shared" si="708"/>
        <v>0</v>
      </c>
      <c r="K489" s="33">
        <f t="shared" si="708"/>
        <v>0</v>
      </c>
      <c r="L489" s="1">
        <f t="shared" si="708"/>
        <v>0</v>
      </c>
      <c r="M489" s="1">
        <f t="shared" si="708"/>
        <v>0</v>
      </c>
      <c r="N489" s="1">
        <f t="shared" si="708"/>
        <v>0</v>
      </c>
      <c r="O489" s="1">
        <f t="shared" si="708"/>
        <v>0</v>
      </c>
      <c r="P489" s="1">
        <f t="shared" si="708"/>
        <v>0</v>
      </c>
      <c r="Q489" s="1">
        <f t="shared" si="708"/>
        <v>600</v>
      </c>
      <c r="R489" s="1">
        <f t="shared" si="708"/>
        <v>1920000</v>
      </c>
      <c r="S489" s="1">
        <f t="shared" si="708"/>
        <v>0</v>
      </c>
      <c r="T489" s="1">
        <f t="shared" si="708"/>
        <v>300000</v>
      </c>
      <c r="U489" s="3" t="e">
        <f>C489+#REF!+#REF!</f>
        <v>#REF!</v>
      </c>
    </row>
    <row r="490" spans="1:26" ht="22.9" customHeight="1" x14ac:dyDescent="0.25">
      <c r="A490" s="39" t="s">
        <v>1555</v>
      </c>
      <c r="B490" s="9" t="s">
        <v>176</v>
      </c>
      <c r="C490" s="7">
        <f t="shared" ref="C490" si="709">D490+L490+N490+P490+R490+S490+T490</f>
        <v>4765900</v>
      </c>
      <c r="D490" s="2">
        <f t="shared" ref="D490" si="710">SUM(E490:J490)</f>
        <v>2745900</v>
      </c>
      <c r="E490" s="2">
        <f>700*915.3</f>
        <v>640710</v>
      </c>
      <c r="F490" s="2">
        <f>1300*915.3</f>
        <v>1189890</v>
      </c>
      <c r="G490" s="2">
        <f>300*915.3</f>
        <v>274590</v>
      </c>
      <c r="H490" s="2">
        <f>400*915.3</f>
        <v>366120</v>
      </c>
      <c r="I490" s="2">
        <f>300*915.3</f>
        <v>274590</v>
      </c>
      <c r="J490" s="2">
        <v>0</v>
      </c>
      <c r="K490" s="34">
        <v>0</v>
      </c>
      <c r="L490" s="18">
        <v>0</v>
      </c>
      <c r="M490" s="18">
        <v>0</v>
      </c>
      <c r="N490" s="18">
        <v>0</v>
      </c>
      <c r="O490" s="18">
        <v>0</v>
      </c>
      <c r="P490" s="18">
        <v>0</v>
      </c>
      <c r="Q490" s="2">
        <v>600</v>
      </c>
      <c r="R490" s="2">
        <f t="shared" ref="R490" si="711">Q490*3200</f>
        <v>1920000</v>
      </c>
      <c r="S490" s="18">
        <v>0</v>
      </c>
      <c r="T490" s="2">
        <v>100000</v>
      </c>
      <c r="U490" s="6"/>
      <c r="V490" s="1"/>
      <c r="W490" s="1"/>
      <c r="X490" s="1"/>
      <c r="Y490" s="3"/>
    </row>
    <row r="491" spans="1:26" ht="22.9" customHeight="1" x14ac:dyDescent="0.25">
      <c r="A491" s="39" t="s">
        <v>1556</v>
      </c>
      <c r="B491" s="9" t="s">
        <v>177</v>
      </c>
      <c r="C491" s="7">
        <f t="shared" ref="C491:C492" si="712">D491+L491+N491+P491+R491+S491+T491</f>
        <v>1810000</v>
      </c>
      <c r="D491" s="2">
        <f t="shared" ref="D491:D492" si="713">SUM(E491:J491)</f>
        <v>1710000</v>
      </c>
      <c r="E491" s="2">
        <f>700*570</f>
        <v>399000</v>
      </c>
      <c r="F491" s="2">
        <f>1300*570</f>
        <v>741000</v>
      </c>
      <c r="G491" s="2">
        <f>300*570</f>
        <v>171000</v>
      </c>
      <c r="H491" s="2">
        <f>400*570</f>
        <v>228000</v>
      </c>
      <c r="I491" s="2">
        <f>300*570</f>
        <v>171000</v>
      </c>
      <c r="J491" s="2">
        <v>0</v>
      </c>
      <c r="K491" s="34">
        <v>0</v>
      </c>
      <c r="L491" s="18">
        <v>0</v>
      </c>
      <c r="M491" s="18">
        <v>0</v>
      </c>
      <c r="N491" s="18">
        <v>0</v>
      </c>
      <c r="O491" s="18">
        <v>0</v>
      </c>
      <c r="P491" s="18">
        <v>0</v>
      </c>
      <c r="Q491" s="2">
        <v>0</v>
      </c>
      <c r="R491" s="2">
        <f t="shared" ref="R491:R492" si="714">Q491*3200</f>
        <v>0</v>
      </c>
      <c r="S491" s="18">
        <v>0</v>
      </c>
      <c r="T491" s="2">
        <v>100000</v>
      </c>
      <c r="U491" s="6"/>
      <c r="V491" s="1"/>
      <c r="W491" s="1"/>
      <c r="X491" s="1"/>
      <c r="Y491" s="3"/>
    </row>
    <row r="492" spans="1:26" ht="22.9" customHeight="1" x14ac:dyDescent="0.25">
      <c r="A492" s="39" t="s">
        <v>1557</v>
      </c>
      <c r="B492" s="9" t="s">
        <v>178</v>
      </c>
      <c r="C492" s="7">
        <f t="shared" si="712"/>
        <v>2137000</v>
      </c>
      <c r="D492" s="2">
        <f t="shared" si="713"/>
        <v>2037000</v>
      </c>
      <c r="E492" s="2">
        <f>700*679</f>
        <v>475300</v>
      </c>
      <c r="F492" s="2">
        <f>1300*679</f>
        <v>882700</v>
      </c>
      <c r="G492" s="2">
        <f>300*679</f>
        <v>203700</v>
      </c>
      <c r="H492" s="2">
        <f>400*679</f>
        <v>271600</v>
      </c>
      <c r="I492" s="2">
        <f>300*679</f>
        <v>203700</v>
      </c>
      <c r="J492" s="2">
        <v>0</v>
      </c>
      <c r="K492" s="34">
        <v>0</v>
      </c>
      <c r="L492" s="18">
        <v>0</v>
      </c>
      <c r="M492" s="18">
        <v>0</v>
      </c>
      <c r="N492" s="18">
        <v>0</v>
      </c>
      <c r="O492" s="18">
        <v>0</v>
      </c>
      <c r="P492" s="18">
        <v>0</v>
      </c>
      <c r="Q492" s="2">
        <v>0</v>
      </c>
      <c r="R492" s="2">
        <f t="shared" si="714"/>
        <v>0</v>
      </c>
      <c r="S492" s="18">
        <v>0</v>
      </c>
      <c r="T492" s="2">
        <v>100000</v>
      </c>
      <c r="U492" s="6"/>
      <c r="V492" s="1"/>
      <c r="W492" s="1"/>
      <c r="X492" s="1"/>
      <c r="Y492" s="3"/>
    </row>
    <row r="493" spans="1:26" ht="45" customHeight="1" x14ac:dyDescent="0.25">
      <c r="A493" s="43" t="s">
        <v>181</v>
      </c>
      <c r="B493" s="43"/>
      <c r="C493" s="1">
        <f>SUM(C494)</f>
        <v>1810000</v>
      </c>
      <c r="D493" s="1">
        <f t="shared" ref="D493:T493" si="715">SUM(D494)</f>
        <v>0</v>
      </c>
      <c r="E493" s="1">
        <f t="shared" si="715"/>
        <v>0</v>
      </c>
      <c r="F493" s="1">
        <f t="shared" si="715"/>
        <v>0</v>
      </c>
      <c r="G493" s="1">
        <f t="shared" si="715"/>
        <v>0</v>
      </c>
      <c r="H493" s="1">
        <f t="shared" si="715"/>
        <v>0</v>
      </c>
      <c r="I493" s="1">
        <f t="shared" si="715"/>
        <v>0</v>
      </c>
      <c r="J493" s="1">
        <f t="shared" si="715"/>
        <v>0</v>
      </c>
      <c r="K493" s="33">
        <f t="shared" si="715"/>
        <v>0</v>
      </c>
      <c r="L493" s="1">
        <f t="shared" si="715"/>
        <v>0</v>
      </c>
      <c r="M493" s="1">
        <f t="shared" si="715"/>
        <v>0</v>
      </c>
      <c r="N493" s="1">
        <f t="shared" si="715"/>
        <v>0</v>
      </c>
      <c r="O493" s="1">
        <f t="shared" si="715"/>
        <v>50</v>
      </c>
      <c r="P493" s="1">
        <f t="shared" si="715"/>
        <v>60000</v>
      </c>
      <c r="Q493" s="1">
        <f t="shared" si="715"/>
        <v>500</v>
      </c>
      <c r="R493" s="1">
        <f t="shared" si="715"/>
        <v>1600000</v>
      </c>
      <c r="S493" s="1">
        <f t="shared" si="715"/>
        <v>150000</v>
      </c>
      <c r="T493" s="1">
        <f t="shared" si="715"/>
        <v>0</v>
      </c>
      <c r="U493" s="3" t="e">
        <f>C493+#REF!+#REF!</f>
        <v>#REF!</v>
      </c>
    </row>
    <row r="494" spans="1:26" ht="22.9" customHeight="1" x14ac:dyDescent="0.25">
      <c r="A494" s="39" t="s">
        <v>1558</v>
      </c>
      <c r="B494" s="9" t="s">
        <v>184</v>
      </c>
      <c r="C494" s="7">
        <f t="shared" ref="C494" si="716">D494+L494+N494+P494+R494+S494+T494</f>
        <v>1810000</v>
      </c>
      <c r="D494" s="2">
        <f t="shared" ref="D494" si="717">SUM(E494:J494)</f>
        <v>0</v>
      </c>
      <c r="E494" s="2">
        <v>0</v>
      </c>
      <c r="F494" s="2">
        <v>0</v>
      </c>
      <c r="G494" s="2">
        <v>0</v>
      </c>
      <c r="H494" s="2">
        <v>0</v>
      </c>
      <c r="I494" s="2">
        <v>0</v>
      </c>
      <c r="J494" s="2">
        <v>0</v>
      </c>
      <c r="K494" s="34">
        <v>0</v>
      </c>
      <c r="L494" s="18">
        <v>0</v>
      </c>
      <c r="M494" s="18">
        <v>0</v>
      </c>
      <c r="N494" s="18">
        <v>0</v>
      </c>
      <c r="O494" s="2">
        <v>50</v>
      </c>
      <c r="P494" s="2">
        <f>O494*1200</f>
        <v>60000</v>
      </c>
      <c r="Q494" s="2">
        <v>500</v>
      </c>
      <c r="R494" s="2">
        <f t="shared" ref="R494" si="718">Q494*3200</f>
        <v>1600000</v>
      </c>
      <c r="S494" s="2">
        <v>150000</v>
      </c>
      <c r="T494" s="2">
        <v>0</v>
      </c>
      <c r="U494" s="6"/>
      <c r="V494" s="1"/>
      <c r="W494" s="1"/>
      <c r="X494" s="1"/>
      <c r="Y494" s="3"/>
    </row>
    <row r="495" spans="1:26" ht="45" customHeight="1" x14ac:dyDescent="0.25">
      <c r="A495" s="43" t="s">
        <v>187</v>
      </c>
      <c r="B495" s="43"/>
      <c r="C495" s="1">
        <f>SUM(C496)</f>
        <v>1896432</v>
      </c>
      <c r="D495" s="1">
        <f t="shared" ref="D495:T495" si="719">SUM(D496)</f>
        <v>1194000</v>
      </c>
      <c r="E495" s="1">
        <f t="shared" si="719"/>
        <v>278600</v>
      </c>
      <c r="F495" s="1">
        <f t="shared" si="719"/>
        <v>517400</v>
      </c>
      <c r="G495" s="1">
        <f t="shared" si="719"/>
        <v>119400</v>
      </c>
      <c r="H495" s="1">
        <f t="shared" si="719"/>
        <v>159200</v>
      </c>
      <c r="I495" s="1">
        <f t="shared" si="719"/>
        <v>119400</v>
      </c>
      <c r="J495" s="1">
        <f t="shared" si="719"/>
        <v>0</v>
      </c>
      <c r="K495" s="33">
        <f t="shared" si="719"/>
        <v>0</v>
      </c>
      <c r="L495" s="1">
        <f t="shared" si="719"/>
        <v>0</v>
      </c>
      <c r="M495" s="1">
        <f t="shared" si="719"/>
        <v>0</v>
      </c>
      <c r="N495" s="1">
        <f t="shared" si="719"/>
        <v>0</v>
      </c>
      <c r="O495" s="1">
        <f t="shared" si="719"/>
        <v>0</v>
      </c>
      <c r="P495" s="1">
        <f t="shared" si="719"/>
        <v>0</v>
      </c>
      <c r="Q495" s="1">
        <f t="shared" si="719"/>
        <v>219.51</v>
      </c>
      <c r="R495" s="1">
        <f t="shared" si="719"/>
        <v>702432</v>
      </c>
      <c r="S495" s="1">
        <f t="shared" si="719"/>
        <v>0</v>
      </c>
      <c r="T495" s="1">
        <f t="shared" si="719"/>
        <v>0</v>
      </c>
      <c r="U495" s="3" t="e">
        <f>C495+#REF!+#REF!</f>
        <v>#REF!</v>
      </c>
    </row>
    <row r="496" spans="1:26" ht="22.9" customHeight="1" x14ac:dyDescent="0.25">
      <c r="A496" s="39" t="s">
        <v>1559</v>
      </c>
      <c r="B496" s="9" t="s">
        <v>188</v>
      </c>
      <c r="C496" s="7">
        <f t="shared" ref="C496" si="720">D496+L496+N496+P496+R496+S496+T496</f>
        <v>1896432</v>
      </c>
      <c r="D496" s="2">
        <f t="shared" ref="D496" si="721">SUM(E496:J496)</f>
        <v>1194000</v>
      </c>
      <c r="E496" s="2">
        <f>700*398</f>
        <v>278600</v>
      </c>
      <c r="F496" s="2">
        <f>1300*398</f>
        <v>517400</v>
      </c>
      <c r="G496" s="2">
        <f>300*398</f>
        <v>119400</v>
      </c>
      <c r="H496" s="2">
        <f>400*398</f>
        <v>159200</v>
      </c>
      <c r="I496" s="2">
        <f>300*398</f>
        <v>119400</v>
      </c>
      <c r="J496" s="2">
        <v>0</v>
      </c>
      <c r="K496" s="34">
        <v>0</v>
      </c>
      <c r="L496" s="18">
        <v>0</v>
      </c>
      <c r="M496" s="18">
        <v>0</v>
      </c>
      <c r="N496" s="18">
        <v>0</v>
      </c>
      <c r="O496" s="18">
        <v>0</v>
      </c>
      <c r="P496" s="18">
        <v>0</v>
      </c>
      <c r="Q496" s="19">
        <v>219.51</v>
      </c>
      <c r="R496" s="2">
        <f t="shared" ref="R496:R500" si="722">Q496*3200</f>
        <v>702432</v>
      </c>
      <c r="S496" s="18">
        <v>0</v>
      </c>
      <c r="T496" s="18">
        <v>0</v>
      </c>
      <c r="U496" s="6"/>
      <c r="V496" s="1"/>
      <c r="W496" s="1"/>
      <c r="X496" s="1"/>
      <c r="Y496" s="3"/>
    </row>
    <row r="497" spans="1:26" ht="45" customHeight="1" x14ac:dyDescent="0.25">
      <c r="A497" s="43" t="s">
        <v>190</v>
      </c>
      <c r="B497" s="43"/>
      <c r="C497" s="1">
        <f>SUM(C498:C502)</f>
        <v>19239480</v>
      </c>
      <c r="D497" s="1">
        <f t="shared" ref="D497:T497" si="723">SUM(D498:D502)</f>
        <v>2654080</v>
      </c>
      <c r="E497" s="1">
        <f t="shared" si="723"/>
        <v>1429120</v>
      </c>
      <c r="F497" s="1">
        <f t="shared" si="723"/>
        <v>0</v>
      </c>
      <c r="G497" s="1">
        <f t="shared" si="723"/>
        <v>612480</v>
      </c>
      <c r="H497" s="1">
        <f t="shared" si="723"/>
        <v>0</v>
      </c>
      <c r="I497" s="1">
        <f t="shared" si="723"/>
        <v>612480</v>
      </c>
      <c r="J497" s="1">
        <f t="shared" si="723"/>
        <v>0</v>
      </c>
      <c r="K497" s="33">
        <f t="shared" si="723"/>
        <v>0</v>
      </c>
      <c r="L497" s="1">
        <f t="shared" si="723"/>
        <v>0</v>
      </c>
      <c r="M497" s="1">
        <f t="shared" si="723"/>
        <v>2019</v>
      </c>
      <c r="N497" s="1">
        <f t="shared" si="723"/>
        <v>13325400</v>
      </c>
      <c r="O497" s="1">
        <f t="shared" si="723"/>
        <v>50</v>
      </c>
      <c r="P497" s="1">
        <f t="shared" si="723"/>
        <v>60000</v>
      </c>
      <c r="Q497" s="1">
        <f t="shared" si="723"/>
        <v>1000</v>
      </c>
      <c r="R497" s="1">
        <f t="shared" si="723"/>
        <v>3200000</v>
      </c>
      <c r="S497" s="1">
        <f t="shared" si="723"/>
        <v>0</v>
      </c>
      <c r="T497" s="1">
        <f t="shared" si="723"/>
        <v>0</v>
      </c>
      <c r="U497" s="3" t="e">
        <f>C497+#REF!+#REF!</f>
        <v>#REF!</v>
      </c>
    </row>
    <row r="498" spans="1:26" ht="22.9" customHeight="1" x14ac:dyDescent="0.25">
      <c r="A498" s="39" t="s">
        <v>1560</v>
      </c>
      <c r="B498" s="3" t="s">
        <v>196</v>
      </c>
      <c r="C498" s="7">
        <f t="shared" ref="C498:C502" si="724">D498+L498+N498+P498+R498+S498+T498</f>
        <v>5227600</v>
      </c>
      <c r="D498" s="2">
        <f t="shared" ref="D498:D502" si="725">SUM(E498:J498)</f>
        <v>733200</v>
      </c>
      <c r="E498" s="2">
        <f>700*564</f>
        <v>394800</v>
      </c>
      <c r="G498" s="2">
        <f>300*564</f>
        <v>169200</v>
      </c>
      <c r="I498" s="2">
        <f>300*564</f>
        <v>169200</v>
      </c>
      <c r="J498" s="18">
        <v>0</v>
      </c>
      <c r="K498" s="34">
        <v>0</v>
      </c>
      <c r="L498" s="18">
        <v>0</v>
      </c>
      <c r="M498" s="2">
        <v>380</v>
      </c>
      <c r="N498" s="2">
        <f t="shared" ref="N498:N502" si="726">M498*6600</f>
        <v>2508000</v>
      </c>
      <c r="O498" s="2">
        <v>50</v>
      </c>
      <c r="P498" s="2">
        <f>O498*1200</f>
        <v>60000</v>
      </c>
      <c r="Q498" s="2">
        <v>602</v>
      </c>
      <c r="R498" s="2">
        <f t="shared" si="722"/>
        <v>1926400</v>
      </c>
      <c r="U498" s="6">
        <f t="shared" ref="U498:U502" si="727">N498/M498</f>
        <v>6600</v>
      </c>
      <c r="V498" s="1"/>
      <c r="W498" s="1"/>
      <c r="X498" s="1"/>
      <c r="Y498" s="1"/>
      <c r="Z498" s="3"/>
    </row>
    <row r="499" spans="1:26" ht="22.9" customHeight="1" x14ac:dyDescent="0.25">
      <c r="A499" s="39" t="s">
        <v>1561</v>
      </c>
      <c r="B499" s="3" t="s">
        <v>197</v>
      </c>
      <c r="C499" s="7">
        <f t="shared" si="724"/>
        <v>3215160</v>
      </c>
      <c r="D499" s="2">
        <f t="shared" si="725"/>
        <v>726960</v>
      </c>
      <c r="E499" s="2">
        <f>700*559.2</f>
        <v>391440.00000000006</v>
      </c>
      <c r="F499" s="18">
        <v>0</v>
      </c>
      <c r="G499" s="2">
        <f>300*559.2</f>
        <v>167760</v>
      </c>
      <c r="H499" s="18">
        <v>0</v>
      </c>
      <c r="I499" s="2">
        <f>300*559.2</f>
        <v>167760</v>
      </c>
      <c r="J499" s="18">
        <v>0</v>
      </c>
      <c r="K499" s="34">
        <v>0</v>
      </c>
      <c r="L499" s="18">
        <v>0</v>
      </c>
      <c r="M499" s="2">
        <v>377</v>
      </c>
      <c r="N499" s="2">
        <f t="shared" si="726"/>
        <v>2488200</v>
      </c>
      <c r="O499" s="18">
        <v>0</v>
      </c>
      <c r="P499" s="18">
        <v>0</v>
      </c>
      <c r="Q499" s="18">
        <v>0</v>
      </c>
      <c r="R499" s="18">
        <v>0</v>
      </c>
      <c r="S499" s="18">
        <v>0</v>
      </c>
      <c r="T499" s="18">
        <v>0</v>
      </c>
      <c r="U499" s="6">
        <f t="shared" si="727"/>
        <v>6600</v>
      </c>
      <c r="V499" s="1"/>
      <c r="W499" s="1"/>
      <c r="X499" s="1"/>
      <c r="Y499" s="1"/>
      <c r="Z499" s="3"/>
    </row>
    <row r="500" spans="1:26" ht="22.9" customHeight="1" x14ac:dyDescent="0.25">
      <c r="A500" s="39" t="s">
        <v>1562</v>
      </c>
      <c r="B500" s="3" t="s">
        <v>198</v>
      </c>
      <c r="C500" s="7">
        <f t="shared" si="724"/>
        <v>3362500</v>
      </c>
      <c r="D500" s="2">
        <f t="shared" si="725"/>
        <v>471900</v>
      </c>
      <c r="E500" s="2">
        <f>700*363</f>
        <v>254100</v>
      </c>
      <c r="F500" s="18">
        <v>0</v>
      </c>
      <c r="G500" s="2">
        <f>300*363</f>
        <v>108900</v>
      </c>
      <c r="H500" s="18">
        <v>0</v>
      </c>
      <c r="I500" s="2">
        <f>300*363</f>
        <v>108900</v>
      </c>
      <c r="J500" s="18">
        <v>0</v>
      </c>
      <c r="K500" s="34">
        <v>0</v>
      </c>
      <c r="L500" s="18">
        <v>0</v>
      </c>
      <c r="M500" s="2">
        <v>245</v>
      </c>
      <c r="N500" s="2">
        <f t="shared" si="726"/>
        <v>1617000</v>
      </c>
      <c r="O500" s="18">
        <v>0</v>
      </c>
      <c r="P500" s="18">
        <v>0</v>
      </c>
      <c r="Q500" s="2">
        <v>398</v>
      </c>
      <c r="R500" s="2">
        <f t="shared" si="722"/>
        <v>1273600</v>
      </c>
      <c r="S500" s="18">
        <v>0</v>
      </c>
      <c r="T500" s="18">
        <v>0</v>
      </c>
      <c r="U500" s="6">
        <f t="shared" si="727"/>
        <v>6600</v>
      </c>
      <c r="V500" s="1"/>
      <c r="W500" s="1"/>
      <c r="X500" s="1"/>
      <c r="Y500" s="1"/>
      <c r="Z500" s="3"/>
    </row>
    <row r="501" spans="1:26" ht="22.9" customHeight="1" x14ac:dyDescent="0.25">
      <c r="A501" s="39" t="s">
        <v>1563</v>
      </c>
      <c r="B501" s="3" t="s">
        <v>199</v>
      </c>
      <c r="C501" s="7">
        <f t="shared" si="724"/>
        <v>4134220</v>
      </c>
      <c r="D501" s="2">
        <f t="shared" si="725"/>
        <v>722020</v>
      </c>
      <c r="E501" s="2">
        <f>700*555.4</f>
        <v>388780</v>
      </c>
      <c r="F501" s="18">
        <v>0</v>
      </c>
      <c r="G501" s="2">
        <f>300*555.4</f>
        <v>166620</v>
      </c>
      <c r="H501" s="18">
        <v>0</v>
      </c>
      <c r="I501" s="2">
        <f>300*555.4</f>
        <v>166620</v>
      </c>
      <c r="J501" s="18">
        <v>0</v>
      </c>
      <c r="K501" s="34">
        <v>0</v>
      </c>
      <c r="L501" s="18">
        <v>0</v>
      </c>
      <c r="M501" s="2">
        <v>517</v>
      </c>
      <c r="N501" s="2">
        <f t="shared" si="726"/>
        <v>3412200</v>
      </c>
      <c r="O501" s="18">
        <v>0</v>
      </c>
      <c r="P501" s="18">
        <v>0</v>
      </c>
      <c r="Q501" s="18">
        <v>0</v>
      </c>
      <c r="R501" s="18">
        <v>0</v>
      </c>
      <c r="S501" s="18">
        <v>0</v>
      </c>
      <c r="T501" s="18">
        <v>0</v>
      </c>
      <c r="U501" s="6">
        <f t="shared" si="727"/>
        <v>6600</v>
      </c>
      <c r="V501" s="1"/>
      <c r="W501" s="1"/>
      <c r="X501" s="1"/>
      <c r="Y501" s="1"/>
      <c r="Z501" s="3"/>
    </row>
    <row r="502" spans="1:26" ht="22.9" customHeight="1" x14ac:dyDescent="0.25">
      <c r="A502" s="39" t="s">
        <v>1564</v>
      </c>
      <c r="B502" s="3" t="s">
        <v>200</v>
      </c>
      <c r="C502" s="7">
        <f t="shared" si="724"/>
        <v>3300000</v>
      </c>
      <c r="D502" s="2">
        <f t="shared" si="725"/>
        <v>0</v>
      </c>
      <c r="E502" s="18">
        <v>0</v>
      </c>
      <c r="F502" s="18">
        <v>0</v>
      </c>
      <c r="G502" s="18">
        <v>0</v>
      </c>
      <c r="H502" s="18">
        <v>0</v>
      </c>
      <c r="I502" s="18">
        <v>0</v>
      </c>
      <c r="J502" s="18">
        <v>0</v>
      </c>
      <c r="K502" s="34">
        <v>0</v>
      </c>
      <c r="L502" s="18">
        <v>0</v>
      </c>
      <c r="M502" s="2">
        <v>500</v>
      </c>
      <c r="N502" s="2">
        <f t="shared" si="726"/>
        <v>3300000</v>
      </c>
      <c r="O502" s="18">
        <v>0</v>
      </c>
      <c r="P502" s="18">
        <v>0</v>
      </c>
      <c r="Q502" s="18">
        <v>0</v>
      </c>
      <c r="R502" s="18">
        <v>0</v>
      </c>
      <c r="S502" s="18">
        <v>0</v>
      </c>
      <c r="T502" s="18">
        <v>0</v>
      </c>
      <c r="U502" s="6">
        <f t="shared" si="727"/>
        <v>6600</v>
      </c>
      <c r="V502" s="1"/>
      <c r="W502" s="1"/>
      <c r="X502" s="1"/>
      <c r="Y502" s="1"/>
      <c r="Z502" s="3"/>
    </row>
    <row r="503" spans="1:26" ht="45" customHeight="1" x14ac:dyDescent="0.25">
      <c r="A503" s="43" t="s">
        <v>208</v>
      </c>
      <c r="B503" s="43"/>
      <c r="C503" s="1">
        <f>SUM(C504)</f>
        <v>45732200</v>
      </c>
      <c r="D503" s="1">
        <f t="shared" ref="D503:T503" si="728">SUM(D504)</f>
        <v>26050320</v>
      </c>
      <c r="E503" s="1">
        <f t="shared" si="728"/>
        <v>6078408</v>
      </c>
      <c r="F503" s="1">
        <f t="shared" si="728"/>
        <v>11288472</v>
      </c>
      <c r="G503" s="1">
        <f t="shared" si="728"/>
        <v>2605032</v>
      </c>
      <c r="H503" s="1">
        <f t="shared" si="728"/>
        <v>3473376</v>
      </c>
      <c r="I503" s="1">
        <f t="shared" si="728"/>
        <v>2605032</v>
      </c>
      <c r="J503" s="1">
        <f t="shared" si="728"/>
        <v>0</v>
      </c>
      <c r="K503" s="33">
        <f t="shared" si="728"/>
        <v>0</v>
      </c>
      <c r="L503" s="1">
        <f t="shared" si="728"/>
        <v>0</v>
      </c>
      <c r="M503" s="1">
        <f t="shared" si="728"/>
        <v>0</v>
      </c>
      <c r="N503" s="1">
        <f t="shared" si="728"/>
        <v>0</v>
      </c>
      <c r="O503" s="1">
        <f t="shared" si="728"/>
        <v>846.9</v>
      </c>
      <c r="P503" s="1">
        <f t="shared" si="728"/>
        <v>1016280</v>
      </c>
      <c r="Q503" s="1">
        <f t="shared" si="728"/>
        <v>5770.5</v>
      </c>
      <c r="R503" s="1">
        <f t="shared" si="728"/>
        <v>18465600</v>
      </c>
      <c r="S503" s="1">
        <f t="shared" si="728"/>
        <v>0</v>
      </c>
      <c r="T503" s="1">
        <f t="shared" si="728"/>
        <v>200000</v>
      </c>
      <c r="U503" s="3" t="e">
        <f>C503+#REF!+#REF!</f>
        <v>#REF!</v>
      </c>
    </row>
    <row r="504" spans="1:26" ht="22.9" customHeight="1" x14ac:dyDescent="0.25">
      <c r="A504" s="39" t="s">
        <v>1565</v>
      </c>
      <c r="B504" s="3" t="s">
        <v>209</v>
      </c>
      <c r="C504" s="7">
        <f t="shared" ref="C504" si="729">D504+L504+N504+P504+R504+S504+T504</f>
        <v>45732200</v>
      </c>
      <c r="D504" s="2">
        <f t="shared" ref="D504" si="730">SUM(E504:J504)</f>
        <v>26050320</v>
      </c>
      <c r="E504" s="2">
        <f>700*8683.44</f>
        <v>6078408</v>
      </c>
      <c r="F504" s="2">
        <f>1300*8683.44</f>
        <v>11288472</v>
      </c>
      <c r="G504" s="2">
        <f>300*8683.44</f>
        <v>2605032</v>
      </c>
      <c r="H504" s="2">
        <f>400*8683.44</f>
        <v>3473376</v>
      </c>
      <c r="I504" s="2">
        <f>300*8683.44</f>
        <v>2605032</v>
      </c>
      <c r="J504" s="2">
        <v>0</v>
      </c>
      <c r="K504" s="34">
        <v>0</v>
      </c>
      <c r="L504" s="18">
        <v>0</v>
      </c>
      <c r="M504" s="18">
        <v>0</v>
      </c>
      <c r="N504" s="18">
        <v>0</v>
      </c>
      <c r="O504" s="2">
        <v>846.9</v>
      </c>
      <c r="P504" s="2">
        <f>O504*1200</f>
        <v>1016280</v>
      </c>
      <c r="Q504" s="2">
        <v>5770.5</v>
      </c>
      <c r="R504" s="2">
        <f t="shared" ref="R504:R522" si="731">Q504*3200</f>
        <v>18465600</v>
      </c>
      <c r="S504" s="18">
        <v>0</v>
      </c>
      <c r="T504" s="2">
        <v>200000</v>
      </c>
      <c r="U504" s="6" t="e">
        <f t="shared" ref="U504" si="732">N504/M504</f>
        <v>#DIV/0!</v>
      </c>
      <c r="V504" s="1"/>
      <c r="W504" s="1"/>
      <c r="X504" s="1"/>
      <c r="Y504" s="1"/>
      <c r="Z504" s="3"/>
    </row>
    <row r="505" spans="1:26" ht="45" customHeight="1" x14ac:dyDescent="0.25">
      <c r="A505" s="43" t="s">
        <v>210</v>
      </c>
      <c r="B505" s="43"/>
      <c r="C505" s="1">
        <f>SUM(C506)</f>
        <v>1465600</v>
      </c>
      <c r="D505" s="1">
        <f t="shared" ref="D505:T505" si="733">SUM(D506)</f>
        <v>0</v>
      </c>
      <c r="E505" s="1">
        <f t="shared" si="733"/>
        <v>0</v>
      </c>
      <c r="F505" s="1">
        <f t="shared" si="733"/>
        <v>0</v>
      </c>
      <c r="G505" s="1">
        <f t="shared" si="733"/>
        <v>0</v>
      </c>
      <c r="H505" s="1">
        <f t="shared" si="733"/>
        <v>0</v>
      </c>
      <c r="I505" s="1">
        <f t="shared" si="733"/>
        <v>0</v>
      </c>
      <c r="J505" s="1">
        <f t="shared" si="733"/>
        <v>0</v>
      </c>
      <c r="K505" s="33">
        <f t="shared" si="733"/>
        <v>0</v>
      </c>
      <c r="L505" s="1">
        <f t="shared" si="733"/>
        <v>0</v>
      </c>
      <c r="M505" s="1">
        <f t="shared" si="733"/>
        <v>0</v>
      </c>
      <c r="N505" s="1">
        <f t="shared" si="733"/>
        <v>0</v>
      </c>
      <c r="O505" s="1">
        <f t="shared" si="733"/>
        <v>0</v>
      </c>
      <c r="P505" s="1">
        <f t="shared" si="733"/>
        <v>0</v>
      </c>
      <c r="Q505" s="1">
        <f t="shared" si="733"/>
        <v>458</v>
      </c>
      <c r="R505" s="1">
        <f t="shared" si="733"/>
        <v>1465600</v>
      </c>
      <c r="S505" s="1">
        <f t="shared" si="733"/>
        <v>0</v>
      </c>
      <c r="T505" s="1">
        <f t="shared" si="733"/>
        <v>0</v>
      </c>
      <c r="U505" s="3" t="e">
        <f>C505+#REF!+#REF!</f>
        <v>#REF!</v>
      </c>
    </row>
    <row r="506" spans="1:26" ht="22.9" customHeight="1" x14ac:dyDescent="0.25">
      <c r="A506" s="39" t="s">
        <v>1566</v>
      </c>
      <c r="B506" s="9" t="s">
        <v>213</v>
      </c>
      <c r="C506" s="7">
        <f t="shared" ref="C506" si="734">D506+L506+N506+P506+R506+S506+T506</f>
        <v>1465600</v>
      </c>
      <c r="D506" s="2">
        <f t="shared" ref="D506" si="735">SUM(E506:J506)</f>
        <v>0</v>
      </c>
      <c r="E506" s="2">
        <v>0</v>
      </c>
      <c r="F506" s="2">
        <v>0</v>
      </c>
      <c r="G506" s="2">
        <v>0</v>
      </c>
      <c r="H506" s="2">
        <v>0</v>
      </c>
      <c r="I506" s="2">
        <v>0</v>
      </c>
      <c r="J506" s="2">
        <v>0</v>
      </c>
      <c r="K506" s="21">
        <v>0</v>
      </c>
      <c r="L506" s="2">
        <v>0</v>
      </c>
      <c r="M506" s="8">
        <v>0</v>
      </c>
      <c r="N506" s="8">
        <v>0</v>
      </c>
      <c r="O506" s="2">
        <v>0</v>
      </c>
      <c r="P506" s="2">
        <v>0</v>
      </c>
      <c r="Q506" s="2">
        <v>458</v>
      </c>
      <c r="R506" s="2">
        <f t="shared" si="731"/>
        <v>1465600</v>
      </c>
      <c r="S506" s="2">
        <v>0</v>
      </c>
      <c r="T506" s="2">
        <v>0</v>
      </c>
      <c r="U506" s="6" t="e">
        <f t="shared" ref="U506" si="736">N506/M506</f>
        <v>#DIV/0!</v>
      </c>
      <c r="V506" s="1"/>
      <c r="W506" s="1"/>
      <c r="X506" s="1"/>
      <c r="Y506" s="1"/>
      <c r="Z506" s="3"/>
    </row>
    <row r="507" spans="1:26" ht="45" customHeight="1" x14ac:dyDescent="0.25">
      <c r="A507" s="43" t="s">
        <v>215</v>
      </c>
      <c r="B507" s="43"/>
      <c r="C507" s="1">
        <f>SUM(C508:C517)</f>
        <v>116303840</v>
      </c>
      <c r="D507" s="1">
        <f t="shared" ref="D507:T507" si="737">SUM(D508:D517)</f>
        <v>49464060</v>
      </c>
      <c r="E507" s="1">
        <f t="shared" si="737"/>
        <v>11541614</v>
      </c>
      <c r="F507" s="1">
        <f t="shared" si="737"/>
        <v>21434426</v>
      </c>
      <c r="G507" s="1">
        <f t="shared" si="737"/>
        <v>4946406</v>
      </c>
      <c r="H507" s="1">
        <f t="shared" si="737"/>
        <v>6595208</v>
      </c>
      <c r="I507" s="1">
        <f t="shared" si="737"/>
        <v>4946406</v>
      </c>
      <c r="J507" s="1">
        <f t="shared" si="737"/>
        <v>0</v>
      </c>
      <c r="K507" s="33">
        <f t="shared" si="737"/>
        <v>0</v>
      </c>
      <c r="L507" s="1">
        <f t="shared" si="737"/>
        <v>0</v>
      </c>
      <c r="M507" s="1">
        <f t="shared" si="737"/>
        <v>5243</v>
      </c>
      <c r="N507" s="1">
        <f t="shared" si="737"/>
        <v>30858500</v>
      </c>
      <c r="O507" s="1">
        <f t="shared" si="737"/>
        <v>2602</v>
      </c>
      <c r="P507" s="1">
        <f t="shared" si="737"/>
        <v>3122400</v>
      </c>
      <c r="Q507" s="1">
        <f t="shared" si="737"/>
        <v>9955.9</v>
      </c>
      <c r="R507" s="1">
        <f t="shared" si="737"/>
        <v>31858880</v>
      </c>
      <c r="S507" s="1">
        <f t="shared" si="737"/>
        <v>0</v>
      </c>
      <c r="T507" s="1">
        <f t="shared" si="737"/>
        <v>1000000</v>
      </c>
      <c r="U507" s="3" t="e">
        <f>C507+#REF!+#REF!</f>
        <v>#REF!</v>
      </c>
    </row>
    <row r="508" spans="1:26" ht="22.9" customHeight="1" x14ac:dyDescent="0.25">
      <c r="A508" s="39" t="s">
        <v>1567</v>
      </c>
      <c r="B508" s="9" t="s">
        <v>226</v>
      </c>
      <c r="C508" s="7">
        <f t="shared" ref="C508:C517" si="738">D508+L508+N508+P508+R508+S508+T508</f>
        <v>6668200</v>
      </c>
      <c r="D508" s="2">
        <f t="shared" ref="D508:D517" si="739">SUM(E508:J508)</f>
        <v>2038800</v>
      </c>
      <c r="E508" s="2">
        <f>700*679.6</f>
        <v>475720</v>
      </c>
      <c r="F508" s="2">
        <f>1300*679.6</f>
        <v>883480</v>
      </c>
      <c r="G508" s="2">
        <f>300*679.6</f>
        <v>203880</v>
      </c>
      <c r="H508" s="2">
        <f>400*679.6</f>
        <v>271840</v>
      </c>
      <c r="I508" s="2">
        <f>300*679.6</f>
        <v>203880</v>
      </c>
      <c r="J508" s="2">
        <v>0</v>
      </c>
      <c r="K508" s="21">
        <v>0</v>
      </c>
      <c r="L508" s="2">
        <v>0</v>
      </c>
      <c r="M508" s="2">
        <v>439</v>
      </c>
      <c r="N508" s="2">
        <f t="shared" ref="N508:N511" si="740">M508*6600</f>
        <v>2897400</v>
      </c>
      <c r="O508" s="2">
        <v>0</v>
      </c>
      <c r="P508" s="2">
        <v>0</v>
      </c>
      <c r="Q508" s="2">
        <v>510</v>
      </c>
      <c r="R508" s="2">
        <f t="shared" si="731"/>
        <v>1632000</v>
      </c>
      <c r="S508" s="2">
        <v>0</v>
      </c>
      <c r="T508" s="2">
        <v>100000</v>
      </c>
      <c r="U508" s="6">
        <f t="shared" ref="U508:U517" si="741">N508/M508</f>
        <v>6600</v>
      </c>
      <c r="V508" s="1"/>
      <c r="W508" s="1"/>
      <c r="X508" s="1"/>
      <c r="Y508" s="1"/>
      <c r="Z508" s="3"/>
    </row>
    <row r="509" spans="1:26" ht="22.9" customHeight="1" x14ac:dyDescent="0.25">
      <c r="A509" s="39" t="s">
        <v>1568</v>
      </c>
      <c r="B509" s="9" t="s">
        <v>227</v>
      </c>
      <c r="C509" s="7">
        <f t="shared" si="738"/>
        <v>6598780</v>
      </c>
      <c r="D509" s="2">
        <f t="shared" si="739"/>
        <v>1994700</v>
      </c>
      <c r="E509" s="2">
        <f>700*664.9</f>
        <v>465430</v>
      </c>
      <c r="F509" s="2">
        <f>1300*664.9</f>
        <v>864370</v>
      </c>
      <c r="G509" s="2">
        <f>300*664.9</f>
        <v>199470</v>
      </c>
      <c r="H509" s="2">
        <f>400*664.9</f>
        <v>265960</v>
      </c>
      <c r="I509" s="2">
        <f>300*664.9</f>
        <v>199470</v>
      </c>
      <c r="J509" s="2">
        <v>0</v>
      </c>
      <c r="K509" s="21">
        <v>0</v>
      </c>
      <c r="L509" s="2">
        <v>0</v>
      </c>
      <c r="M509" s="2">
        <v>434</v>
      </c>
      <c r="N509" s="2">
        <f t="shared" si="740"/>
        <v>2864400</v>
      </c>
      <c r="O509" s="2">
        <v>0</v>
      </c>
      <c r="P509" s="2">
        <v>0</v>
      </c>
      <c r="Q509" s="2">
        <v>512.4</v>
      </c>
      <c r="R509" s="2">
        <f t="shared" si="731"/>
        <v>1639680</v>
      </c>
      <c r="S509" s="2">
        <v>0</v>
      </c>
      <c r="T509" s="2">
        <v>100000</v>
      </c>
      <c r="U509" s="6">
        <f t="shared" si="741"/>
        <v>6600</v>
      </c>
      <c r="V509" s="1"/>
      <c r="W509" s="1"/>
      <c r="X509" s="1"/>
      <c r="Y509" s="1"/>
      <c r="Z509" s="3"/>
    </row>
    <row r="510" spans="1:26" ht="22.9" customHeight="1" x14ac:dyDescent="0.25">
      <c r="A510" s="39" t="s">
        <v>1569</v>
      </c>
      <c r="B510" s="9" t="s">
        <v>228</v>
      </c>
      <c r="C510" s="7">
        <f t="shared" si="738"/>
        <v>6860800</v>
      </c>
      <c r="D510" s="2">
        <f t="shared" si="739"/>
        <v>2035800</v>
      </c>
      <c r="E510" s="2">
        <f>700*678.6</f>
        <v>475020</v>
      </c>
      <c r="F510" s="2">
        <f>1300*678.6</f>
        <v>882180</v>
      </c>
      <c r="G510" s="2">
        <f>300*678.6</f>
        <v>203580</v>
      </c>
      <c r="H510" s="2">
        <f>400*678.6</f>
        <v>271440</v>
      </c>
      <c r="I510" s="2">
        <f>300*678.6</f>
        <v>203580</v>
      </c>
      <c r="J510" s="2">
        <v>0</v>
      </c>
      <c r="K510" s="21">
        <v>0</v>
      </c>
      <c r="L510" s="2">
        <v>0</v>
      </c>
      <c r="M510" s="2">
        <v>465</v>
      </c>
      <c r="N510" s="2">
        <f t="shared" si="740"/>
        <v>3069000</v>
      </c>
      <c r="O510" s="2">
        <v>0</v>
      </c>
      <c r="P510" s="2">
        <v>0</v>
      </c>
      <c r="Q510" s="2">
        <v>517.5</v>
      </c>
      <c r="R510" s="2">
        <f t="shared" si="731"/>
        <v>1656000</v>
      </c>
      <c r="S510" s="2">
        <v>0</v>
      </c>
      <c r="T510" s="2">
        <v>100000</v>
      </c>
      <c r="U510" s="6">
        <f t="shared" si="741"/>
        <v>6600</v>
      </c>
      <c r="V510" s="1"/>
      <c r="W510" s="1"/>
      <c r="X510" s="1"/>
      <c r="Y510" s="1"/>
      <c r="Z510" s="3"/>
    </row>
    <row r="511" spans="1:26" ht="22.9" customHeight="1" x14ac:dyDescent="0.25">
      <c r="A511" s="39" t="s">
        <v>1570</v>
      </c>
      <c r="B511" s="9" t="s">
        <v>229</v>
      </c>
      <c r="C511" s="7">
        <f t="shared" si="738"/>
        <v>19969000</v>
      </c>
      <c r="D511" s="2">
        <f t="shared" si="739"/>
        <v>8264400.0000000009</v>
      </c>
      <c r="E511" s="2">
        <f>700*2754.8</f>
        <v>1928360.0000000002</v>
      </c>
      <c r="F511" s="2">
        <f>1300*2754.8</f>
        <v>3581240.0000000005</v>
      </c>
      <c r="G511" s="2">
        <f>300*2754.8</f>
        <v>826440</v>
      </c>
      <c r="H511" s="2">
        <f>400*2754.8</f>
        <v>1101920</v>
      </c>
      <c r="I511" s="2">
        <f>300*2754.8</f>
        <v>826440</v>
      </c>
      <c r="J511" s="2">
        <v>0</v>
      </c>
      <c r="K511" s="21">
        <v>0</v>
      </c>
      <c r="L511" s="2">
        <v>0</v>
      </c>
      <c r="M511" s="2">
        <v>863</v>
      </c>
      <c r="N511" s="2">
        <f t="shared" si="740"/>
        <v>5695800</v>
      </c>
      <c r="O511" s="2">
        <v>860</v>
      </c>
      <c r="P511" s="2">
        <f>O511*1200</f>
        <v>1032000</v>
      </c>
      <c r="Q511" s="2">
        <v>1524</v>
      </c>
      <c r="R511" s="2">
        <f t="shared" si="731"/>
        <v>4876800</v>
      </c>
      <c r="S511" s="2">
        <v>0</v>
      </c>
      <c r="T511" s="2">
        <v>100000</v>
      </c>
      <c r="U511" s="6">
        <f t="shared" si="741"/>
        <v>6600</v>
      </c>
      <c r="V511" s="1"/>
      <c r="W511" s="1"/>
      <c r="X511" s="1"/>
      <c r="Y511" s="1"/>
      <c r="Z511" s="3"/>
    </row>
    <row r="512" spans="1:26" ht="22.9" customHeight="1" x14ac:dyDescent="0.25">
      <c r="A512" s="39" t="s">
        <v>1571</v>
      </c>
      <c r="B512" s="9" t="s">
        <v>230</v>
      </c>
      <c r="C512" s="7">
        <f t="shared" si="738"/>
        <v>13241200</v>
      </c>
      <c r="D512" s="2">
        <f t="shared" ref="D512" si="742">SUM(E512:J512)</f>
        <v>8264400.0000000009</v>
      </c>
      <c r="E512" s="2">
        <f>700*2754.8</f>
        <v>1928360.0000000002</v>
      </c>
      <c r="F512" s="2">
        <f>1300*2754.8</f>
        <v>3581240.0000000005</v>
      </c>
      <c r="G512" s="2">
        <f>300*2754.8</f>
        <v>826440</v>
      </c>
      <c r="H512" s="2">
        <f>400*2754.8</f>
        <v>1101920</v>
      </c>
      <c r="I512" s="2">
        <f>300*2754.8</f>
        <v>826440</v>
      </c>
      <c r="J512" s="2">
        <v>0</v>
      </c>
      <c r="K512" s="21">
        <v>0</v>
      </c>
      <c r="L512" s="2">
        <v>0</v>
      </c>
      <c r="M512" s="2">
        <v>0</v>
      </c>
      <c r="N512" s="8">
        <v>0</v>
      </c>
      <c r="O512" s="2">
        <v>0</v>
      </c>
      <c r="P512" s="2">
        <v>0</v>
      </c>
      <c r="Q512" s="2">
        <v>1524</v>
      </c>
      <c r="R512" s="2">
        <f t="shared" si="731"/>
        <v>4876800</v>
      </c>
      <c r="S512" s="2">
        <v>0</v>
      </c>
      <c r="T512" s="2">
        <v>100000</v>
      </c>
      <c r="U512" s="6" t="e">
        <f t="shared" si="741"/>
        <v>#DIV/0!</v>
      </c>
      <c r="V512" s="1"/>
      <c r="W512" s="1"/>
      <c r="X512" s="1"/>
      <c r="Y512" s="1"/>
      <c r="Z512" s="3"/>
    </row>
    <row r="513" spans="1:26" ht="22.9" customHeight="1" x14ac:dyDescent="0.25">
      <c r="A513" s="39" t="s">
        <v>1572</v>
      </c>
      <c r="B513" s="9" t="s">
        <v>231</v>
      </c>
      <c r="C513" s="7">
        <f t="shared" si="738"/>
        <v>6638900</v>
      </c>
      <c r="D513" s="2">
        <f t="shared" si="739"/>
        <v>2013300</v>
      </c>
      <c r="E513" s="2">
        <f>700*671.1</f>
        <v>469770</v>
      </c>
      <c r="F513" s="2">
        <f>1300*671.1</f>
        <v>872430</v>
      </c>
      <c r="G513" s="2">
        <f>300*671.1</f>
        <v>201330</v>
      </c>
      <c r="H513" s="2">
        <f>400*671.1</f>
        <v>268440</v>
      </c>
      <c r="I513" s="2">
        <f>300*671.1</f>
        <v>201330</v>
      </c>
      <c r="J513" s="2">
        <v>0</v>
      </c>
      <c r="K513" s="21">
        <v>0</v>
      </c>
      <c r="L513" s="2">
        <v>0</v>
      </c>
      <c r="M513" s="2">
        <v>436</v>
      </c>
      <c r="N513" s="2">
        <f t="shared" ref="N513:N515" si="743">M513*6600</f>
        <v>2877600</v>
      </c>
      <c r="O513" s="2">
        <v>0</v>
      </c>
      <c r="P513" s="2">
        <v>0</v>
      </c>
      <c r="Q513" s="2">
        <v>515</v>
      </c>
      <c r="R513" s="2">
        <f t="shared" si="731"/>
        <v>1648000</v>
      </c>
      <c r="S513" s="2">
        <v>0</v>
      </c>
      <c r="T513" s="2">
        <v>100000</v>
      </c>
      <c r="U513" s="6">
        <f t="shared" si="741"/>
        <v>6600</v>
      </c>
      <c r="V513" s="1"/>
      <c r="W513" s="1"/>
      <c r="X513" s="1"/>
      <c r="Y513" s="1"/>
      <c r="Z513" s="3"/>
    </row>
    <row r="514" spans="1:26" ht="22.9" customHeight="1" x14ac:dyDescent="0.25">
      <c r="A514" s="39" t="s">
        <v>1573</v>
      </c>
      <c r="B514" s="9" t="s">
        <v>232</v>
      </c>
      <c r="C514" s="7">
        <f t="shared" si="738"/>
        <v>6598500</v>
      </c>
      <c r="D514" s="2">
        <f t="shared" si="739"/>
        <v>2002500</v>
      </c>
      <c r="E514" s="2">
        <f>700*667.5</f>
        <v>467250</v>
      </c>
      <c r="F514" s="2">
        <f>1300*667.5</f>
        <v>867750</v>
      </c>
      <c r="G514" s="2">
        <f>300*667.5</f>
        <v>200250</v>
      </c>
      <c r="H514" s="2">
        <f>400*667.5</f>
        <v>267000</v>
      </c>
      <c r="I514" s="2">
        <f>300*667.5</f>
        <v>200250</v>
      </c>
      <c r="J514" s="2">
        <v>0</v>
      </c>
      <c r="K514" s="21">
        <v>0</v>
      </c>
      <c r="L514" s="2">
        <v>0</v>
      </c>
      <c r="M514" s="2">
        <v>432</v>
      </c>
      <c r="N514" s="2">
        <f t="shared" si="743"/>
        <v>2851200</v>
      </c>
      <c r="O514" s="2">
        <v>0</v>
      </c>
      <c r="P514" s="2">
        <v>0</v>
      </c>
      <c r="Q514" s="2">
        <v>514</v>
      </c>
      <c r="R514" s="2">
        <f t="shared" si="731"/>
        <v>1644800</v>
      </c>
      <c r="S514" s="2">
        <v>0</v>
      </c>
      <c r="T514" s="2">
        <v>100000</v>
      </c>
      <c r="U514" s="6">
        <f t="shared" si="741"/>
        <v>6600</v>
      </c>
      <c r="V514" s="1"/>
      <c r="W514" s="1"/>
      <c r="X514" s="1"/>
      <c r="Y514" s="1"/>
      <c r="Z514" s="3"/>
    </row>
    <row r="515" spans="1:26" ht="22.9" customHeight="1" x14ac:dyDescent="0.25">
      <c r="A515" s="39" t="s">
        <v>1574</v>
      </c>
      <c r="B515" s="9" t="s">
        <v>233</v>
      </c>
      <c r="C515" s="7">
        <f t="shared" si="738"/>
        <v>6604800</v>
      </c>
      <c r="D515" s="2">
        <f t="shared" si="739"/>
        <v>2008800</v>
      </c>
      <c r="E515" s="2">
        <f>700*669.6</f>
        <v>468720</v>
      </c>
      <c r="F515" s="2">
        <f>1300*669.6</f>
        <v>870480</v>
      </c>
      <c r="G515" s="2">
        <f>300*669.6</f>
        <v>200880</v>
      </c>
      <c r="H515" s="2">
        <f>400*669.6</f>
        <v>267840</v>
      </c>
      <c r="I515" s="2">
        <f>300*669.6</f>
        <v>200880</v>
      </c>
      <c r="J515" s="2">
        <v>0</v>
      </c>
      <c r="K515" s="21">
        <v>0</v>
      </c>
      <c r="L515" s="2">
        <v>0</v>
      </c>
      <c r="M515" s="2">
        <v>432</v>
      </c>
      <c r="N515" s="2">
        <f t="shared" si="743"/>
        <v>2851200</v>
      </c>
      <c r="O515" s="2">
        <v>0</v>
      </c>
      <c r="P515" s="2">
        <v>0</v>
      </c>
      <c r="Q515" s="2">
        <v>514</v>
      </c>
      <c r="R515" s="2">
        <f t="shared" si="731"/>
        <v>1644800</v>
      </c>
      <c r="S515" s="2">
        <v>0</v>
      </c>
      <c r="T515" s="2">
        <v>100000</v>
      </c>
      <c r="U515" s="6">
        <f t="shared" si="741"/>
        <v>6600</v>
      </c>
      <c r="V515" s="1"/>
      <c r="W515" s="1"/>
      <c r="X515" s="1"/>
      <c r="Y515" s="1"/>
      <c r="Z515" s="3"/>
    </row>
    <row r="516" spans="1:26" ht="22.9" customHeight="1" x14ac:dyDescent="0.25">
      <c r="A516" s="39" t="s">
        <v>1575</v>
      </c>
      <c r="B516" s="9" t="s">
        <v>234</v>
      </c>
      <c r="C516" s="7">
        <f t="shared" si="738"/>
        <v>21661050</v>
      </c>
      <c r="D516" s="2">
        <f t="shared" si="739"/>
        <v>10479900</v>
      </c>
      <c r="E516" s="2">
        <f>700*3493.3</f>
        <v>2445310</v>
      </c>
      <c r="F516" s="2">
        <f>1300*3493.3</f>
        <v>4541290</v>
      </c>
      <c r="G516" s="2">
        <f>300*3493.3</f>
        <v>1047990</v>
      </c>
      <c r="H516" s="2">
        <f>400*3493.3</f>
        <v>1397320</v>
      </c>
      <c r="I516" s="2">
        <f>300*3493.3</f>
        <v>1047990</v>
      </c>
      <c r="J516" s="2">
        <v>0</v>
      </c>
      <c r="K516" s="21">
        <v>0</v>
      </c>
      <c r="L516" s="2">
        <v>0</v>
      </c>
      <c r="M516" s="2">
        <v>871</v>
      </c>
      <c r="N516" s="2">
        <f>M516*4450</f>
        <v>3875950</v>
      </c>
      <c r="O516" s="2">
        <v>871</v>
      </c>
      <c r="P516" s="2">
        <f t="shared" ref="P516:P517" si="744">O516*1200</f>
        <v>1045200</v>
      </c>
      <c r="Q516" s="2">
        <v>1925</v>
      </c>
      <c r="R516" s="2">
        <f t="shared" si="731"/>
        <v>6160000</v>
      </c>
      <c r="S516" s="2">
        <v>0</v>
      </c>
      <c r="T516" s="2">
        <v>100000</v>
      </c>
      <c r="U516" s="6">
        <f t="shared" si="741"/>
        <v>4450</v>
      </c>
      <c r="V516" s="1"/>
      <c r="W516" s="1"/>
      <c r="X516" s="1"/>
      <c r="Y516" s="1"/>
      <c r="Z516" s="3"/>
    </row>
    <row r="517" spans="1:26" ht="22.9" customHeight="1" x14ac:dyDescent="0.25">
      <c r="A517" s="39" t="s">
        <v>1576</v>
      </c>
      <c r="B517" s="9" t="s">
        <v>235</v>
      </c>
      <c r="C517" s="7">
        <f t="shared" si="738"/>
        <v>21462610</v>
      </c>
      <c r="D517" s="2">
        <f t="shared" si="739"/>
        <v>10361460</v>
      </c>
      <c r="E517" s="2">
        <f>700*3453.82</f>
        <v>2417674</v>
      </c>
      <c r="F517" s="2">
        <f>1300*3453.82</f>
        <v>4489966</v>
      </c>
      <c r="G517" s="2">
        <f>300*3453.82</f>
        <v>1036146</v>
      </c>
      <c r="H517" s="2">
        <f>400*3453.82</f>
        <v>1381528</v>
      </c>
      <c r="I517" s="2">
        <f>300*3453.82</f>
        <v>1036146</v>
      </c>
      <c r="J517" s="2">
        <v>0</v>
      </c>
      <c r="K517" s="21">
        <v>0</v>
      </c>
      <c r="L517" s="2">
        <v>0</v>
      </c>
      <c r="M517" s="2">
        <v>871</v>
      </c>
      <c r="N517" s="2">
        <f>M517*4450</f>
        <v>3875950</v>
      </c>
      <c r="O517" s="2">
        <v>871</v>
      </c>
      <c r="P517" s="2">
        <f t="shared" si="744"/>
        <v>1045200</v>
      </c>
      <c r="Q517" s="2">
        <v>1900</v>
      </c>
      <c r="R517" s="2">
        <f t="shared" si="731"/>
        <v>6080000</v>
      </c>
      <c r="S517" s="2">
        <v>0</v>
      </c>
      <c r="T517" s="2">
        <v>100000</v>
      </c>
      <c r="U517" s="6">
        <f t="shared" si="741"/>
        <v>4450</v>
      </c>
      <c r="V517" s="1"/>
      <c r="W517" s="1"/>
      <c r="X517" s="1"/>
      <c r="Y517" s="1"/>
      <c r="Z517" s="3"/>
    </row>
    <row r="518" spans="1:26" ht="45" customHeight="1" x14ac:dyDescent="0.25">
      <c r="A518" s="43" t="s">
        <v>246</v>
      </c>
      <c r="B518" s="43"/>
      <c r="C518" s="1">
        <f>SUM(C519)</f>
        <v>4495940</v>
      </c>
      <c r="D518" s="1">
        <f t="shared" ref="D518:T518" si="745">SUM(D519)</f>
        <v>547040</v>
      </c>
      <c r="E518" s="1">
        <f t="shared" si="745"/>
        <v>294560</v>
      </c>
      <c r="F518" s="1">
        <f t="shared" si="745"/>
        <v>0</v>
      </c>
      <c r="G518" s="1">
        <f t="shared" si="745"/>
        <v>126240</v>
      </c>
      <c r="H518" s="1">
        <f t="shared" si="745"/>
        <v>0</v>
      </c>
      <c r="I518" s="1">
        <f t="shared" si="745"/>
        <v>126240</v>
      </c>
      <c r="J518" s="1">
        <f t="shared" si="745"/>
        <v>0</v>
      </c>
      <c r="K518" s="33">
        <f t="shared" si="745"/>
        <v>0</v>
      </c>
      <c r="L518" s="1">
        <f t="shared" si="745"/>
        <v>0</v>
      </c>
      <c r="M518" s="1">
        <f t="shared" si="745"/>
        <v>364.5</v>
      </c>
      <c r="N518" s="1">
        <f t="shared" si="745"/>
        <v>2405700</v>
      </c>
      <c r="O518" s="1">
        <f t="shared" si="745"/>
        <v>0</v>
      </c>
      <c r="P518" s="1">
        <f t="shared" si="745"/>
        <v>0</v>
      </c>
      <c r="Q518" s="1">
        <f t="shared" si="745"/>
        <v>451</v>
      </c>
      <c r="R518" s="1">
        <f t="shared" si="745"/>
        <v>1443200</v>
      </c>
      <c r="S518" s="1">
        <f t="shared" si="745"/>
        <v>0</v>
      </c>
      <c r="T518" s="1">
        <f t="shared" si="745"/>
        <v>100000</v>
      </c>
      <c r="U518" s="3" t="e">
        <f>C518+#REF!+#REF!</f>
        <v>#REF!</v>
      </c>
    </row>
    <row r="519" spans="1:26" ht="22.9" customHeight="1" x14ac:dyDescent="0.25">
      <c r="A519" s="39" t="s">
        <v>1577</v>
      </c>
      <c r="B519" s="5" t="s">
        <v>1161</v>
      </c>
      <c r="C519" s="7">
        <f t="shared" ref="C519" si="746">D519+L519+N519+P519+R519+S519+T519</f>
        <v>4495940</v>
      </c>
      <c r="D519" s="2">
        <f t="shared" ref="D519" si="747">SUM(E519:J519)</f>
        <v>547040</v>
      </c>
      <c r="E519" s="2">
        <f>700*420.8</f>
        <v>294560</v>
      </c>
      <c r="F519" s="2">
        <v>0</v>
      </c>
      <c r="G519" s="2">
        <f>300*420.8</f>
        <v>126240</v>
      </c>
      <c r="H519" s="2">
        <v>0</v>
      </c>
      <c r="I519" s="2">
        <f>300*420.8</f>
        <v>126240</v>
      </c>
      <c r="J519" s="2">
        <v>0</v>
      </c>
      <c r="K519" s="21">
        <v>0</v>
      </c>
      <c r="L519" s="2">
        <v>0</v>
      </c>
      <c r="M519" s="2">
        <v>364.5</v>
      </c>
      <c r="N519" s="2">
        <f t="shared" ref="N519" si="748">M519*6600</f>
        <v>2405700</v>
      </c>
      <c r="O519" s="2">
        <v>0</v>
      </c>
      <c r="P519" s="2">
        <v>0</v>
      </c>
      <c r="Q519" s="2">
        <v>451</v>
      </c>
      <c r="R519" s="2">
        <f t="shared" si="731"/>
        <v>1443200</v>
      </c>
      <c r="S519" s="2">
        <v>0</v>
      </c>
      <c r="T519" s="2">
        <v>100000</v>
      </c>
      <c r="U519" s="6">
        <f t="shared" ref="U519" si="749">N519/M519</f>
        <v>6600</v>
      </c>
      <c r="V519" s="1"/>
      <c r="W519" s="1"/>
      <c r="X519" s="1"/>
      <c r="Y519" s="1"/>
      <c r="Z519" s="3"/>
    </row>
    <row r="520" spans="1:26" ht="45" customHeight="1" x14ac:dyDescent="0.25">
      <c r="A520" s="43" t="s">
        <v>254</v>
      </c>
      <c r="B520" s="43"/>
      <c r="C520" s="1">
        <f>SUM(C521:C522)</f>
        <v>6324180</v>
      </c>
      <c r="D520" s="1">
        <f t="shared" ref="D520:T520" si="750">SUM(D521:D522)</f>
        <v>2796820</v>
      </c>
      <c r="E520" s="1">
        <f t="shared" si="750"/>
        <v>752990</v>
      </c>
      <c r="F520" s="1">
        <f t="shared" si="750"/>
        <v>1398410</v>
      </c>
      <c r="G520" s="1">
        <f t="shared" si="750"/>
        <v>322710</v>
      </c>
      <c r="H520" s="1">
        <f t="shared" si="750"/>
        <v>0</v>
      </c>
      <c r="I520" s="1">
        <f t="shared" si="750"/>
        <v>322710</v>
      </c>
      <c r="J520" s="1">
        <f t="shared" si="750"/>
        <v>0</v>
      </c>
      <c r="K520" s="33">
        <f t="shared" si="750"/>
        <v>0</v>
      </c>
      <c r="L520" s="1">
        <f t="shared" si="750"/>
        <v>0</v>
      </c>
      <c r="M520" s="1">
        <f t="shared" si="750"/>
        <v>0</v>
      </c>
      <c r="N520" s="1">
        <f t="shared" si="750"/>
        <v>0</v>
      </c>
      <c r="O520" s="1">
        <f t="shared" si="750"/>
        <v>0</v>
      </c>
      <c r="P520" s="1">
        <f t="shared" si="750"/>
        <v>0</v>
      </c>
      <c r="Q520" s="1">
        <f t="shared" si="750"/>
        <v>1039.8</v>
      </c>
      <c r="R520" s="1">
        <f t="shared" si="750"/>
        <v>3327360</v>
      </c>
      <c r="S520" s="1">
        <f t="shared" si="750"/>
        <v>0</v>
      </c>
      <c r="T520" s="1">
        <f t="shared" si="750"/>
        <v>200000</v>
      </c>
      <c r="U520" s="3" t="e">
        <f>C520+#REF!+#REF!</f>
        <v>#REF!</v>
      </c>
    </row>
    <row r="521" spans="1:26" ht="22.9" customHeight="1" x14ac:dyDescent="0.25">
      <c r="A521" s="39" t="s">
        <v>1578</v>
      </c>
      <c r="B521" s="9" t="s">
        <v>258</v>
      </c>
      <c r="C521" s="7">
        <f t="shared" ref="C521:C522" si="751">D521+L521+N521+P521+R521+S521+T521</f>
        <v>3892400</v>
      </c>
      <c r="D521" s="2">
        <f t="shared" ref="D521:D522" si="752">SUM(E521:J521)</f>
        <v>1856400</v>
      </c>
      <c r="E521" s="2">
        <f>700*714</f>
        <v>499800</v>
      </c>
      <c r="F521" s="2">
        <f>1300*714</f>
        <v>928200</v>
      </c>
      <c r="G521" s="2">
        <f>300*714</f>
        <v>214200</v>
      </c>
      <c r="H521" s="2">
        <v>0</v>
      </c>
      <c r="I521" s="2">
        <f>300*714</f>
        <v>214200</v>
      </c>
      <c r="J521" s="2">
        <v>0</v>
      </c>
      <c r="K521" s="21">
        <v>0</v>
      </c>
      <c r="L521" s="2">
        <v>0</v>
      </c>
      <c r="M521" s="2">
        <v>0</v>
      </c>
      <c r="N521" s="2">
        <v>0</v>
      </c>
      <c r="O521" s="2">
        <v>0</v>
      </c>
      <c r="P521" s="2">
        <v>0</v>
      </c>
      <c r="Q521" s="18">
        <v>605</v>
      </c>
      <c r="R521" s="2">
        <f t="shared" si="731"/>
        <v>1936000</v>
      </c>
      <c r="S521" s="2">
        <v>0</v>
      </c>
      <c r="T521" s="2">
        <v>100000</v>
      </c>
      <c r="U521" s="6" t="e">
        <f t="shared" ref="U521:U522" si="753">N521/M521</f>
        <v>#DIV/0!</v>
      </c>
      <c r="V521" s="1"/>
      <c r="W521" s="1"/>
      <c r="X521" s="1"/>
      <c r="Y521" s="1"/>
      <c r="Z521" s="3"/>
    </row>
    <row r="522" spans="1:26" ht="22.9" customHeight="1" x14ac:dyDescent="0.25">
      <c r="A522" s="39" t="s">
        <v>1579</v>
      </c>
      <c r="B522" s="9" t="s">
        <v>259</v>
      </c>
      <c r="C522" s="7">
        <f t="shared" si="751"/>
        <v>2431780</v>
      </c>
      <c r="D522" s="2">
        <f t="shared" si="752"/>
        <v>940420</v>
      </c>
      <c r="E522" s="2">
        <f>700*361.7</f>
        <v>253190</v>
      </c>
      <c r="F522" s="2">
        <f>1300*361.7</f>
        <v>470210</v>
      </c>
      <c r="G522" s="2">
        <f>300*361.7</f>
        <v>108510</v>
      </c>
      <c r="H522" s="2">
        <v>0</v>
      </c>
      <c r="I522" s="2">
        <f>300*361.7</f>
        <v>108510</v>
      </c>
      <c r="J522" s="2">
        <v>0</v>
      </c>
      <c r="K522" s="21">
        <v>0</v>
      </c>
      <c r="L522" s="2">
        <v>0</v>
      </c>
      <c r="M522" s="2">
        <v>0</v>
      </c>
      <c r="N522" s="2">
        <v>0</v>
      </c>
      <c r="O522" s="2">
        <v>0</v>
      </c>
      <c r="P522" s="2">
        <v>0</v>
      </c>
      <c r="Q522" s="18">
        <v>434.8</v>
      </c>
      <c r="R522" s="2">
        <f t="shared" si="731"/>
        <v>1391360</v>
      </c>
      <c r="S522" s="2">
        <v>0</v>
      </c>
      <c r="T522" s="2">
        <v>100000</v>
      </c>
      <c r="U522" s="6" t="e">
        <f t="shared" si="753"/>
        <v>#DIV/0!</v>
      </c>
      <c r="V522" s="1"/>
      <c r="W522" s="1"/>
      <c r="X522" s="1"/>
      <c r="Y522" s="1"/>
      <c r="Z522" s="3"/>
    </row>
    <row r="523" spans="1:26" ht="45" customHeight="1" x14ac:dyDescent="0.25">
      <c r="A523" s="43" t="s">
        <v>267</v>
      </c>
      <c r="B523" s="43"/>
      <c r="C523" s="1">
        <f>SUM(C524:C527)</f>
        <v>7067600</v>
      </c>
      <c r="D523" s="1">
        <f t="shared" ref="D523:T523" si="754">SUM(D524:D527)</f>
        <v>1894880</v>
      </c>
      <c r="E523" s="1">
        <f t="shared" si="754"/>
        <v>1020320</v>
      </c>
      <c r="F523" s="1">
        <f t="shared" si="754"/>
        <v>0</v>
      </c>
      <c r="G523" s="1">
        <f t="shared" si="754"/>
        <v>437280</v>
      </c>
      <c r="H523" s="1">
        <f t="shared" si="754"/>
        <v>0</v>
      </c>
      <c r="I523" s="1">
        <f t="shared" si="754"/>
        <v>437280</v>
      </c>
      <c r="J523" s="1">
        <f t="shared" si="754"/>
        <v>0</v>
      </c>
      <c r="K523" s="33">
        <f t="shared" si="754"/>
        <v>0</v>
      </c>
      <c r="L523" s="1">
        <f t="shared" si="754"/>
        <v>0</v>
      </c>
      <c r="M523" s="1">
        <f t="shared" si="754"/>
        <v>334.8</v>
      </c>
      <c r="N523" s="1">
        <f t="shared" si="754"/>
        <v>2209680</v>
      </c>
      <c r="O523" s="1">
        <f t="shared" si="754"/>
        <v>0</v>
      </c>
      <c r="P523" s="1">
        <f t="shared" si="754"/>
        <v>0</v>
      </c>
      <c r="Q523" s="1">
        <f t="shared" si="754"/>
        <v>832.2</v>
      </c>
      <c r="R523" s="1">
        <f t="shared" si="754"/>
        <v>2663040</v>
      </c>
      <c r="S523" s="1">
        <f t="shared" si="754"/>
        <v>0</v>
      </c>
      <c r="T523" s="1">
        <f t="shared" si="754"/>
        <v>300000</v>
      </c>
      <c r="U523" s="3" t="e">
        <f>C523+#REF!+#REF!</f>
        <v>#REF!</v>
      </c>
    </row>
    <row r="524" spans="1:26" s="2" customFormat="1" ht="22.9" customHeight="1" x14ac:dyDescent="0.25">
      <c r="A524" s="39" t="s">
        <v>1580</v>
      </c>
      <c r="B524" s="9" t="s">
        <v>268</v>
      </c>
      <c r="C524" s="7">
        <f t="shared" ref="C524:C527" si="755">D524+L524+N524+P524+R524+S524+T524</f>
        <v>648210</v>
      </c>
      <c r="D524" s="2">
        <f t="shared" ref="D524:D527" si="756">SUM(E524:J524)</f>
        <v>548210</v>
      </c>
      <c r="E524" s="2">
        <f>700*421.7</f>
        <v>295190</v>
      </c>
      <c r="F524" s="18">
        <v>0</v>
      </c>
      <c r="G524" s="2">
        <f>300*421.7</f>
        <v>126510</v>
      </c>
      <c r="H524" s="2">
        <v>0</v>
      </c>
      <c r="I524" s="2">
        <f>300*421.7</f>
        <v>126510</v>
      </c>
      <c r="J524" s="2">
        <v>0</v>
      </c>
      <c r="K524" s="21">
        <v>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  <c r="R524" s="2">
        <v>0</v>
      </c>
      <c r="S524" s="2">
        <v>0</v>
      </c>
      <c r="T524" s="2">
        <v>100000</v>
      </c>
      <c r="U524" s="6" t="e">
        <f t="shared" ref="U524:U527" si="757">N524/M524</f>
        <v>#DIV/0!</v>
      </c>
      <c r="V524" s="1"/>
      <c r="W524" s="1"/>
      <c r="X524" s="1"/>
      <c r="Y524" s="1"/>
    </row>
    <row r="525" spans="1:26" s="2" customFormat="1" ht="22.9" customHeight="1" x14ac:dyDescent="0.25">
      <c r="A525" s="39" t="s">
        <v>1581</v>
      </c>
      <c r="B525" s="9" t="s">
        <v>269</v>
      </c>
      <c r="C525" s="7">
        <f t="shared" si="755"/>
        <v>3541200</v>
      </c>
      <c r="D525" s="2">
        <f t="shared" si="756"/>
        <v>0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  <c r="J525" s="2">
        <v>0</v>
      </c>
      <c r="K525" s="21">
        <v>0</v>
      </c>
      <c r="L525" s="2">
        <v>0</v>
      </c>
      <c r="M525" s="18">
        <v>334.8</v>
      </c>
      <c r="N525" s="2">
        <f t="shared" ref="N525" si="758">M525*6600</f>
        <v>2209680</v>
      </c>
      <c r="O525" s="2">
        <v>0</v>
      </c>
      <c r="P525" s="2">
        <v>0</v>
      </c>
      <c r="Q525" s="18">
        <v>416.1</v>
      </c>
      <c r="R525" s="2">
        <f t="shared" ref="R525" si="759">Q525*3200</f>
        <v>1331520</v>
      </c>
      <c r="S525" s="2">
        <v>0</v>
      </c>
      <c r="T525" s="2">
        <v>0</v>
      </c>
      <c r="U525" s="6">
        <f t="shared" si="757"/>
        <v>6600</v>
      </c>
      <c r="V525" s="1"/>
      <c r="W525" s="1"/>
      <c r="X525" s="1"/>
      <c r="Y525" s="1"/>
    </row>
    <row r="526" spans="1:26" s="2" customFormat="1" ht="22.9" customHeight="1" x14ac:dyDescent="0.25">
      <c r="A526" s="39" t="s">
        <v>1582</v>
      </c>
      <c r="B526" s="9" t="s">
        <v>270</v>
      </c>
      <c r="C526" s="7">
        <f t="shared" si="755"/>
        <v>904440</v>
      </c>
      <c r="D526" s="2">
        <f t="shared" si="756"/>
        <v>804440</v>
      </c>
      <c r="E526" s="2">
        <f>700*618.8</f>
        <v>433159.99999999994</v>
      </c>
      <c r="F526" s="2">
        <v>0</v>
      </c>
      <c r="G526" s="2">
        <f>300*618.8</f>
        <v>185640</v>
      </c>
      <c r="H526" s="2">
        <v>0</v>
      </c>
      <c r="I526" s="2">
        <f>300*618.8</f>
        <v>185640</v>
      </c>
      <c r="J526" s="2">
        <v>0</v>
      </c>
      <c r="K526" s="21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100000</v>
      </c>
      <c r="U526" s="6" t="e">
        <f t="shared" si="757"/>
        <v>#DIV/0!</v>
      </c>
      <c r="V526" s="1"/>
      <c r="W526" s="1"/>
      <c r="X526" s="1"/>
      <c r="Y526" s="1"/>
    </row>
    <row r="527" spans="1:26" s="2" customFormat="1" ht="22.9" customHeight="1" x14ac:dyDescent="0.25">
      <c r="A527" s="39" t="s">
        <v>1583</v>
      </c>
      <c r="B527" s="9" t="s">
        <v>271</v>
      </c>
      <c r="C527" s="7">
        <f t="shared" si="755"/>
        <v>1973750</v>
      </c>
      <c r="D527" s="2">
        <f t="shared" si="756"/>
        <v>542230</v>
      </c>
      <c r="E527" s="2">
        <f>700*417.1</f>
        <v>291970</v>
      </c>
      <c r="F527" s="2">
        <v>0</v>
      </c>
      <c r="G527" s="2">
        <f>300*417.1</f>
        <v>125130</v>
      </c>
      <c r="H527" s="2">
        <v>0</v>
      </c>
      <c r="I527" s="2">
        <f>300*417.1</f>
        <v>125130</v>
      </c>
      <c r="J527" s="2">
        <v>0</v>
      </c>
      <c r="K527" s="21">
        <v>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18">
        <v>416.1</v>
      </c>
      <c r="R527" s="2">
        <f t="shared" ref="R527:R542" si="760">Q527*3200</f>
        <v>1331520</v>
      </c>
      <c r="S527" s="2">
        <v>0</v>
      </c>
      <c r="T527" s="2">
        <v>100000</v>
      </c>
      <c r="U527" s="6" t="e">
        <f t="shared" si="757"/>
        <v>#DIV/0!</v>
      </c>
      <c r="V527" s="1"/>
      <c r="W527" s="1"/>
      <c r="X527" s="1"/>
      <c r="Y527" s="1"/>
    </row>
    <row r="528" spans="1:26" ht="45" customHeight="1" x14ac:dyDescent="0.25">
      <c r="A528" s="43" t="s">
        <v>272</v>
      </c>
      <c r="B528" s="43"/>
      <c r="C528" s="1">
        <f>SUM(C529:C534)</f>
        <v>29864080</v>
      </c>
      <c r="D528" s="1">
        <f t="shared" ref="D528:T528" si="761">SUM(D529:D534)</f>
        <v>4427440</v>
      </c>
      <c r="E528" s="1">
        <f t="shared" si="761"/>
        <v>2434180</v>
      </c>
      <c r="F528" s="1">
        <f t="shared" si="761"/>
        <v>0</v>
      </c>
      <c r="G528" s="1">
        <f t="shared" si="761"/>
        <v>1043220</v>
      </c>
      <c r="H528" s="1">
        <f t="shared" si="761"/>
        <v>0</v>
      </c>
      <c r="I528" s="1">
        <f t="shared" si="761"/>
        <v>950040</v>
      </c>
      <c r="J528" s="1">
        <f t="shared" si="761"/>
        <v>0</v>
      </c>
      <c r="K528" s="33">
        <f t="shared" si="761"/>
        <v>0</v>
      </c>
      <c r="L528" s="1">
        <f t="shared" si="761"/>
        <v>0</v>
      </c>
      <c r="M528" s="1">
        <f t="shared" si="761"/>
        <v>2145.2000000000003</v>
      </c>
      <c r="N528" s="1">
        <f t="shared" si="761"/>
        <v>14158320</v>
      </c>
      <c r="O528" s="1">
        <f t="shared" si="761"/>
        <v>1472.2</v>
      </c>
      <c r="P528" s="1">
        <f t="shared" si="761"/>
        <v>1766640</v>
      </c>
      <c r="Q528" s="1">
        <f t="shared" si="761"/>
        <v>2784.9</v>
      </c>
      <c r="R528" s="1">
        <f t="shared" si="761"/>
        <v>8911680</v>
      </c>
      <c r="S528" s="1">
        <f t="shared" si="761"/>
        <v>0</v>
      </c>
      <c r="T528" s="1">
        <f t="shared" si="761"/>
        <v>600000</v>
      </c>
      <c r="U528" s="3" t="e">
        <f>C528+#REF!+#REF!</f>
        <v>#REF!</v>
      </c>
    </row>
    <row r="529" spans="1:28" ht="22.9" customHeight="1" x14ac:dyDescent="0.25">
      <c r="A529" s="39" t="s">
        <v>1584</v>
      </c>
      <c r="B529" s="3" t="s">
        <v>279</v>
      </c>
      <c r="C529" s="7">
        <f t="shared" ref="C529:C534" si="762">D529+L529+N529+P529+R529+S529+T529</f>
        <v>3525280</v>
      </c>
      <c r="D529" s="2">
        <f t="shared" ref="D529:D534" si="763">SUM(E529:J529)</f>
        <v>311600</v>
      </c>
      <c r="E529" s="2">
        <f>700*311.6</f>
        <v>218120.00000000003</v>
      </c>
      <c r="F529" s="2">
        <v>0</v>
      </c>
      <c r="G529" s="2">
        <f>300*311.6</f>
        <v>93480</v>
      </c>
      <c r="H529" s="2">
        <v>0</v>
      </c>
      <c r="I529" s="2">
        <v>0</v>
      </c>
      <c r="J529" s="2">
        <v>0</v>
      </c>
      <c r="K529" s="21">
        <v>0</v>
      </c>
      <c r="L529" s="2">
        <v>0</v>
      </c>
      <c r="M529" s="2">
        <v>311.60000000000002</v>
      </c>
      <c r="N529" s="2">
        <f t="shared" ref="N529:N530" si="764">M529*6600</f>
        <v>2056560.0000000002</v>
      </c>
      <c r="O529" s="2">
        <v>50</v>
      </c>
      <c r="P529" s="2">
        <f t="shared" ref="P529" si="765">O529*1200</f>
        <v>60000</v>
      </c>
      <c r="Q529" s="2">
        <v>311.60000000000002</v>
      </c>
      <c r="R529" s="2">
        <f t="shared" si="760"/>
        <v>997120.00000000012</v>
      </c>
      <c r="S529" s="2">
        <v>0</v>
      </c>
      <c r="T529" s="2">
        <v>100000</v>
      </c>
      <c r="U529" s="6">
        <f t="shared" ref="U529:U534" si="766">N529/M529</f>
        <v>6600</v>
      </c>
      <c r="V529" s="1"/>
      <c r="W529" s="1"/>
      <c r="X529" s="1"/>
      <c r="Y529" s="1"/>
      <c r="Z529" s="1"/>
      <c r="AA529" s="1"/>
      <c r="AB529" s="3"/>
    </row>
    <row r="530" spans="1:28" ht="22.9" customHeight="1" x14ac:dyDescent="0.25">
      <c r="A530" s="39" t="s">
        <v>1585</v>
      </c>
      <c r="B530" s="3" t="s">
        <v>280</v>
      </c>
      <c r="C530" s="7">
        <f t="shared" si="762"/>
        <v>16363060</v>
      </c>
      <c r="D530" s="2">
        <f t="shared" si="763"/>
        <v>1718860</v>
      </c>
      <c r="E530" s="2">
        <f>700*1322.2</f>
        <v>925540</v>
      </c>
      <c r="F530" s="2">
        <v>0</v>
      </c>
      <c r="G530" s="2">
        <f>300*1322.2</f>
        <v>396660</v>
      </c>
      <c r="H530" s="2">
        <v>0</v>
      </c>
      <c r="I530" s="2">
        <f>300*1322.2</f>
        <v>396660</v>
      </c>
      <c r="J530" s="2">
        <v>0</v>
      </c>
      <c r="K530" s="21">
        <v>0</v>
      </c>
      <c r="L530" s="2">
        <v>0</v>
      </c>
      <c r="M530" s="2">
        <v>1322.2</v>
      </c>
      <c r="N530" s="2">
        <f t="shared" si="764"/>
        <v>8726520</v>
      </c>
      <c r="O530" s="2">
        <v>1322.2</v>
      </c>
      <c r="P530" s="2">
        <f t="shared" ref="P530:P531" si="767">O530*1200</f>
        <v>1586640</v>
      </c>
      <c r="Q530" s="2">
        <v>1322.2</v>
      </c>
      <c r="R530" s="2">
        <f t="shared" si="760"/>
        <v>4231040</v>
      </c>
      <c r="S530" s="2">
        <v>0</v>
      </c>
      <c r="T530" s="2">
        <v>100000</v>
      </c>
      <c r="U530" s="6">
        <f t="shared" si="766"/>
        <v>6600</v>
      </c>
      <c r="V530" s="1"/>
      <c r="W530" s="1"/>
      <c r="X530" s="1"/>
      <c r="Y530" s="1"/>
      <c r="Z530" s="1"/>
      <c r="AA530" s="1"/>
      <c r="AB530" s="3"/>
    </row>
    <row r="531" spans="1:28" ht="22.9" customHeight="1" x14ac:dyDescent="0.25">
      <c r="A531" s="39" t="s">
        <v>1586</v>
      </c>
      <c r="B531" s="3" t="s">
        <v>281</v>
      </c>
      <c r="C531" s="7">
        <f t="shared" si="762"/>
        <v>1016870</v>
      </c>
      <c r="D531" s="2">
        <f t="shared" si="763"/>
        <v>856870</v>
      </c>
      <c r="E531" s="2">
        <f>700*658.9</f>
        <v>461230</v>
      </c>
      <c r="F531" s="2">
        <v>0</v>
      </c>
      <c r="G531" s="2">
        <f>300*658.9</f>
        <v>197670</v>
      </c>
      <c r="H531" s="2">
        <v>0</v>
      </c>
      <c r="I531" s="2">
        <f>300*659.9</f>
        <v>197970</v>
      </c>
      <c r="J531" s="2">
        <v>0</v>
      </c>
      <c r="K531" s="21">
        <v>0</v>
      </c>
      <c r="L531" s="2">
        <v>0</v>
      </c>
      <c r="M531" s="2">
        <v>0</v>
      </c>
      <c r="N531" s="2">
        <v>0</v>
      </c>
      <c r="O531" s="2">
        <v>50</v>
      </c>
      <c r="P531" s="2">
        <f t="shared" si="767"/>
        <v>60000</v>
      </c>
      <c r="Q531" s="2">
        <v>0</v>
      </c>
      <c r="R531" s="2">
        <v>0</v>
      </c>
      <c r="S531" s="2">
        <v>0</v>
      </c>
      <c r="T531" s="2">
        <v>100000</v>
      </c>
      <c r="U531" s="6" t="e">
        <f t="shared" si="766"/>
        <v>#DIV/0!</v>
      </c>
      <c r="V531" s="1"/>
      <c r="W531" s="1"/>
      <c r="X531" s="1"/>
      <c r="Y531" s="1"/>
      <c r="Z531" s="1"/>
      <c r="AA531" s="1"/>
      <c r="AB531" s="3"/>
    </row>
    <row r="532" spans="1:28" ht="22.9" customHeight="1" x14ac:dyDescent="0.25">
      <c r="A532" s="39" t="s">
        <v>1587</v>
      </c>
      <c r="B532" s="9" t="s">
        <v>282</v>
      </c>
      <c r="C532" s="7">
        <f t="shared" si="762"/>
        <v>1308160</v>
      </c>
      <c r="D532" s="2">
        <f t="shared" si="763"/>
        <v>347360</v>
      </c>
      <c r="E532" s="2">
        <f>700*267.2</f>
        <v>187040</v>
      </c>
      <c r="F532" s="2">
        <v>0</v>
      </c>
      <c r="G532" s="2">
        <f>300*267.2</f>
        <v>80160</v>
      </c>
      <c r="H532" s="2">
        <v>0</v>
      </c>
      <c r="I532" s="2">
        <f>300*267.2</f>
        <v>80160</v>
      </c>
      <c r="J532" s="2">
        <v>0</v>
      </c>
      <c r="K532" s="21">
        <v>0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269</v>
      </c>
      <c r="R532" s="2">
        <f t="shared" si="760"/>
        <v>860800</v>
      </c>
      <c r="S532" s="2">
        <v>0</v>
      </c>
      <c r="T532" s="2">
        <v>100000</v>
      </c>
      <c r="U532" s="6" t="e">
        <f t="shared" si="766"/>
        <v>#DIV/0!</v>
      </c>
      <c r="V532" s="1"/>
      <c r="W532" s="1"/>
      <c r="X532" s="1"/>
      <c r="Y532" s="1"/>
      <c r="Z532" s="1"/>
      <c r="AA532" s="1"/>
      <c r="AB532" s="3"/>
    </row>
    <row r="533" spans="1:28" ht="22.9" customHeight="1" x14ac:dyDescent="0.25">
      <c r="A533" s="39" t="s">
        <v>1588</v>
      </c>
      <c r="B533" s="3" t="s">
        <v>283</v>
      </c>
      <c r="C533" s="7">
        <f t="shared" si="762"/>
        <v>5837190</v>
      </c>
      <c r="D533" s="2">
        <f t="shared" si="763"/>
        <v>665470</v>
      </c>
      <c r="E533" s="2">
        <f>700*511.9</f>
        <v>358330</v>
      </c>
      <c r="F533" s="2">
        <v>0</v>
      </c>
      <c r="G533" s="2">
        <f>300*511.9</f>
        <v>153570</v>
      </c>
      <c r="H533" s="2">
        <v>0</v>
      </c>
      <c r="I533" s="2">
        <f>300*511.9</f>
        <v>153570</v>
      </c>
      <c r="J533" s="2">
        <v>0</v>
      </c>
      <c r="K533" s="21">
        <v>0</v>
      </c>
      <c r="L533" s="2">
        <v>0</v>
      </c>
      <c r="M533" s="2">
        <v>511.4</v>
      </c>
      <c r="N533" s="2">
        <f t="shared" ref="N533" si="768">M533*6600</f>
        <v>3375240</v>
      </c>
      <c r="O533" s="2">
        <v>50</v>
      </c>
      <c r="P533" s="2">
        <f t="shared" ref="P533" si="769">O533*1200</f>
        <v>60000</v>
      </c>
      <c r="Q533" s="2">
        <v>511.4</v>
      </c>
      <c r="R533" s="2">
        <f t="shared" si="760"/>
        <v>1636480</v>
      </c>
      <c r="S533" s="2">
        <v>0</v>
      </c>
      <c r="T533" s="2">
        <v>100000</v>
      </c>
      <c r="U533" s="6">
        <f t="shared" si="766"/>
        <v>6600</v>
      </c>
      <c r="V533" s="1"/>
      <c r="W533" s="1"/>
      <c r="X533" s="1"/>
      <c r="Y533" s="1"/>
      <c r="Z533" s="1"/>
      <c r="AA533" s="1"/>
      <c r="AB533" s="3"/>
    </row>
    <row r="534" spans="1:28" ht="22.9" customHeight="1" x14ac:dyDescent="0.25">
      <c r="A534" s="39" t="s">
        <v>1589</v>
      </c>
      <c r="B534" s="9" t="s">
        <v>284</v>
      </c>
      <c r="C534" s="7">
        <f t="shared" si="762"/>
        <v>1813520</v>
      </c>
      <c r="D534" s="2">
        <f t="shared" si="763"/>
        <v>527280</v>
      </c>
      <c r="E534" s="2">
        <f>700*405.6</f>
        <v>283920</v>
      </c>
      <c r="F534" s="2">
        <v>0</v>
      </c>
      <c r="G534" s="2">
        <f>300*405.6</f>
        <v>121680</v>
      </c>
      <c r="H534" s="2">
        <v>0</v>
      </c>
      <c r="I534" s="2">
        <f>300*405.6</f>
        <v>121680</v>
      </c>
      <c r="J534" s="2">
        <v>0</v>
      </c>
      <c r="K534" s="21">
        <v>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370.7</v>
      </c>
      <c r="R534" s="2">
        <f t="shared" si="760"/>
        <v>1186240</v>
      </c>
      <c r="S534" s="2">
        <v>0</v>
      </c>
      <c r="T534" s="2">
        <v>100000</v>
      </c>
      <c r="U534" s="6" t="e">
        <f t="shared" si="766"/>
        <v>#DIV/0!</v>
      </c>
      <c r="V534" s="1"/>
      <c r="W534" s="1"/>
      <c r="X534" s="1"/>
      <c r="Y534" s="1"/>
      <c r="Z534" s="1"/>
      <c r="AA534" s="1"/>
      <c r="AB534" s="3"/>
    </row>
    <row r="535" spans="1:28" ht="40.15" customHeight="1" x14ac:dyDescent="0.25">
      <c r="A535" s="43" t="s">
        <v>290</v>
      </c>
      <c r="B535" s="43"/>
      <c r="C535" s="1">
        <f>SUM(C536)</f>
        <v>2935540</v>
      </c>
      <c r="D535" s="1">
        <f t="shared" ref="D535:T535" si="770">SUM(D536)</f>
        <v>226100</v>
      </c>
      <c r="E535" s="1">
        <f t="shared" si="770"/>
        <v>226100</v>
      </c>
      <c r="F535" s="1">
        <f t="shared" si="770"/>
        <v>0</v>
      </c>
      <c r="G535" s="1">
        <f t="shared" si="770"/>
        <v>0</v>
      </c>
      <c r="H535" s="1">
        <f t="shared" si="770"/>
        <v>0</v>
      </c>
      <c r="I535" s="1">
        <f t="shared" si="770"/>
        <v>0</v>
      </c>
      <c r="J535" s="1">
        <f t="shared" si="770"/>
        <v>0</v>
      </c>
      <c r="K535" s="33">
        <f t="shared" si="770"/>
        <v>0</v>
      </c>
      <c r="L535" s="1">
        <f t="shared" si="770"/>
        <v>0</v>
      </c>
      <c r="M535" s="1">
        <f t="shared" si="770"/>
        <v>282</v>
      </c>
      <c r="N535" s="1">
        <f t="shared" si="770"/>
        <v>1861200</v>
      </c>
      <c r="O535" s="1">
        <f t="shared" si="770"/>
        <v>0</v>
      </c>
      <c r="P535" s="1">
        <f t="shared" si="770"/>
        <v>0</v>
      </c>
      <c r="Q535" s="1">
        <f t="shared" si="770"/>
        <v>155.69999999999999</v>
      </c>
      <c r="R535" s="1">
        <f t="shared" si="770"/>
        <v>498239.99999999994</v>
      </c>
      <c r="S535" s="1">
        <f t="shared" si="770"/>
        <v>250000</v>
      </c>
      <c r="T535" s="1">
        <f t="shared" si="770"/>
        <v>100000</v>
      </c>
      <c r="U535" s="3" t="e">
        <f>C535+#REF!+#REF!</f>
        <v>#REF!</v>
      </c>
    </row>
    <row r="536" spans="1:28" ht="22.9" customHeight="1" x14ac:dyDescent="0.25">
      <c r="A536" s="39" t="s">
        <v>1590</v>
      </c>
      <c r="B536" s="9" t="s">
        <v>1162</v>
      </c>
      <c r="C536" s="7">
        <f t="shared" ref="C536" si="771">D536+L536+N536+P536+R536+S536+T536</f>
        <v>2935540</v>
      </c>
      <c r="D536" s="2">
        <f t="shared" ref="D536" si="772">SUM(E536:J536)</f>
        <v>226100</v>
      </c>
      <c r="E536" s="2">
        <f>700*323</f>
        <v>226100</v>
      </c>
      <c r="F536" s="2">
        <v>0</v>
      </c>
      <c r="G536" s="2">
        <v>0</v>
      </c>
      <c r="H536" s="2">
        <v>0</v>
      </c>
      <c r="I536" s="2">
        <v>0</v>
      </c>
      <c r="J536" s="2">
        <v>0</v>
      </c>
      <c r="K536" s="21">
        <v>0</v>
      </c>
      <c r="L536" s="2">
        <v>0</v>
      </c>
      <c r="M536" s="2">
        <v>282</v>
      </c>
      <c r="N536" s="2">
        <f t="shared" ref="N536" si="773">M536*6600</f>
        <v>1861200</v>
      </c>
      <c r="O536" s="2">
        <v>0</v>
      </c>
      <c r="P536" s="2">
        <v>0</v>
      </c>
      <c r="Q536" s="2">
        <v>155.69999999999999</v>
      </c>
      <c r="R536" s="2">
        <f t="shared" si="760"/>
        <v>498239.99999999994</v>
      </c>
      <c r="S536" s="2">
        <v>250000</v>
      </c>
      <c r="T536" s="2">
        <v>100000</v>
      </c>
      <c r="U536" s="6">
        <f t="shared" ref="U536" si="774">N536/M536</f>
        <v>6600</v>
      </c>
      <c r="V536" s="1"/>
      <c r="W536" s="1"/>
      <c r="X536" s="1"/>
      <c r="Y536" s="1"/>
      <c r="Z536" s="1"/>
      <c r="AA536" s="1"/>
      <c r="AB536" s="3"/>
    </row>
    <row r="537" spans="1:28" ht="45" customHeight="1" x14ac:dyDescent="0.25">
      <c r="A537" s="43" t="s">
        <v>293</v>
      </c>
      <c r="B537" s="43"/>
      <c r="C537" s="1">
        <f>SUM(C538:C539)</f>
        <v>9933520</v>
      </c>
      <c r="D537" s="1">
        <f t="shared" ref="D537:T537" si="775">SUM(D538:D539)</f>
        <v>2141100</v>
      </c>
      <c r="E537" s="1">
        <f t="shared" si="775"/>
        <v>499590</v>
      </c>
      <c r="F537" s="1">
        <f t="shared" si="775"/>
        <v>927810</v>
      </c>
      <c r="G537" s="1">
        <f t="shared" si="775"/>
        <v>214110</v>
      </c>
      <c r="H537" s="1">
        <f t="shared" si="775"/>
        <v>285480</v>
      </c>
      <c r="I537" s="1">
        <f t="shared" si="775"/>
        <v>214110</v>
      </c>
      <c r="J537" s="1">
        <f t="shared" si="775"/>
        <v>0</v>
      </c>
      <c r="K537" s="33">
        <f t="shared" si="775"/>
        <v>0</v>
      </c>
      <c r="L537" s="1">
        <f t="shared" si="775"/>
        <v>0</v>
      </c>
      <c r="M537" s="1">
        <f t="shared" si="775"/>
        <v>730.1</v>
      </c>
      <c r="N537" s="1">
        <f t="shared" si="775"/>
        <v>4818660</v>
      </c>
      <c r="O537" s="1">
        <f t="shared" si="775"/>
        <v>0</v>
      </c>
      <c r="P537" s="1">
        <f t="shared" si="775"/>
        <v>0</v>
      </c>
      <c r="Q537" s="1">
        <f t="shared" si="775"/>
        <v>866.8</v>
      </c>
      <c r="R537" s="1">
        <f t="shared" si="775"/>
        <v>2773760</v>
      </c>
      <c r="S537" s="1">
        <f t="shared" si="775"/>
        <v>0</v>
      </c>
      <c r="T537" s="1">
        <f t="shared" si="775"/>
        <v>200000</v>
      </c>
      <c r="U537" s="3" t="e">
        <f>C537+#REF!+#REF!</f>
        <v>#REF!</v>
      </c>
    </row>
    <row r="538" spans="1:28" ht="22.9" customHeight="1" x14ac:dyDescent="0.25">
      <c r="A538" s="39" t="s">
        <v>1591</v>
      </c>
      <c r="B538" s="9" t="s">
        <v>295</v>
      </c>
      <c r="C538" s="7">
        <f t="shared" ref="C538:C539" si="776">D538+L538+N538+P538+R538+S538+T538</f>
        <v>4920700</v>
      </c>
      <c r="D538" s="2">
        <f t="shared" ref="D538:D539" si="777">SUM(E538:J538)</f>
        <v>969000</v>
      </c>
      <c r="E538" s="2">
        <f>700*323</f>
        <v>226100</v>
      </c>
      <c r="F538" s="2">
        <f>1300*323</f>
        <v>419900</v>
      </c>
      <c r="G538" s="2">
        <f>300*323</f>
        <v>96900</v>
      </c>
      <c r="H538" s="2">
        <f>400*323</f>
        <v>129200</v>
      </c>
      <c r="I538" s="2">
        <f>300*323</f>
        <v>96900</v>
      </c>
      <c r="J538" s="2">
        <v>0</v>
      </c>
      <c r="K538" s="21">
        <v>0</v>
      </c>
      <c r="L538" s="2">
        <v>0</v>
      </c>
      <c r="M538" s="18">
        <v>372.1</v>
      </c>
      <c r="N538" s="2">
        <f t="shared" ref="N538:N539" si="778">M538*6600</f>
        <v>2455860</v>
      </c>
      <c r="O538" s="2">
        <v>0</v>
      </c>
      <c r="P538" s="2">
        <v>0</v>
      </c>
      <c r="Q538" s="18">
        <v>436.2</v>
      </c>
      <c r="R538" s="2">
        <f t="shared" si="760"/>
        <v>1395840</v>
      </c>
      <c r="S538" s="2">
        <v>0</v>
      </c>
      <c r="T538" s="2">
        <v>100000</v>
      </c>
      <c r="U538" s="6">
        <f t="shared" ref="U538:U539" si="779">N538/M538</f>
        <v>6600</v>
      </c>
      <c r="V538" s="1"/>
      <c r="W538" s="1"/>
      <c r="X538" s="1"/>
      <c r="Y538" s="1"/>
      <c r="Z538" s="1"/>
      <c r="AA538" s="3"/>
    </row>
    <row r="539" spans="1:28" ht="22.9" customHeight="1" x14ac:dyDescent="0.25">
      <c r="A539" s="39" t="s">
        <v>1592</v>
      </c>
      <c r="B539" s="9" t="s">
        <v>296</v>
      </c>
      <c r="C539" s="7">
        <f t="shared" si="776"/>
        <v>5012820</v>
      </c>
      <c r="D539" s="2">
        <f t="shared" si="777"/>
        <v>1172100</v>
      </c>
      <c r="E539" s="2">
        <f>700*390.7</f>
        <v>273490</v>
      </c>
      <c r="F539" s="2">
        <f>1300*390.7</f>
        <v>507910</v>
      </c>
      <c r="G539" s="2">
        <f>300*390.7</f>
        <v>117210</v>
      </c>
      <c r="H539" s="2">
        <f>400*390.7</f>
        <v>156280</v>
      </c>
      <c r="I539" s="2">
        <f>300*390.7</f>
        <v>117210</v>
      </c>
      <c r="J539" s="2">
        <v>0</v>
      </c>
      <c r="K539" s="21">
        <v>0</v>
      </c>
      <c r="L539" s="2">
        <v>0</v>
      </c>
      <c r="M539" s="18">
        <v>358</v>
      </c>
      <c r="N539" s="2">
        <f t="shared" si="778"/>
        <v>2362800</v>
      </c>
      <c r="O539" s="2">
        <v>0</v>
      </c>
      <c r="P539" s="2">
        <v>0</v>
      </c>
      <c r="Q539" s="18">
        <v>430.6</v>
      </c>
      <c r="R539" s="2">
        <f t="shared" si="760"/>
        <v>1377920</v>
      </c>
      <c r="S539" s="2">
        <v>0</v>
      </c>
      <c r="T539" s="2">
        <v>100000</v>
      </c>
      <c r="U539" s="6">
        <f t="shared" si="779"/>
        <v>6600</v>
      </c>
      <c r="V539" s="1"/>
      <c r="W539" s="1"/>
      <c r="X539" s="1"/>
      <c r="Y539" s="1"/>
      <c r="Z539" s="1"/>
      <c r="AA539" s="3"/>
    </row>
    <row r="540" spans="1:28" ht="45" customHeight="1" x14ac:dyDescent="0.25">
      <c r="A540" s="43" t="s">
        <v>300</v>
      </c>
      <c r="B540" s="43"/>
      <c r="C540" s="1">
        <f>SUM(C541:C542)</f>
        <v>10194960</v>
      </c>
      <c r="D540" s="1">
        <f t="shared" ref="D540:T540" si="780">SUM(D541:D542)</f>
        <v>2502000</v>
      </c>
      <c r="E540" s="1">
        <f t="shared" si="780"/>
        <v>583800</v>
      </c>
      <c r="F540" s="1">
        <f t="shared" si="780"/>
        <v>1084200</v>
      </c>
      <c r="G540" s="1">
        <f t="shared" si="780"/>
        <v>250200</v>
      </c>
      <c r="H540" s="1">
        <f t="shared" si="780"/>
        <v>333600</v>
      </c>
      <c r="I540" s="1">
        <f t="shared" si="780"/>
        <v>250200</v>
      </c>
      <c r="J540" s="1">
        <f t="shared" si="780"/>
        <v>0</v>
      </c>
      <c r="K540" s="33">
        <f t="shared" si="780"/>
        <v>0</v>
      </c>
      <c r="L540" s="1">
        <f t="shared" si="780"/>
        <v>0</v>
      </c>
      <c r="M540" s="1">
        <f t="shared" si="780"/>
        <v>716</v>
      </c>
      <c r="N540" s="1">
        <f t="shared" si="780"/>
        <v>4725600</v>
      </c>
      <c r="O540" s="1">
        <f t="shared" si="780"/>
        <v>0</v>
      </c>
      <c r="P540" s="1">
        <f t="shared" si="780"/>
        <v>0</v>
      </c>
      <c r="Q540" s="1">
        <f t="shared" si="780"/>
        <v>864.8</v>
      </c>
      <c r="R540" s="1">
        <f t="shared" si="780"/>
        <v>2767360</v>
      </c>
      <c r="S540" s="1">
        <f t="shared" si="780"/>
        <v>0</v>
      </c>
      <c r="T540" s="1">
        <f t="shared" si="780"/>
        <v>200000</v>
      </c>
      <c r="U540" s="3" t="e">
        <f>C540+#REF!+#REF!</f>
        <v>#REF!</v>
      </c>
    </row>
    <row r="541" spans="1:28" ht="22.9" customHeight="1" x14ac:dyDescent="0.25">
      <c r="A541" s="39" t="s">
        <v>1593</v>
      </c>
      <c r="B541" s="9" t="s">
        <v>301</v>
      </c>
      <c r="C541" s="7">
        <f t="shared" ref="C541:C542" si="781">D541+L541+N541+P541+R541+S541+T541</f>
        <v>5097480</v>
      </c>
      <c r="D541" s="2">
        <f t="shared" ref="D541:D542" si="782">SUM(E541:J541)</f>
        <v>1251000</v>
      </c>
      <c r="E541" s="2">
        <f>700*417</f>
        <v>291900</v>
      </c>
      <c r="F541" s="2">
        <f>1300*417</f>
        <v>542100</v>
      </c>
      <c r="G541" s="2">
        <f>300*417</f>
        <v>125100</v>
      </c>
      <c r="H541" s="2">
        <f>400*417</f>
        <v>166800</v>
      </c>
      <c r="I541" s="2">
        <f>300*417</f>
        <v>125100</v>
      </c>
      <c r="J541" s="2">
        <v>0</v>
      </c>
      <c r="K541" s="21">
        <v>0</v>
      </c>
      <c r="L541" s="2">
        <v>0</v>
      </c>
      <c r="M541" s="18">
        <v>358</v>
      </c>
      <c r="N541" s="2">
        <f t="shared" ref="N541:N542" si="783">M541*6600</f>
        <v>2362800</v>
      </c>
      <c r="O541" s="2">
        <v>0</v>
      </c>
      <c r="P541" s="2">
        <v>0</v>
      </c>
      <c r="Q541" s="18">
        <v>432.4</v>
      </c>
      <c r="R541" s="2">
        <f t="shared" si="760"/>
        <v>1383680</v>
      </c>
      <c r="S541" s="2">
        <v>0</v>
      </c>
      <c r="T541" s="2">
        <v>100000</v>
      </c>
      <c r="U541" s="6">
        <f t="shared" ref="U541:U542" si="784">N541/M541</f>
        <v>6600</v>
      </c>
      <c r="V541" s="1"/>
      <c r="W541" s="1"/>
      <c r="X541" s="1"/>
      <c r="Y541" s="1"/>
      <c r="Z541" s="1"/>
      <c r="AA541" s="3"/>
    </row>
    <row r="542" spans="1:28" ht="22.9" customHeight="1" x14ac:dyDescent="0.25">
      <c r="A542" s="39" t="s">
        <v>1594</v>
      </c>
      <c r="B542" s="9" t="s">
        <v>302</v>
      </c>
      <c r="C542" s="7">
        <f t="shared" si="781"/>
        <v>5097480</v>
      </c>
      <c r="D542" s="2">
        <f t="shared" si="782"/>
        <v>1251000</v>
      </c>
      <c r="E542" s="2">
        <f>700*417</f>
        <v>291900</v>
      </c>
      <c r="F542" s="2">
        <f>1300*417</f>
        <v>542100</v>
      </c>
      <c r="G542" s="2">
        <f>300*417</f>
        <v>125100</v>
      </c>
      <c r="H542" s="2">
        <f>400*417</f>
        <v>166800</v>
      </c>
      <c r="I542" s="2">
        <f>300*417</f>
        <v>125100</v>
      </c>
      <c r="J542" s="2">
        <v>0</v>
      </c>
      <c r="K542" s="21">
        <v>0</v>
      </c>
      <c r="L542" s="2">
        <v>0</v>
      </c>
      <c r="M542" s="18">
        <v>358</v>
      </c>
      <c r="N542" s="2">
        <f t="shared" si="783"/>
        <v>2362800</v>
      </c>
      <c r="O542" s="2">
        <v>0</v>
      </c>
      <c r="P542" s="2">
        <v>0</v>
      </c>
      <c r="Q542" s="18">
        <v>432.4</v>
      </c>
      <c r="R542" s="2">
        <f t="shared" si="760"/>
        <v>1383680</v>
      </c>
      <c r="S542" s="2">
        <v>0</v>
      </c>
      <c r="T542" s="2">
        <v>100000</v>
      </c>
      <c r="U542" s="6">
        <f t="shared" si="784"/>
        <v>6600</v>
      </c>
      <c r="V542" s="1"/>
      <c r="W542" s="1"/>
      <c r="X542" s="1"/>
      <c r="Y542" s="1"/>
      <c r="Z542" s="1"/>
      <c r="AA542" s="3"/>
    </row>
    <row r="543" spans="1:28" ht="45" customHeight="1" x14ac:dyDescent="0.25">
      <c r="A543" s="43" t="s">
        <v>303</v>
      </c>
      <c r="B543" s="43"/>
      <c r="C543" s="1">
        <f>SUM(C544)</f>
        <v>1337800</v>
      </c>
      <c r="D543" s="1">
        <f t="shared" ref="D543:T543" si="785">SUM(D544)</f>
        <v>1237800</v>
      </c>
      <c r="E543" s="1">
        <f t="shared" si="785"/>
        <v>288820</v>
      </c>
      <c r="F543" s="1">
        <f t="shared" si="785"/>
        <v>536380</v>
      </c>
      <c r="G543" s="1">
        <f t="shared" si="785"/>
        <v>123780</v>
      </c>
      <c r="H543" s="1">
        <f t="shared" si="785"/>
        <v>165040</v>
      </c>
      <c r="I543" s="1">
        <f t="shared" si="785"/>
        <v>123780</v>
      </c>
      <c r="J543" s="1">
        <f t="shared" si="785"/>
        <v>0</v>
      </c>
      <c r="K543" s="33">
        <f t="shared" si="785"/>
        <v>0</v>
      </c>
      <c r="L543" s="1">
        <f t="shared" si="785"/>
        <v>0</v>
      </c>
      <c r="M543" s="1">
        <f t="shared" si="785"/>
        <v>0</v>
      </c>
      <c r="N543" s="1">
        <f t="shared" si="785"/>
        <v>0</v>
      </c>
      <c r="O543" s="1">
        <f t="shared" si="785"/>
        <v>0</v>
      </c>
      <c r="P543" s="1">
        <f t="shared" si="785"/>
        <v>0</v>
      </c>
      <c r="Q543" s="1">
        <f t="shared" si="785"/>
        <v>0</v>
      </c>
      <c r="R543" s="1">
        <f t="shared" si="785"/>
        <v>0</v>
      </c>
      <c r="S543" s="1">
        <f t="shared" si="785"/>
        <v>0</v>
      </c>
      <c r="T543" s="1">
        <f t="shared" si="785"/>
        <v>100000</v>
      </c>
      <c r="U543" s="3" t="e">
        <f>C543+#REF!+#REF!</f>
        <v>#REF!</v>
      </c>
    </row>
    <row r="544" spans="1:28" ht="22.9" customHeight="1" x14ac:dyDescent="0.25">
      <c r="A544" s="39" t="s">
        <v>1595</v>
      </c>
      <c r="B544" s="9" t="s">
        <v>305</v>
      </c>
      <c r="C544" s="7">
        <f t="shared" ref="C544" si="786">D544+L544+N544+P544+R544+S544+T544</f>
        <v>1337800</v>
      </c>
      <c r="D544" s="2">
        <f t="shared" ref="D544" si="787">SUM(E544:J544)</f>
        <v>1237800</v>
      </c>
      <c r="E544" s="2">
        <f>700*412.6</f>
        <v>288820</v>
      </c>
      <c r="F544" s="2">
        <f>1300*412.6</f>
        <v>536380</v>
      </c>
      <c r="G544" s="2">
        <f>300*412.6</f>
        <v>123780</v>
      </c>
      <c r="H544" s="2">
        <f>400*412.6</f>
        <v>165040</v>
      </c>
      <c r="I544" s="2">
        <f>300*412.6</f>
        <v>123780</v>
      </c>
      <c r="J544" s="2">
        <v>0</v>
      </c>
      <c r="K544" s="33"/>
      <c r="L544" s="1"/>
      <c r="M544" s="1"/>
      <c r="N544" s="1"/>
      <c r="O544" s="1"/>
      <c r="P544" s="1"/>
      <c r="Q544" s="1"/>
      <c r="R544" s="1"/>
      <c r="S544" s="1"/>
      <c r="T544" s="2">
        <v>100000</v>
      </c>
      <c r="U544" s="6" t="e">
        <f t="shared" ref="U544" si="788">N544/M544</f>
        <v>#DIV/0!</v>
      </c>
      <c r="V544" s="1"/>
      <c r="W544" s="1"/>
      <c r="X544" s="1"/>
      <c r="Y544" s="1"/>
      <c r="Z544" s="1"/>
      <c r="AA544" s="3"/>
    </row>
    <row r="545" spans="1:29" ht="45" customHeight="1" x14ac:dyDescent="0.25">
      <c r="A545" s="43" t="s">
        <v>307</v>
      </c>
      <c r="B545" s="43"/>
      <c r="C545" s="1">
        <f>SUM(C546:C548)</f>
        <v>14753700</v>
      </c>
      <c r="D545" s="1">
        <f t="shared" ref="D545:T545" si="789">SUM(D546:D548)</f>
        <v>3446700</v>
      </c>
      <c r="E545" s="1">
        <f t="shared" si="789"/>
        <v>804230</v>
      </c>
      <c r="F545" s="1">
        <f t="shared" si="789"/>
        <v>1493570</v>
      </c>
      <c r="G545" s="1">
        <f t="shared" si="789"/>
        <v>344670</v>
      </c>
      <c r="H545" s="1">
        <f t="shared" si="789"/>
        <v>459560</v>
      </c>
      <c r="I545" s="1">
        <f t="shared" si="789"/>
        <v>344670</v>
      </c>
      <c r="J545" s="1">
        <f t="shared" si="789"/>
        <v>0</v>
      </c>
      <c r="K545" s="33">
        <f t="shared" si="789"/>
        <v>0</v>
      </c>
      <c r="L545" s="1">
        <f t="shared" si="789"/>
        <v>0</v>
      </c>
      <c r="M545" s="1">
        <f t="shared" si="789"/>
        <v>1065</v>
      </c>
      <c r="N545" s="1">
        <f t="shared" si="789"/>
        <v>7029000</v>
      </c>
      <c r="O545" s="1">
        <f t="shared" si="789"/>
        <v>100</v>
      </c>
      <c r="P545" s="1">
        <f t="shared" si="789"/>
        <v>120000</v>
      </c>
      <c r="Q545" s="1">
        <f t="shared" si="789"/>
        <v>1065</v>
      </c>
      <c r="R545" s="1">
        <f t="shared" si="789"/>
        <v>3408000</v>
      </c>
      <c r="S545" s="1">
        <f t="shared" si="789"/>
        <v>450000</v>
      </c>
      <c r="T545" s="1">
        <f t="shared" si="789"/>
        <v>300000</v>
      </c>
      <c r="U545" s="3" t="e">
        <f>C545+#REF!+#REF!</f>
        <v>#REF!</v>
      </c>
    </row>
    <row r="546" spans="1:29" ht="22.9" customHeight="1" x14ac:dyDescent="0.25">
      <c r="A546" s="39" t="s">
        <v>1596</v>
      </c>
      <c r="B546" s="9" t="s">
        <v>310</v>
      </c>
      <c r="C546" s="7">
        <f t="shared" ref="C546:C548" si="790">D546+L546+N546+P546+R546+S546+T546</f>
        <v>4855800</v>
      </c>
      <c r="D546" s="2">
        <f t="shared" ref="D546:D548" si="791">SUM(E546:J546)</f>
        <v>1066800</v>
      </c>
      <c r="E546" s="2">
        <f>700*355.6</f>
        <v>248920.00000000003</v>
      </c>
      <c r="F546" s="2">
        <f>1300*355.6</f>
        <v>462280.00000000006</v>
      </c>
      <c r="G546" s="2">
        <f>300*355.6</f>
        <v>106680</v>
      </c>
      <c r="H546" s="2">
        <f>400*355.6</f>
        <v>142240</v>
      </c>
      <c r="I546" s="2">
        <f>300*355.6</f>
        <v>106680</v>
      </c>
      <c r="J546" s="2">
        <v>0</v>
      </c>
      <c r="K546" s="21">
        <v>0</v>
      </c>
      <c r="L546" s="2">
        <v>0</v>
      </c>
      <c r="M546" s="2">
        <v>355</v>
      </c>
      <c r="N546" s="2">
        <f t="shared" ref="N546:N554" si="792">M546*6600</f>
        <v>2343000</v>
      </c>
      <c r="O546" s="2">
        <v>50</v>
      </c>
      <c r="P546" s="2">
        <f t="shared" ref="P546:P547" si="793">O546*1200</f>
        <v>60000</v>
      </c>
      <c r="Q546" s="2">
        <v>355</v>
      </c>
      <c r="R546" s="2">
        <f t="shared" ref="R546:R554" si="794">Q546*3200</f>
        <v>1136000</v>
      </c>
      <c r="S546" s="2">
        <v>150000</v>
      </c>
      <c r="T546" s="2">
        <v>100000</v>
      </c>
      <c r="U546" s="6">
        <f t="shared" ref="U546:U548" si="795">N546/M546</f>
        <v>6600</v>
      </c>
      <c r="V546" s="1"/>
      <c r="W546" s="1"/>
      <c r="X546" s="1"/>
      <c r="Y546" s="1"/>
      <c r="Z546" s="1"/>
      <c r="AA546" s="3"/>
    </row>
    <row r="547" spans="1:29" ht="22.9" customHeight="1" x14ac:dyDescent="0.25">
      <c r="A547" s="39" t="s">
        <v>1597</v>
      </c>
      <c r="B547" s="9" t="s">
        <v>311</v>
      </c>
      <c r="C547" s="7">
        <f t="shared" si="790"/>
        <v>4908900</v>
      </c>
      <c r="D547" s="2">
        <f t="shared" si="791"/>
        <v>1119900</v>
      </c>
      <c r="E547" s="2">
        <f>700*373.3</f>
        <v>261310</v>
      </c>
      <c r="F547" s="2">
        <f>1300*373.3</f>
        <v>485290</v>
      </c>
      <c r="G547" s="2">
        <f>300*373.3</f>
        <v>111990</v>
      </c>
      <c r="H547" s="2">
        <f>400*373.3</f>
        <v>149320</v>
      </c>
      <c r="I547" s="2">
        <f>300*373.3</f>
        <v>111990</v>
      </c>
      <c r="J547" s="2">
        <v>0</v>
      </c>
      <c r="K547" s="21">
        <v>0</v>
      </c>
      <c r="L547" s="2">
        <v>0</v>
      </c>
      <c r="M547" s="2">
        <v>355</v>
      </c>
      <c r="N547" s="2">
        <f t="shared" si="792"/>
        <v>2343000</v>
      </c>
      <c r="O547" s="2">
        <v>50</v>
      </c>
      <c r="P547" s="2">
        <f t="shared" si="793"/>
        <v>60000</v>
      </c>
      <c r="Q547" s="2">
        <v>355</v>
      </c>
      <c r="R547" s="2">
        <f t="shared" si="794"/>
        <v>1136000</v>
      </c>
      <c r="S547" s="2">
        <v>150000</v>
      </c>
      <c r="T547" s="2">
        <v>100000</v>
      </c>
      <c r="U547" s="6">
        <f t="shared" si="795"/>
        <v>6600</v>
      </c>
      <c r="V547" s="1"/>
      <c r="W547" s="1"/>
      <c r="X547" s="1"/>
      <c r="Y547" s="1"/>
      <c r="Z547" s="1"/>
      <c r="AA547" s="3"/>
    </row>
    <row r="548" spans="1:29" ht="22.9" customHeight="1" x14ac:dyDescent="0.25">
      <c r="A548" s="39" t="s">
        <v>1598</v>
      </c>
      <c r="B548" s="9" t="s">
        <v>312</v>
      </c>
      <c r="C548" s="7">
        <f t="shared" si="790"/>
        <v>4989000</v>
      </c>
      <c r="D548" s="2">
        <f t="shared" si="791"/>
        <v>1260000</v>
      </c>
      <c r="E548" s="2">
        <f>700*420</f>
        <v>294000</v>
      </c>
      <c r="F548" s="2">
        <f>1300*420</f>
        <v>546000</v>
      </c>
      <c r="G548" s="2">
        <f>300*420</f>
        <v>126000</v>
      </c>
      <c r="H548" s="2">
        <f>400*420</f>
        <v>168000</v>
      </c>
      <c r="I548" s="2">
        <f>300*420</f>
        <v>126000</v>
      </c>
      <c r="J548" s="2">
        <v>0</v>
      </c>
      <c r="K548" s="21">
        <v>0</v>
      </c>
      <c r="L548" s="2">
        <v>0</v>
      </c>
      <c r="M548" s="2">
        <v>355</v>
      </c>
      <c r="N548" s="2">
        <f t="shared" si="792"/>
        <v>2343000</v>
      </c>
      <c r="O548" s="2">
        <v>0</v>
      </c>
      <c r="P548" s="2">
        <v>0</v>
      </c>
      <c r="Q548" s="2">
        <v>355</v>
      </c>
      <c r="R548" s="2">
        <f t="shared" si="794"/>
        <v>1136000</v>
      </c>
      <c r="S548" s="2">
        <v>150000</v>
      </c>
      <c r="T548" s="2">
        <v>100000</v>
      </c>
      <c r="U548" s="6">
        <f t="shared" si="795"/>
        <v>6600</v>
      </c>
      <c r="V548" s="1"/>
      <c r="W548" s="1"/>
      <c r="X548" s="1"/>
      <c r="Y548" s="1"/>
      <c r="Z548" s="1"/>
      <c r="AA548" s="3"/>
    </row>
    <row r="549" spans="1:29" ht="45" customHeight="1" x14ac:dyDescent="0.25">
      <c r="A549" s="43" t="s">
        <v>316</v>
      </c>
      <c r="B549" s="43"/>
      <c r="C549" s="1">
        <f>SUM(C550:C551)</f>
        <v>7731520</v>
      </c>
      <c r="D549" s="1">
        <f t="shared" ref="D549:T549" si="796">SUM(D550:D551)</f>
        <v>541520</v>
      </c>
      <c r="E549" s="1">
        <f t="shared" si="796"/>
        <v>541520</v>
      </c>
      <c r="F549" s="1">
        <f t="shared" si="796"/>
        <v>0</v>
      </c>
      <c r="G549" s="1">
        <f t="shared" si="796"/>
        <v>0</v>
      </c>
      <c r="H549" s="1">
        <f t="shared" si="796"/>
        <v>0</v>
      </c>
      <c r="I549" s="1">
        <f t="shared" si="796"/>
        <v>0</v>
      </c>
      <c r="J549" s="1">
        <f t="shared" si="796"/>
        <v>0</v>
      </c>
      <c r="K549" s="33">
        <f t="shared" si="796"/>
        <v>0</v>
      </c>
      <c r="L549" s="1">
        <f t="shared" si="796"/>
        <v>0</v>
      </c>
      <c r="M549" s="1">
        <f t="shared" si="796"/>
        <v>682</v>
      </c>
      <c r="N549" s="1">
        <f t="shared" si="796"/>
        <v>4501200</v>
      </c>
      <c r="O549" s="1">
        <f t="shared" si="796"/>
        <v>0</v>
      </c>
      <c r="P549" s="1">
        <f t="shared" si="796"/>
        <v>0</v>
      </c>
      <c r="Q549" s="1">
        <f t="shared" si="796"/>
        <v>684</v>
      </c>
      <c r="R549" s="1">
        <f t="shared" si="796"/>
        <v>2188800</v>
      </c>
      <c r="S549" s="1">
        <f t="shared" si="796"/>
        <v>300000</v>
      </c>
      <c r="T549" s="1">
        <f t="shared" si="796"/>
        <v>200000</v>
      </c>
      <c r="U549" s="3" t="e">
        <f>C549+#REF!+#REF!</f>
        <v>#REF!</v>
      </c>
    </row>
    <row r="550" spans="1:29" ht="22.9" customHeight="1" x14ac:dyDescent="0.25">
      <c r="A550" s="39" t="s">
        <v>1599</v>
      </c>
      <c r="B550" s="9" t="s">
        <v>319</v>
      </c>
      <c r="C550" s="7">
        <f t="shared" ref="C550:C551" si="797">D550+L550+N550+P550+R550+S550+T550</f>
        <v>3897320</v>
      </c>
      <c r="D550" s="2">
        <f t="shared" ref="D550:D551" si="798">SUM(E550:J550)</f>
        <v>274120</v>
      </c>
      <c r="E550" s="2">
        <f>700*391.6</f>
        <v>274120</v>
      </c>
      <c r="F550" s="2">
        <v>0</v>
      </c>
      <c r="G550" s="2">
        <v>0</v>
      </c>
      <c r="H550" s="2">
        <v>0</v>
      </c>
      <c r="I550" s="2">
        <v>0</v>
      </c>
      <c r="J550" s="2">
        <v>0</v>
      </c>
      <c r="K550" s="21">
        <v>0</v>
      </c>
      <c r="L550" s="2">
        <v>0</v>
      </c>
      <c r="M550" s="18">
        <v>354</v>
      </c>
      <c r="N550" s="2">
        <f t="shared" si="792"/>
        <v>2336400</v>
      </c>
      <c r="O550" s="2">
        <v>0</v>
      </c>
      <c r="P550" s="2">
        <v>0</v>
      </c>
      <c r="Q550" s="18">
        <v>324</v>
      </c>
      <c r="R550" s="2">
        <f t="shared" si="794"/>
        <v>1036800</v>
      </c>
      <c r="S550" s="2">
        <v>150000</v>
      </c>
      <c r="T550" s="2">
        <v>100000</v>
      </c>
      <c r="U550" s="6">
        <f t="shared" ref="U550:U551" si="799">N550/M550</f>
        <v>6600</v>
      </c>
      <c r="V550" s="1"/>
      <c r="W550" s="1"/>
      <c r="X550" s="1"/>
      <c r="Y550" s="1"/>
      <c r="Z550" s="1"/>
      <c r="AA550" s="3"/>
    </row>
    <row r="551" spans="1:29" ht="22.9" customHeight="1" x14ac:dyDescent="0.25">
      <c r="A551" s="39" t="s">
        <v>1600</v>
      </c>
      <c r="B551" s="9" t="s">
        <v>320</v>
      </c>
      <c r="C551" s="7">
        <f t="shared" si="797"/>
        <v>3834200</v>
      </c>
      <c r="D551" s="2">
        <f t="shared" si="798"/>
        <v>267400</v>
      </c>
      <c r="E551" s="2">
        <f>700*382</f>
        <v>267400</v>
      </c>
      <c r="F551" s="2">
        <v>0</v>
      </c>
      <c r="G551" s="2">
        <v>0</v>
      </c>
      <c r="H551" s="2">
        <v>0</v>
      </c>
      <c r="I551" s="2">
        <v>0</v>
      </c>
      <c r="J551" s="2">
        <v>0</v>
      </c>
      <c r="K551" s="21">
        <v>0</v>
      </c>
      <c r="L551" s="2">
        <v>0</v>
      </c>
      <c r="M551" s="18">
        <v>328</v>
      </c>
      <c r="N551" s="2">
        <f t="shared" si="792"/>
        <v>2164800</v>
      </c>
      <c r="O551" s="2">
        <v>0</v>
      </c>
      <c r="P551" s="2">
        <v>0</v>
      </c>
      <c r="Q551" s="18">
        <v>360</v>
      </c>
      <c r="R551" s="2">
        <f t="shared" si="794"/>
        <v>1152000</v>
      </c>
      <c r="S551" s="2">
        <v>150000</v>
      </c>
      <c r="T551" s="2">
        <v>100000</v>
      </c>
      <c r="U551" s="6">
        <f t="shared" si="799"/>
        <v>6600</v>
      </c>
      <c r="V551" s="1"/>
      <c r="W551" s="1"/>
      <c r="X551" s="1"/>
      <c r="Y551" s="1"/>
      <c r="Z551" s="1"/>
      <c r="AA551" s="3"/>
    </row>
    <row r="552" spans="1:29" ht="45" customHeight="1" x14ac:dyDescent="0.25">
      <c r="A552" s="43" t="s">
        <v>323</v>
      </c>
      <c r="B552" s="43"/>
      <c r="C552" s="1">
        <f>SUM(C553:C554)</f>
        <v>10255120</v>
      </c>
      <c r="D552" s="1">
        <f t="shared" ref="D552:T552" si="800">SUM(D553:D554)</f>
        <v>2963100</v>
      </c>
      <c r="E552" s="1">
        <f t="shared" si="800"/>
        <v>691390</v>
      </c>
      <c r="F552" s="1">
        <f t="shared" si="800"/>
        <v>1284010</v>
      </c>
      <c r="G552" s="1">
        <f t="shared" si="800"/>
        <v>296310</v>
      </c>
      <c r="H552" s="1">
        <f t="shared" si="800"/>
        <v>395080</v>
      </c>
      <c r="I552" s="1">
        <f t="shared" si="800"/>
        <v>296310</v>
      </c>
      <c r="J552" s="1">
        <f t="shared" si="800"/>
        <v>0</v>
      </c>
      <c r="K552" s="33">
        <f t="shared" si="800"/>
        <v>0</v>
      </c>
      <c r="L552" s="1">
        <f t="shared" si="800"/>
        <v>0</v>
      </c>
      <c r="M552" s="1">
        <f t="shared" si="800"/>
        <v>593.70000000000005</v>
      </c>
      <c r="N552" s="1">
        <f t="shared" si="800"/>
        <v>3918420</v>
      </c>
      <c r="O552" s="1">
        <f t="shared" si="800"/>
        <v>0</v>
      </c>
      <c r="P552" s="1">
        <f t="shared" si="800"/>
        <v>0</v>
      </c>
      <c r="Q552" s="1">
        <f t="shared" si="800"/>
        <v>991.75</v>
      </c>
      <c r="R552" s="1">
        <f t="shared" si="800"/>
        <v>3173600</v>
      </c>
      <c r="S552" s="1">
        <f t="shared" si="800"/>
        <v>0</v>
      </c>
      <c r="T552" s="1">
        <f t="shared" si="800"/>
        <v>200000</v>
      </c>
      <c r="U552" s="3" t="e">
        <f>C552+#REF!+#REF!</f>
        <v>#REF!</v>
      </c>
    </row>
    <row r="553" spans="1:29" ht="22.9" customHeight="1" x14ac:dyDescent="0.25">
      <c r="A553" s="39" t="s">
        <v>1601</v>
      </c>
      <c r="B553" s="9" t="s">
        <v>325</v>
      </c>
      <c r="C553" s="7">
        <f t="shared" ref="C553:C554" si="801">D553+L553+N553+P553+R553+S553+T553</f>
        <v>4796260</v>
      </c>
      <c r="D553" s="2">
        <f t="shared" ref="D553:D554" si="802">SUM(E553:J553)</f>
        <v>1277100</v>
      </c>
      <c r="E553" s="2">
        <f>700*425.7</f>
        <v>297990</v>
      </c>
      <c r="F553" s="2">
        <f>1300*425.7</f>
        <v>553410</v>
      </c>
      <c r="G553" s="2">
        <f>300*425.7</f>
        <v>127710</v>
      </c>
      <c r="H553" s="2">
        <f>400*425.7</f>
        <v>170280</v>
      </c>
      <c r="I553" s="2">
        <f>300*425.7</f>
        <v>127710</v>
      </c>
      <c r="J553" s="2">
        <v>0</v>
      </c>
      <c r="K553" s="21">
        <v>0</v>
      </c>
      <c r="L553" s="14">
        <v>0</v>
      </c>
      <c r="M553" s="18">
        <v>287.8</v>
      </c>
      <c r="N553" s="2">
        <f t="shared" si="792"/>
        <v>1899480</v>
      </c>
      <c r="O553" s="18">
        <v>0</v>
      </c>
      <c r="P553" s="18">
        <v>0</v>
      </c>
      <c r="Q553" s="18">
        <v>474.9</v>
      </c>
      <c r="R553" s="2">
        <f t="shared" si="794"/>
        <v>1519680</v>
      </c>
      <c r="S553" s="26">
        <v>0</v>
      </c>
      <c r="T553" s="2">
        <v>100000</v>
      </c>
      <c r="U553" s="6">
        <f t="shared" ref="U553:U554" si="803">N553/M553</f>
        <v>6600</v>
      </c>
      <c r="V553" s="1"/>
      <c r="W553" s="1"/>
      <c r="X553" s="1"/>
      <c r="Y553" s="1"/>
      <c r="Z553" s="1"/>
      <c r="AA553" s="3"/>
    </row>
    <row r="554" spans="1:29" ht="22.9" customHeight="1" x14ac:dyDescent="0.25">
      <c r="A554" s="39" t="s">
        <v>1602</v>
      </c>
      <c r="B554" s="9" t="s">
        <v>326</v>
      </c>
      <c r="C554" s="7">
        <f t="shared" si="801"/>
        <v>5458860</v>
      </c>
      <c r="D554" s="2">
        <f t="shared" si="802"/>
        <v>1686000</v>
      </c>
      <c r="E554" s="2">
        <f>700*562</f>
        <v>393400</v>
      </c>
      <c r="F554" s="2">
        <f>1300*562</f>
        <v>730600</v>
      </c>
      <c r="G554" s="2">
        <f>300*562</f>
        <v>168600</v>
      </c>
      <c r="H554" s="2">
        <f>400*562</f>
        <v>224800</v>
      </c>
      <c r="I554" s="2">
        <f>300*562</f>
        <v>168600</v>
      </c>
      <c r="J554" s="2">
        <v>0</v>
      </c>
      <c r="K554" s="21">
        <v>0</v>
      </c>
      <c r="L554" s="14">
        <v>0</v>
      </c>
      <c r="M554" s="18">
        <v>305.89999999999998</v>
      </c>
      <c r="N554" s="2">
        <f t="shared" si="792"/>
        <v>2018939.9999999998</v>
      </c>
      <c r="O554" s="18">
        <v>0</v>
      </c>
      <c r="P554" s="18">
        <v>0</v>
      </c>
      <c r="Q554" s="18">
        <v>516.85</v>
      </c>
      <c r="R554" s="2">
        <f t="shared" si="794"/>
        <v>1653920</v>
      </c>
      <c r="S554" s="26">
        <v>0</v>
      </c>
      <c r="T554" s="2">
        <v>100000</v>
      </c>
      <c r="U554" s="6">
        <f t="shared" si="803"/>
        <v>6600</v>
      </c>
      <c r="V554" s="1"/>
      <c r="W554" s="1"/>
      <c r="X554" s="1"/>
      <c r="Y554" s="1"/>
      <c r="Z554" s="1"/>
      <c r="AA554" s="3"/>
    </row>
    <row r="555" spans="1:29" ht="45" customHeight="1" x14ac:dyDescent="0.25">
      <c r="A555" s="43" t="s">
        <v>329</v>
      </c>
      <c r="B555" s="43"/>
      <c r="C555" s="1">
        <f>SUM(C556:C557)</f>
        <v>2217600</v>
      </c>
      <c r="D555" s="1">
        <f t="shared" ref="D555:T555" si="804">SUM(D556:D557)</f>
        <v>0</v>
      </c>
      <c r="E555" s="1">
        <f t="shared" si="804"/>
        <v>0</v>
      </c>
      <c r="F555" s="1">
        <f t="shared" si="804"/>
        <v>0</v>
      </c>
      <c r="G555" s="1">
        <f t="shared" si="804"/>
        <v>0</v>
      </c>
      <c r="H555" s="1">
        <f t="shared" si="804"/>
        <v>0</v>
      </c>
      <c r="I555" s="1">
        <f t="shared" si="804"/>
        <v>0</v>
      </c>
      <c r="J555" s="1">
        <f t="shared" si="804"/>
        <v>0</v>
      </c>
      <c r="K555" s="33">
        <f t="shared" si="804"/>
        <v>0</v>
      </c>
      <c r="L555" s="1">
        <f t="shared" si="804"/>
        <v>0</v>
      </c>
      <c r="M555" s="27">
        <f t="shared" si="804"/>
        <v>336</v>
      </c>
      <c r="N555" s="27">
        <f t="shared" si="804"/>
        <v>2217600</v>
      </c>
      <c r="O555" s="27">
        <f t="shared" si="804"/>
        <v>0</v>
      </c>
      <c r="P555" s="27">
        <f t="shared" si="804"/>
        <v>0</v>
      </c>
      <c r="Q555" s="27">
        <f t="shared" si="804"/>
        <v>0</v>
      </c>
      <c r="R555" s="27">
        <f t="shared" si="804"/>
        <v>0</v>
      </c>
      <c r="S555" s="1">
        <f t="shared" si="804"/>
        <v>0</v>
      </c>
      <c r="T555" s="1">
        <f t="shared" si="804"/>
        <v>0</v>
      </c>
      <c r="U555" s="3" t="e">
        <f>C555+#REF!+#REF!</f>
        <v>#REF!</v>
      </c>
    </row>
    <row r="556" spans="1:29" ht="22.9" customHeight="1" x14ac:dyDescent="0.25">
      <c r="A556" s="39" t="s">
        <v>1603</v>
      </c>
      <c r="B556" s="9" t="s">
        <v>330</v>
      </c>
      <c r="C556" s="7">
        <f t="shared" ref="C556:C557" si="805">D556+L556+N556+P556+R556+S556+T556</f>
        <v>990000</v>
      </c>
      <c r="D556" s="2">
        <f t="shared" ref="D556:D557" si="806">SUM(E556:J556)</f>
        <v>0</v>
      </c>
      <c r="E556" s="2">
        <v>0</v>
      </c>
      <c r="F556" s="2">
        <v>0</v>
      </c>
      <c r="G556" s="2">
        <v>0</v>
      </c>
      <c r="H556" s="2">
        <v>0</v>
      </c>
      <c r="I556" s="2">
        <v>0</v>
      </c>
      <c r="J556" s="2">
        <v>0</v>
      </c>
      <c r="K556" s="21">
        <v>0</v>
      </c>
      <c r="L556" s="2">
        <v>0</v>
      </c>
      <c r="M556" s="2">
        <v>150</v>
      </c>
      <c r="N556" s="2">
        <f>M556*6600</f>
        <v>990000</v>
      </c>
      <c r="O556" s="2">
        <v>0</v>
      </c>
      <c r="P556" s="2">
        <v>0</v>
      </c>
      <c r="Q556" s="2">
        <v>0</v>
      </c>
      <c r="R556" s="2">
        <v>0</v>
      </c>
      <c r="S556" s="2">
        <v>0</v>
      </c>
      <c r="T556" s="2">
        <v>0</v>
      </c>
      <c r="U556" s="6">
        <f t="shared" ref="U556:U557" si="807">N556/M556</f>
        <v>6600</v>
      </c>
      <c r="V556" s="1"/>
      <c r="W556" s="1"/>
      <c r="X556" s="1"/>
      <c r="Y556" s="1"/>
      <c r="Z556" s="1"/>
      <c r="AA556" s="3"/>
    </row>
    <row r="557" spans="1:29" ht="22.9" customHeight="1" x14ac:dyDescent="0.25">
      <c r="A557" s="39" t="s">
        <v>1604</v>
      </c>
      <c r="B557" s="9" t="s">
        <v>331</v>
      </c>
      <c r="C557" s="7">
        <f t="shared" si="805"/>
        <v>1227600</v>
      </c>
      <c r="D557" s="2">
        <f t="shared" si="806"/>
        <v>0</v>
      </c>
      <c r="E557" s="2">
        <v>0</v>
      </c>
      <c r="F557" s="2">
        <v>0</v>
      </c>
      <c r="G557" s="2">
        <v>0</v>
      </c>
      <c r="H557" s="2">
        <v>0</v>
      </c>
      <c r="I557" s="2">
        <v>0</v>
      </c>
      <c r="J557" s="2">
        <v>0</v>
      </c>
      <c r="K557" s="21">
        <v>0</v>
      </c>
      <c r="L557" s="2">
        <v>0</v>
      </c>
      <c r="M557" s="2">
        <v>186</v>
      </c>
      <c r="N557" s="2">
        <f>M557*6600</f>
        <v>1227600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2">
        <v>0</v>
      </c>
      <c r="U557" s="6">
        <f t="shared" si="807"/>
        <v>6600</v>
      </c>
      <c r="V557" s="1"/>
      <c r="W557" s="1"/>
      <c r="X557" s="1"/>
      <c r="Y557" s="1"/>
      <c r="Z557" s="1"/>
      <c r="AA557" s="3"/>
    </row>
    <row r="558" spans="1:29" ht="45" customHeight="1" x14ac:dyDescent="0.25">
      <c r="A558" s="43" t="s">
        <v>338</v>
      </c>
      <c r="B558" s="43"/>
      <c r="C558" s="1">
        <f>SUM(C559:C563)</f>
        <v>32118350</v>
      </c>
      <c r="D558" s="1">
        <f t="shared" ref="D558:T558" si="808">SUM(D559:D563)</f>
        <v>9513630</v>
      </c>
      <c r="E558" s="1">
        <f t="shared" si="808"/>
        <v>2551150</v>
      </c>
      <c r="F558" s="1">
        <f t="shared" si="808"/>
        <v>4231240</v>
      </c>
      <c r="G558" s="1">
        <f t="shared" si="808"/>
        <v>976440</v>
      </c>
      <c r="H558" s="1">
        <f t="shared" si="808"/>
        <v>778360</v>
      </c>
      <c r="I558" s="1">
        <f t="shared" si="808"/>
        <v>976440</v>
      </c>
      <c r="J558" s="1">
        <f t="shared" si="808"/>
        <v>0</v>
      </c>
      <c r="K558" s="33">
        <f t="shared" si="808"/>
        <v>0</v>
      </c>
      <c r="L558" s="1">
        <f t="shared" si="808"/>
        <v>0</v>
      </c>
      <c r="M558" s="1">
        <f t="shared" si="808"/>
        <v>1664.96</v>
      </c>
      <c r="N558" s="1">
        <f t="shared" si="808"/>
        <v>9157280</v>
      </c>
      <c r="O558" s="1">
        <f t="shared" si="808"/>
        <v>0</v>
      </c>
      <c r="P558" s="1">
        <f t="shared" si="808"/>
        <v>0</v>
      </c>
      <c r="Q558" s="1">
        <f t="shared" si="808"/>
        <v>3999.2</v>
      </c>
      <c r="R558" s="1">
        <f t="shared" si="808"/>
        <v>12797440</v>
      </c>
      <c r="S558" s="1">
        <f t="shared" si="808"/>
        <v>150000</v>
      </c>
      <c r="T558" s="1">
        <f t="shared" si="808"/>
        <v>500000</v>
      </c>
      <c r="U558" s="3" t="e">
        <f>C558+#REF!+#REF!</f>
        <v>#REF!</v>
      </c>
    </row>
    <row r="559" spans="1:29" ht="22.9" customHeight="1" x14ac:dyDescent="0.25">
      <c r="A559" s="39" t="s">
        <v>1605</v>
      </c>
      <c r="B559" s="9" t="s">
        <v>343</v>
      </c>
      <c r="C559" s="7">
        <f>D559+L559+N559+P559+R559+S559+T559</f>
        <v>7384700</v>
      </c>
      <c r="D559" s="2">
        <f>SUM(E559:J559)</f>
        <v>1938000</v>
      </c>
      <c r="E559" s="2">
        <f>700*646</f>
        <v>452200</v>
      </c>
      <c r="F559" s="2">
        <f>1300*646</f>
        <v>839800</v>
      </c>
      <c r="G559" s="2">
        <f>300*646</f>
        <v>193800</v>
      </c>
      <c r="H559" s="2">
        <f>400*646</f>
        <v>258400</v>
      </c>
      <c r="I559" s="2">
        <f>300*646</f>
        <v>193800</v>
      </c>
      <c r="J559" s="2">
        <v>0</v>
      </c>
      <c r="K559" s="21">
        <v>0</v>
      </c>
      <c r="L559" s="2">
        <v>0</v>
      </c>
      <c r="M559" s="18">
        <v>569</v>
      </c>
      <c r="N559" s="18">
        <v>3129500</v>
      </c>
      <c r="O559" s="2">
        <v>0</v>
      </c>
      <c r="P559" s="2">
        <v>0</v>
      </c>
      <c r="Q559" s="18">
        <v>646</v>
      </c>
      <c r="R559" s="18">
        <f>Q559*3200</f>
        <v>2067200</v>
      </c>
      <c r="S559" s="18">
        <v>150000</v>
      </c>
      <c r="T559" s="18">
        <v>100000</v>
      </c>
      <c r="U559" s="6">
        <f t="shared" ref="U559:U563" si="809">N559/M559</f>
        <v>5500</v>
      </c>
      <c r="V559" s="1"/>
      <c r="W559" s="1"/>
      <c r="X559" s="1"/>
      <c r="Y559" s="1"/>
      <c r="Z559" s="1"/>
      <c r="AA559" s="1"/>
      <c r="AB559" s="1"/>
      <c r="AC559" s="3"/>
    </row>
    <row r="560" spans="1:29" ht="22.9" customHeight="1" x14ac:dyDescent="0.25">
      <c r="A560" s="39" t="s">
        <v>1606</v>
      </c>
      <c r="B560" s="9" t="s">
        <v>344</v>
      </c>
      <c r="C560" s="7">
        <f t="shared" ref="C560:C563" si="810">D560+L560+N560+P560+R560+S560+T560</f>
        <v>3918720</v>
      </c>
      <c r="D560" s="2">
        <f t="shared" ref="D560:D563" si="811">SUM(E560:J560)</f>
        <v>1711840</v>
      </c>
      <c r="E560" s="2">
        <f>700*658.4</f>
        <v>460880</v>
      </c>
      <c r="F560" s="2">
        <f>1300*658.4</f>
        <v>855920</v>
      </c>
      <c r="G560" s="2">
        <f>300*658.4</f>
        <v>197520</v>
      </c>
      <c r="H560" s="2">
        <v>0</v>
      </c>
      <c r="I560" s="2">
        <f>300*658.4</f>
        <v>197520</v>
      </c>
      <c r="J560" s="2">
        <v>0</v>
      </c>
      <c r="K560" s="21">
        <v>0</v>
      </c>
      <c r="L560" s="2">
        <v>0</v>
      </c>
      <c r="M560" s="2">
        <v>0</v>
      </c>
      <c r="N560" s="2">
        <v>0</v>
      </c>
      <c r="O560" s="2">
        <v>0</v>
      </c>
      <c r="P560" s="2">
        <v>0</v>
      </c>
      <c r="Q560" s="18">
        <v>658.4</v>
      </c>
      <c r="R560" s="18">
        <f t="shared" ref="R560:R563" si="812">Q560*3200</f>
        <v>2106880</v>
      </c>
      <c r="S560" s="2">
        <v>0</v>
      </c>
      <c r="T560" s="18">
        <v>100000</v>
      </c>
      <c r="U560" s="6" t="e">
        <f t="shared" si="809"/>
        <v>#DIV/0!</v>
      </c>
      <c r="V560" s="1"/>
      <c r="W560" s="1"/>
      <c r="X560" s="1"/>
      <c r="Y560" s="1"/>
      <c r="Z560" s="1"/>
      <c r="AA560" s="1"/>
      <c r="AB560" s="1"/>
      <c r="AC560" s="3"/>
    </row>
    <row r="561" spans="1:29" ht="22.9" customHeight="1" x14ac:dyDescent="0.25">
      <c r="A561" s="39" t="s">
        <v>1607</v>
      </c>
      <c r="B561" s="9" t="s">
        <v>345</v>
      </c>
      <c r="C561" s="7">
        <f t="shared" si="810"/>
        <v>6847630</v>
      </c>
      <c r="D561" s="2">
        <f t="shared" si="811"/>
        <v>1691300</v>
      </c>
      <c r="E561" s="2">
        <f>700*650.5</f>
        <v>455350</v>
      </c>
      <c r="F561" s="2">
        <f>1300*650.5</f>
        <v>845650</v>
      </c>
      <c r="G561" s="2">
        <f>300*650.5</f>
        <v>195150</v>
      </c>
      <c r="H561" s="2">
        <v>0</v>
      </c>
      <c r="I561" s="2">
        <f>300*650.5</f>
        <v>195150</v>
      </c>
      <c r="J561" s="2">
        <v>0</v>
      </c>
      <c r="K561" s="21">
        <v>0</v>
      </c>
      <c r="L561" s="2">
        <v>0</v>
      </c>
      <c r="M561" s="18">
        <v>540.86</v>
      </c>
      <c r="N561" s="18">
        <v>2974730</v>
      </c>
      <c r="O561" s="2">
        <v>0</v>
      </c>
      <c r="P561" s="2">
        <v>0</v>
      </c>
      <c r="Q561" s="18">
        <v>650.5</v>
      </c>
      <c r="R561" s="18">
        <f t="shared" si="812"/>
        <v>2081600</v>
      </c>
      <c r="S561" s="2">
        <v>0</v>
      </c>
      <c r="T561" s="18">
        <v>100000</v>
      </c>
      <c r="U561" s="6">
        <f t="shared" si="809"/>
        <v>5500</v>
      </c>
      <c r="V561" s="1"/>
      <c r="W561" s="1"/>
      <c r="X561" s="1"/>
      <c r="Y561" s="1"/>
      <c r="Z561" s="1"/>
      <c r="AA561" s="1"/>
      <c r="AB561" s="1"/>
      <c r="AC561" s="3"/>
    </row>
    <row r="562" spans="1:29" ht="22.9" customHeight="1" x14ac:dyDescent="0.25">
      <c r="A562" s="39" t="s">
        <v>1608</v>
      </c>
      <c r="B562" s="9" t="s">
        <v>346</v>
      </c>
      <c r="C562" s="7">
        <f t="shared" si="810"/>
        <v>12347470</v>
      </c>
      <c r="D562" s="2">
        <f t="shared" si="811"/>
        <v>3899700.0000000005</v>
      </c>
      <c r="E562" s="2">
        <f>700*1299.9</f>
        <v>909930.00000000012</v>
      </c>
      <c r="F562" s="2">
        <f>1300*1299.9</f>
        <v>1689870.0000000002</v>
      </c>
      <c r="G562" s="2">
        <f>300*1299.9</f>
        <v>389970</v>
      </c>
      <c r="H562" s="2">
        <f>400*1299.9</f>
        <v>519960.00000000006</v>
      </c>
      <c r="I562" s="2">
        <f>300*1299.9</f>
        <v>389970</v>
      </c>
      <c r="J562" s="2">
        <v>0</v>
      </c>
      <c r="K562" s="21">
        <v>0</v>
      </c>
      <c r="L562" s="2">
        <v>0</v>
      </c>
      <c r="M562" s="18">
        <v>555.1</v>
      </c>
      <c r="N562" s="18">
        <v>3053050</v>
      </c>
      <c r="O562" s="2">
        <v>0</v>
      </c>
      <c r="P562" s="2">
        <v>0</v>
      </c>
      <c r="Q562" s="18">
        <v>1654.6</v>
      </c>
      <c r="R562" s="18">
        <f t="shared" si="812"/>
        <v>5294720</v>
      </c>
      <c r="S562" s="2">
        <v>0</v>
      </c>
      <c r="T562" s="18">
        <v>100000</v>
      </c>
      <c r="U562" s="6">
        <f t="shared" si="809"/>
        <v>5500</v>
      </c>
      <c r="V562" s="1"/>
      <c r="W562" s="1"/>
      <c r="X562" s="1"/>
      <c r="Y562" s="1"/>
      <c r="Z562" s="1"/>
      <c r="AA562" s="1"/>
      <c r="AB562" s="1"/>
      <c r="AC562" s="3"/>
    </row>
    <row r="563" spans="1:29" ht="22.9" customHeight="1" x14ac:dyDescent="0.25">
      <c r="A563" s="39" t="s">
        <v>1609</v>
      </c>
      <c r="B563" s="3" t="s">
        <v>347</v>
      </c>
      <c r="C563" s="7">
        <f t="shared" si="810"/>
        <v>1619830</v>
      </c>
      <c r="D563" s="2">
        <f t="shared" si="811"/>
        <v>272790</v>
      </c>
      <c r="E563" s="2">
        <f>700*389.7</f>
        <v>272790</v>
      </c>
      <c r="F563" s="2">
        <v>0</v>
      </c>
      <c r="G563" s="2">
        <v>0</v>
      </c>
      <c r="H563" s="2">
        <v>0</v>
      </c>
      <c r="I563" s="2">
        <v>0</v>
      </c>
      <c r="J563" s="2">
        <v>0</v>
      </c>
      <c r="K563" s="21">
        <v>0</v>
      </c>
      <c r="L563" s="2">
        <v>0</v>
      </c>
      <c r="M563" s="2">
        <v>0</v>
      </c>
      <c r="N563" s="2">
        <v>0</v>
      </c>
      <c r="O563" s="2">
        <v>0</v>
      </c>
      <c r="P563" s="2">
        <v>0</v>
      </c>
      <c r="Q563" s="18">
        <v>389.7</v>
      </c>
      <c r="R563" s="18">
        <f t="shared" si="812"/>
        <v>1247040</v>
      </c>
      <c r="S563" s="2">
        <v>0</v>
      </c>
      <c r="T563" s="18">
        <v>100000</v>
      </c>
      <c r="U563" s="6" t="e">
        <f t="shared" si="809"/>
        <v>#DIV/0!</v>
      </c>
      <c r="V563" s="1"/>
      <c r="W563" s="1"/>
      <c r="X563" s="1"/>
      <c r="Y563" s="1"/>
      <c r="Z563" s="1"/>
      <c r="AA563" s="1"/>
      <c r="AB563" s="3"/>
    </row>
    <row r="564" spans="1:29" ht="45" customHeight="1" x14ac:dyDescent="0.25">
      <c r="A564" s="43" t="s">
        <v>353</v>
      </c>
      <c r="B564" s="43"/>
      <c r="C564" s="1">
        <f>SUM(C565:C569)</f>
        <v>21778060</v>
      </c>
      <c r="D564" s="1">
        <f t="shared" ref="D564:T564" si="813">SUM(D565:D569)</f>
        <v>2957900</v>
      </c>
      <c r="E564" s="1">
        <f t="shared" si="813"/>
        <v>1386210</v>
      </c>
      <c r="F564" s="1">
        <f t="shared" si="813"/>
        <v>977600</v>
      </c>
      <c r="G564" s="1">
        <f t="shared" si="813"/>
        <v>594090</v>
      </c>
      <c r="H564" s="1">
        <f t="shared" si="813"/>
        <v>0</v>
      </c>
      <c r="I564" s="1">
        <f t="shared" si="813"/>
        <v>0</v>
      </c>
      <c r="J564" s="1">
        <f t="shared" si="813"/>
        <v>0</v>
      </c>
      <c r="K564" s="33">
        <f t="shared" si="813"/>
        <v>0</v>
      </c>
      <c r="L564" s="1">
        <f t="shared" si="813"/>
        <v>0</v>
      </c>
      <c r="M564" s="1">
        <f t="shared" si="813"/>
        <v>1380</v>
      </c>
      <c r="N564" s="1">
        <f t="shared" si="813"/>
        <v>9108000</v>
      </c>
      <c r="O564" s="1">
        <f t="shared" si="813"/>
        <v>150</v>
      </c>
      <c r="P564" s="1">
        <f t="shared" si="813"/>
        <v>180000</v>
      </c>
      <c r="Q564" s="1">
        <f t="shared" si="813"/>
        <v>2728.8</v>
      </c>
      <c r="R564" s="1">
        <f t="shared" si="813"/>
        <v>8732160</v>
      </c>
      <c r="S564" s="1">
        <f t="shared" si="813"/>
        <v>300000</v>
      </c>
      <c r="T564" s="1">
        <f t="shared" si="813"/>
        <v>500000</v>
      </c>
      <c r="U564" s="3" t="e">
        <f>C564+#REF!+#REF!</f>
        <v>#REF!</v>
      </c>
    </row>
    <row r="565" spans="1:29" ht="22.9" customHeight="1" x14ac:dyDescent="0.25">
      <c r="A565" s="39" t="s">
        <v>1610</v>
      </c>
      <c r="B565" s="3" t="s">
        <v>359</v>
      </c>
      <c r="C565" s="7">
        <f t="shared" ref="C565" si="814">D565+L565+N565+P565+R565+S565+T565</f>
        <v>5519100</v>
      </c>
      <c r="D565" s="2">
        <f t="shared" ref="D565" si="815">SUM(E565:J565)</f>
        <v>415900</v>
      </c>
      <c r="E565" s="2">
        <f>700*415.9</f>
        <v>291130</v>
      </c>
      <c r="F565" s="2">
        <v>0</v>
      </c>
      <c r="G565" s="2">
        <f>300*415.9</f>
        <v>124770</v>
      </c>
      <c r="H565" s="2">
        <v>0</v>
      </c>
      <c r="I565" s="2">
        <v>0</v>
      </c>
      <c r="J565" s="2">
        <v>0</v>
      </c>
      <c r="K565" s="21">
        <v>0</v>
      </c>
      <c r="L565" s="2">
        <v>0</v>
      </c>
      <c r="M565" s="18">
        <v>460</v>
      </c>
      <c r="N565" s="18">
        <f>M565*6600</f>
        <v>3036000</v>
      </c>
      <c r="O565" s="18">
        <v>50</v>
      </c>
      <c r="P565" s="18">
        <f>O565*1200</f>
        <v>60000</v>
      </c>
      <c r="Q565" s="18">
        <v>596</v>
      </c>
      <c r="R565" s="18">
        <f t="shared" ref="R565:R569" si="816">Q565*3200</f>
        <v>1907200</v>
      </c>
      <c r="S565" s="2">
        <v>0</v>
      </c>
      <c r="T565" s="2">
        <v>100000</v>
      </c>
      <c r="U565" s="6">
        <f t="shared" ref="U565:U569" si="817">N565/M565</f>
        <v>6600</v>
      </c>
      <c r="V565" s="1"/>
      <c r="W565" s="1"/>
      <c r="X565" s="1"/>
      <c r="Y565" s="1"/>
      <c r="Z565" s="1"/>
      <c r="AA565" s="1"/>
      <c r="AB565" s="3"/>
    </row>
    <row r="566" spans="1:29" ht="22.9" customHeight="1" x14ac:dyDescent="0.25">
      <c r="A566" s="39" t="s">
        <v>1611</v>
      </c>
      <c r="B566" s="3" t="s">
        <v>360</v>
      </c>
      <c r="C566" s="7">
        <f t="shared" ref="C566" si="818">D566+L566+N566+P566+R566+S566+T566</f>
        <v>5507900</v>
      </c>
      <c r="D566" s="2">
        <f t="shared" ref="D566" si="819">SUM(E566:J566)</f>
        <v>404700</v>
      </c>
      <c r="E566" s="2">
        <f>700*404.7</f>
        <v>283290</v>
      </c>
      <c r="F566" s="2">
        <v>0</v>
      </c>
      <c r="G566" s="2">
        <f>300*404.7</f>
        <v>121410</v>
      </c>
      <c r="H566" s="2">
        <v>0</v>
      </c>
      <c r="I566" s="2">
        <v>0</v>
      </c>
      <c r="J566" s="2">
        <v>0</v>
      </c>
      <c r="K566" s="21">
        <v>0</v>
      </c>
      <c r="L566" s="2">
        <v>0</v>
      </c>
      <c r="M566" s="18">
        <v>460</v>
      </c>
      <c r="N566" s="18">
        <f>M566*6600</f>
        <v>3036000</v>
      </c>
      <c r="O566" s="18">
        <v>50</v>
      </c>
      <c r="P566" s="18">
        <f>O566*1200</f>
        <v>60000</v>
      </c>
      <c r="Q566" s="18">
        <v>596</v>
      </c>
      <c r="R566" s="18">
        <f t="shared" si="816"/>
        <v>1907200</v>
      </c>
      <c r="S566" s="2">
        <v>0</v>
      </c>
      <c r="T566" s="2">
        <v>100000</v>
      </c>
      <c r="U566" s="6">
        <f t="shared" si="817"/>
        <v>6600</v>
      </c>
      <c r="V566" s="1"/>
      <c r="W566" s="1"/>
      <c r="X566" s="1"/>
      <c r="Y566" s="1"/>
      <c r="Z566" s="1"/>
      <c r="AA566" s="1"/>
      <c r="AB566" s="3"/>
    </row>
    <row r="567" spans="1:29" ht="22.9" customHeight="1" x14ac:dyDescent="0.25">
      <c r="A567" s="39" t="s">
        <v>1612</v>
      </c>
      <c r="B567" s="3" t="s">
        <v>361</v>
      </c>
      <c r="C567" s="7">
        <f t="shared" ref="C567" si="820">D567+L567+N567+P567+R567+S567+T567</f>
        <v>5510900</v>
      </c>
      <c r="D567" s="2">
        <f t="shared" ref="D567" si="821">SUM(E567:J567)</f>
        <v>407700</v>
      </c>
      <c r="E567" s="2">
        <f>700*407.7</f>
        <v>285390</v>
      </c>
      <c r="F567" s="2">
        <v>0</v>
      </c>
      <c r="G567" s="2">
        <f>300*407.7</f>
        <v>122310</v>
      </c>
      <c r="H567" s="2">
        <v>0</v>
      </c>
      <c r="I567" s="2">
        <v>0</v>
      </c>
      <c r="J567" s="2">
        <v>0</v>
      </c>
      <c r="K567" s="21">
        <v>0</v>
      </c>
      <c r="L567" s="2">
        <v>0</v>
      </c>
      <c r="M567" s="18">
        <v>460</v>
      </c>
      <c r="N567" s="18">
        <f>M567*6600</f>
        <v>3036000</v>
      </c>
      <c r="O567" s="18">
        <v>50</v>
      </c>
      <c r="P567" s="18">
        <f>O567*1200</f>
        <v>60000</v>
      </c>
      <c r="Q567" s="18">
        <v>596</v>
      </c>
      <c r="R567" s="18">
        <f t="shared" si="816"/>
        <v>1907200</v>
      </c>
      <c r="S567" s="2">
        <v>0</v>
      </c>
      <c r="T567" s="2">
        <v>100000</v>
      </c>
      <c r="U567" s="6">
        <f t="shared" si="817"/>
        <v>6600</v>
      </c>
      <c r="V567" s="1"/>
      <c r="W567" s="1"/>
      <c r="X567" s="1"/>
      <c r="Y567" s="1"/>
      <c r="Z567" s="1"/>
      <c r="AA567" s="1"/>
      <c r="AB567" s="3"/>
    </row>
    <row r="568" spans="1:29" ht="22.9" customHeight="1" x14ac:dyDescent="0.25">
      <c r="A568" s="39" t="s">
        <v>1613</v>
      </c>
      <c r="B568" s="3" t="s">
        <v>362</v>
      </c>
      <c r="C568" s="7">
        <f t="shared" ref="C568:C569" si="822">D568+L568+N568+P568+R568+S568+T568</f>
        <v>2620080</v>
      </c>
      <c r="D568" s="2">
        <f t="shared" ref="D568:D569" si="823">SUM(E568:J568)</f>
        <v>864800</v>
      </c>
      <c r="E568" s="2">
        <f>700*376</f>
        <v>263200</v>
      </c>
      <c r="F568" s="2">
        <f>1300*376</f>
        <v>488800</v>
      </c>
      <c r="G568" s="2">
        <f>300*376</f>
        <v>112800</v>
      </c>
      <c r="H568" s="2">
        <v>0</v>
      </c>
      <c r="I568" s="2">
        <v>0</v>
      </c>
      <c r="J568" s="2">
        <v>0</v>
      </c>
      <c r="K568" s="21">
        <v>0</v>
      </c>
      <c r="L568" s="2">
        <v>0</v>
      </c>
      <c r="M568" s="2">
        <v>0</v>
      </c>
      <c r="N568" s="2">
        <v>0</v>
      </c>
      <c r="O568" s="2">
        <v>0</v>
      </c>
      <c r="P568" s="2">
        <v>0</v>
      </c>
      <c r="Q568" s="18">
        <v>470.4</v>
      </c>
      <c r="R568" s="18">
        <f t="shared" si="816"/>
        <v>1505280</v>
      </c>
      <c r="S568" s="2">
        <v>150000</v>
      </c>
      <c r="T568" s="2">
        <v>100000</v>
      </c>
      <c r="U568" s="6" t="e">
        <f t="shared" si="817"/>
        <v>#DIV/0!</v>
      </c>
      <c r="V568" s="1"/>
      <c r="W568" s="1"/>
      <c r="X568" s="1"/>
      <c r="Y568" s="1"/>
      <c r="Z568" s="1"/>
      <c r="AA568" s="1"/>
      <c r="AB568" s="3"/>
    </row>
    <row r="569" spans="1:29" ht="22.9" customHeight="1" x14ac:dyDescent="0.25">
      <c r="A569" s="39" t="s">
        <v>1614</v>
      </c>
      <c r="B569" s="3" t="s">
        <v>363</v>
      </c>
      <c r="C569" s="7">
        <f t="shared" si="822"/>
        <v>2620080</v>
      </c>
      <c r="D569" s="2">
        <f t="shared" si="823"/>
        <v>864800</v>
      </c>
      <c r="E569" s="2">
        <f>700*376</f>
        <v>263200</v>
      </c>
      <c r="F569" s="2">
        <f>1300*376</f>
        <v>488800</v>
      </c>
      <c r="G569" s="2">
        <f>300*376</f>
        <v>112800</v>
      </c>
      <c r="H569" s="2">
        <v>0</v>
      </c>
      <c r="I569" s="2">
        <v>0</v>
      </c>
      <c r="J569" s="2">
        <v>0</v>
      </c>
      <c r="K569" s="21">
        <v>0</v>
      </c>
      <c r="L569" s="2">
        <v>0</v>
      </c>
      <c r="M569" s="2">
        <v>0</v>
      </c>
      <c r="N569" s="2">
        <v>0</v>
      </c>
      <c r="O569" s="2">
        <v>0</v>
      </c>
      <c r="P569" s="2">
        <v>0</v>
      </c>
      <c r="Q569" s="18">
        <v>470.4</v>
      </c>
      <c r="R569" s="18">
        <f t="shared" si="816"/>
        <v>1505280</v>
      </c>
      <c r="S569" s="2">
        <v>150000</v>
      </c>
      <c r="T569" s="2">
        <v>100000</v>
      </c>
      <c r="U569" s="6" t="e">
        <f t="shared" si="817"/>
        <v>#DIV/0!</v>
      </c>
      <c r="V569" s="1"/>
      <c r="W569" s="1"/>
      <c r="X569" s="1"/>
      <c r="Y569" s="1"/>
      <c r="Z569" s="1"/>
      <c r="AA569" s="3"/>
    </row>
    <row r="570" spans="1:29" ht="45" customHeight="1" x14ac:dyDescent="0.25">
      <c r="A570" s="43" t="s">
        <v>369</v>
      </c>
      <c r="B570" s="43"/>
      <c r="C570" s="1">
        <f>SUM(C571:C573)</f>
        <v>13341570</v>
      </c>
      <c r="D570" s="1">
        <f t="shared" ref="D570:T570" si="824">SUM(D571:D573)</f>
        <v>1489170</v>
      </c>
      <c r="E570" s="1">
        <f t="shared" si="824"/>
        <v>954030</v>
      </c>
      <c r="F570" s="1">
        <f t="shared" si="824"/>
        <v>0</v>
      </c>
      <c r="G570" s="1">
        <f t="shared" si="824"/>
        <v>267570</v>
      </c>
      <c r="H570" s="1">
        <f t="shared" si="824"/>
        <v>0</v>
      </c>
      <c r="I570" s="1">
        <f t="shared" si="824"/>
        <v>267570</v>
      </c>
      <c r="J570" s="1">
        <f t="shared" si="824"/>
        <v>0</v>
      </c>
      <c r="K570" s="33">
        <f t="shared" si="824"/>
        <v>0</v>
      </c>
      <c r="L570" s="1">
        <f t="shared" si="824"/>
        <v>0</v>
      </c>
      <c r="M570" s="1">
        <f t="shared" si="824"/>
        <v>920</v>
      </c>
      <c r="N570" s="1">
        <f t="shared" si="824"/>
        <v>6072000</v>
      </c>
      <c r="O570" s="1">
        <f t="shared" si="824"/>
        <v>0</v>
      </c>
      <c r="P570" s="1">
        <f t="shared" si="824"/>
        <v>0</v>
      </c>
      <c r="Q570" s="1">
        <f t="shared" si="824"/>
        <v>1572</v>
      </c>
      <c r="R570" s="1">
        <f t="shared" si="824"/>
        <v>5030400</v>
      </c>
      <c r="S570" s="1">
        <f t="shared" si="824"/>
        <v>450000</v>
      </c>
      <c r="T570" s="1">
        <f t="shared" si="824"/>
        <v>300000</v>
      </c>
      <c r="U570" s="3" t="e">
        <f>C570+#REF!+#REF!</f>
        <v>#REF!</v>
      </c>
    </row>
    <row r="571" spans="1:29" ht="22.9" customHeight="1" x14ac:dyDescent="0.25">
      <c r="A571" s="39" t="s">
        <v>1615</v>
      </c>
      <c r="B571" s="3" t="s">
        <v>372</v>
      </c>
      <c r="C571" s="7">
        <f t="shared" ref="C571:C573" si="825">D571+L571+N571+P571+R571+S571+T571</f>
        <v>1898100</v>
      </c>
      <c r="D571" s="2">
        <f t="shared" ref="D571:D573" si="826">SUM(E571:J571)</f>
        <v>329700</v>
      </c>
      <c r="E571" s="2">
        <f>700*471</f>
        <v>329700</v>
      </c>
      <c r="F571" s="2">
        <v>0</v>
      </c>
      <c r="G571" s="2">
        <v>0</v>
      </c>
      <c r="H571" s="2">
        <v>0</v>
      </c>
      <c r="I571" s="2">
        <v>0</v>
      </c>
      <c r="J571" s="2">
        <v>0</v>
      </c>
      <c r="K571" s="21">
        <v>0</v>
      </c>
      <c r="L571" s="2">
        <v>0</v>
      </c>
      <c r="M571" s="2">
        <v>0</v>
      </c>
      <c r="N571" s="2">
        <v>0</v>
      </c>
      <c r="O571" s="2">
        <v>0</v>
      </c>
      <c r="P571" s="2">
        <v>0</v>
      </c>
      <c r="Q571" s="18">
        <v>412</v>
      </c>
      <c r="R571" s="18">
        <f>Q571*3200</f>
        <v>1318400</v>
      </c>
      <c r="S571" s="2">
        <v>150000</v>
      </c>
      <c r="T571" s="2">
        <v>100000</v>
      </c>
      <c r="U571" s="6" t="e">
        <f t="shared" ref="U571:U576" si="827">N571/M571</f>
        <v>#DIV/0!</v>
      </c>
      <c r="V571" s="1"/>
      <c r="W571" s="1"/>
      <c r="X571" s="1"/>
      <c r="Y571" s="1"/>
      <c r="Z571" s="1"/>
      <c r="AA571" s="1"/>
      <c r="AB571" s="3"/>
    </row>
    <row r="572" spans="1:29" ht="22.9" customHeight="1" x14ac:dyDescent="0.25">
      <c r="A572" s="39" t="s">
        <v>1616</v>
      </c>
      <c r="B572" s="3" t="s">
        <v>373</v>
      </c>
      <c r="C572" s="7">
        <f t="shared" si="825"/>
        <v>5712830</v>
      </c>
      <c r="D572" s="2">
        <f t="shared" si="826"/>
        <v>570830</v>
      </c>
      <c r="E572" s="2">
        <f>700*439.1</f>
        <v>307370</v>
      </c>
      <c r="F572" s="2">
        <v>0</v>
      </c>
      <c r="G572" s="2">
        <f>300*439.1</f>
        <v>131730</v>
      </c>
      <c r="H572" s="2">
        <v>0</v>
      </c>
      <c r="I572" s="2">
        <f>300*439.1</f>
        <v>131730</v>
      </c>
      <c r="J572" s="2">
        <v>0</v>
      </c>
      <c r="K572" s="21">
        <v>0</v>
      </c>
      <c r="L572" s="2">
        <v>0</v>
      </c>
      <c r="M572" s="18">
        <v>460</v>
      </c>
      <c r="N572" s="18">
        <f>M572*6600</f>
        <v>3036000</v>
      </c>
      <c r="O572" s="18">
        <v>0</v>
      </c>
      <c r="P572" s="18">
        <v>0</v>
      </c>
      <c r="Q572" s="18">
        <v>580</v>
      </c>
      <c r="R572" s="18">
        <f>Q572*3200</f>
        <v>1856000</v>
      </c>
      <c r="S572" s="2">
        <v>150000</v>
      </c>
      <c r="T572" s="2">
        <v>100000</v>
      </c>
      <c r="U572" s="6">
        <f t="shared" si="827"/>
        <v>6600</v>
      </c>
      <c r="V572" s="1"/>
      <c r="W572" s="1"/>
      <c r="X572" s="1"/>
      <c r="Y572" s="1"/>
      <c r="Z572" s="1"/>
      <c r="AA572" s="1"/>
      <c r="AB572" s="3"/>
    </row>
    <row r="573" spans="1:29" ht="22.9" customHeight="1" x14ac:dyDescent="0.25">
      <c r="A573" s="39" t="s">
        <v>1617</v>
      </c>
      <c r="B573" s="3" t="s">
        <v>374</v>
      </c>
      <c r="C573" s="7">
        <f t="shared" si="825"/>
        <v>5730640</v>
      </c>
      <c r="D573" s="2">
        <f t="shared" si="826"/>
        <v>588640</v>
      </c>
      <c r="E573" s="2">
        <f>700*452.8</f>
        <v>316960</v>
      </c>
      <c r="F573" s="2">
        <v>0</v>
      </c>
      <c r="G573" s="2">
        <f>300*452.8</f>
        <v>135840</v>
      </c>
      <c r="H573" s="2">
        <v>0</v>
      </c>
      <c r="I573" s="2">
        <f>300*452.8</f>
        <v>135840</v>
      </c>
      <c r="J573" s="2">
        <v>0</v>
      </c>
      <c r="K573" s="21">
        <v>0</v>
      </c>
      <c r="L573" s="2">
        <v>0</v>
      </c>
      <c r="M573" s="18">
        <v>460</v>
      </c>
      <c r="N573" s="18">
        <f>M573*6600</f>
        <v>3036000</v>
      </c>
      <c r="O573" s="18">
        <v>0</v>
      </c>
      <c r="P573" s="18">
        <v>0</v>
      </c>
      <c r="Q573" s="18">
        <v>580</v>
      </c>
      <c r="R573" s="18">
        <f t="shared" ref="R573:R580" si="828">Q573*3200</f>
        <v>1856000</v>
      </c>
      <c r="S573" s="2">
        <v>150000</v>
      </c>
      <c r="T573" s="2">
        <v>100000</v>
      </c>
      <c r="U573" s="6">
        <f t="shared" si="827"/>
        <v>6600</v>
      </c>
      <c r="V573" s="1"/>
      <c r="W573" s="1"/>
      <c r="X573" s="1"/>
      <c r="Y573" s="1"/>
      <c r="Z573" s="1"/>
      <c r="AA573" s="1"/>
      <c r="AB573" s="3"/>
    </row>
    <row r="574" spans="1:29" ht="45" customHeight="1" x14ac:dyDescent="0.25">
      <c r="A574" s="43" t="s">
        <v>381</v>
      </c>
      <c r="B574" s="43"/>
      <c r="C574" s="1">
        <f>SUM(C575:C576)</f>
        <v>6659900</v>
      </c>
      <c r="D574" s="1">
        <f t="shared" ref="D574:T574" si="829">SUM(D575:D576)</f>
        <v>2063100</v>
      </c>
      <c r="E574" s="1">
        <f t="shared" si="829"/>
        <v>555450</v>
      </c>
      <c r="F574" s="1">
        <f t="shared" si="829"/>
        <v>1031550</v>
      </c>
      <c r="G574" s="1">
        <f t="shared" si="829"/>
        <v>238050</v>
      </c>
      <c r="H574" s="1">
        <f t="shared" si="829"/>
        <v>0</v>
      </c>
      <c r="I574" s="1">
        <f t="shared" si="829"/>
        <v>238050</v>
      </c>
      <c r="J574" s="1">
        <f t="shared" si="829"/>
        <v>0</v>
      </c>
      <c r="K574" s="33">
        <f t="shared" si="829"/>
        <v>0</v>
      </c>
      <c r="L574" s="1">
        <f t="shared" si="829"/>
        <v>0</v>
      </c>
      <c r="M574" s="1">
        <f t="shared" si="829"/>
        <v>0</v>
      </c>
      <c r="N574" s="1">
        <f t="shared" si="829"/>
        <v>0</v>
      </c>
      <c r="O574" s="1">
        <f t="shared" si="829"/>
        <v>0</v>
      </c>
      <c r="P574" s="1">
        <f t="shared" si="829"/>
        <v>0</v>
      </c>
      <c r="Q574" s="1">
        <f t="shared" si="829"/>
        <v>1374</v>
      </c>
      <c r="R574" s="1">
        <f t="shared" si="829"/>
        <v>4396800</v>
      </c>
      <c r="S574" s="1">
        <f t="shared" si="829"/>
        <v>0</v>
      </c>
      <c r="T574" s="1">
        <f t="shared" si="829"/>
        <v>200000</v>
      </c>
      <c r="U574" s="3" t="e">
        <f>C574+#REF!+#REF!</f>
        <v>#REF!</v>
      </c>
    </row>
    <row r="575" spans="1:29" ht="22.9" customHeight="1" x14ac:dyDescent="0.25">
      <c r="A575" s="39" t="s">
        <v>1618</v>
      </c>
      <c r="B575" s="3" t="s">
        <v>385</v>
      </c>
      <c r="C575" s="7">
        <f t="shared" ref="C575:C576" si="830">D575+L575+N575+P575+R575+S575+T575</f>
        <v>2389840</v>
      </c>
      <c r="D575" s="2">
        <f t="shared" ref="D575:D576" si="831">SUM(E575:J575)</f>
        <v>1026480</v>
      </c>
      <c r="E575" s="2">
        <f>700*394.8</f>
        <v>276360</v>
      </c>
      <c r="F575" s="2">
        <f>1300*394.8</f>
        <v>513240</v>
      </c>
      <c r="G575" s="2">
        <f>300*394.8</f>
        <v>118440</v>
      </c>
      <c r="H575" s="2">
        <v>0</v>
      </c>
      <c r="I575" s="2">
        <f>300*394.8</f>
        <v>118440</v>
      </c>
      <c r="J575" s="2">
        <v>0</v>
      </c>
      <c r="K575" s="21">
        <v>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18">
        <v>394.8</v>
      </c>
      <c r="R575" s="18">
        <f t="shared" si="828"/>
        <v>1263360</v>
      </c>
      <c r="S575" s="2">
        <v>0</v>
      </c>
      <c r="T575" s="2">
        <v>100000</v>
      </c>
      <c r="U575" s="6" t="e">
        <f t="shared" si="827"/>
        <v>#DIV/0!</v>
      </c>
      <c r="V575" s="1"/>
      <c r="W575" s="1"/>
      <c r="X575" s="1"/>
      <c r="Y575" s="1"/>
      <c r="Z575" s="1"/>
      <c r="AA575" s="1"/>
      <c r="AB575" s="3"/>
    </row>
    <row r="576" spans="1:29" ht="22.9" customHeight="1" x14ac:dyDescent="0.25">
      <c r="A576" s="39" t="s">
        <v>1619</v>
      </c>
      <c r="B576" s="3" t="s">
        <v>386</v>
      </c>
      <c r="C576" s="7">
        <f t="shared" si="830"/>
        <v>4270060</v>
      </c>
      <c r="D576" s="2">
        <f t="shared" si="831"/>
        <v>1036620</v>
      </c>
      <c r="E576" s="2">
        <f>700*398.7</f>
        <v>279090</v>
      </c>
      <c r="F576" s="2">
        <f>1300*398.7</f>
        <v>518310</v>
      </c>
      <c r="G576" s="2">
        <f>300*398.7</f>
        <v>119610</v>
      </c>
      <c r="H576" s="2">
        <v>0</v>
      </c>
      <c r="I576" s="2">
        <f>300*398.7</f>
        <v>119610</v>
      </c>
      <c r="J576" s="2">
        <v>0</v>
      </c>
      <c r="K576" s="21">
        <v>0</v>
      </c>
      <c r="L576" s="2">
        <v>0</v>
      </c>
      <c r="M576" s="2">
        <v>0</v>
      </c>
      <c r="N576" s="2">
        <v>0</v>
      </c>
      <c r="O576" s="2">
        <v>0</v>
      </c>
      <c r="P576" s="2">
        <v>0</v>
      </c>
      <c r="Q576" s="18">
        <v>979.2</v>
      </c>
      <c r="R576" s="18">
        <f t="shared" si="828"/>
        <v>3133440</v>
      </c>
      <c r="S576" s="2">
        <v>0</v>
      </c>
      <c r="T576" s="2">
        <v>100000</v>
      </c>
      <c r="U576" s="6" t="e">
        <f t="shared" si="827"/>
        <v>#DIV/0!</v>
      </c>
      <c r="V576" s="1"/>
      <c r="W576" s="1"/>
      <c r="X576" s="1"/>
      <c r="Y576" s="1"/>
      <c r="Z576" s="1"/>
      <c r="AA576" s="1"/>
      <c r="AB576" s="3"/>
    </row>
    <row r="577" spans="1:28" ht="45" customHeight="1" x14ac:dyDescent="0.25">
      <c r="A577" s="43" t="s">
        <v>389</v>
      </c>
      <c r="B577" s="43"/>
      <c r="C577" s="1">
        <f>SUM(C578:C580)</f>
        <v>15044476</v>
      </c>
      <c r="D577" s="1">
        <f t="shared" ref="D577:T577" si="832">SUM(D578:D580)</f>
        <v>1077200</v>
      </c>
      <c r="E577" s="1">
        <f t="shared" si="832"/>
        <v>754040</v>
      </c>
      <c r="F577" s="1">
        <f t="shared" si="832"/>
        <v>0</v>
      </c>
      <c r="G577" s="1">
        <f t="shared" si="832"/>
        <v>323160</v>
      </c>
      <c r="H577" s="1">
        <f t="shared" si="832"/>
        <v>0</v>
      </c>
      <c r="I577" s="1">
        <f t="shared" si="832"/>
        <v>0</v>
      </c>
      <c r="J577" s="1">
        <f t="shared" si="832"/>
        <v>0</v>
      </c>
      <c r="K577" s="33">
        <f t="shared" si="832"/>
        <v>0</v>
      </c>
      <c r="L577" s="1">
        <f t="shared" si="832"/>
        <v>0</v>
      </c>
      <c r="M577" s="1">
        <f t="shared" si="832"/>
        <v>1611.26</v>
      </c>
      <c r="N577" s="1">
        <f t="shared" si="832"/>
        <v>10634316</v>
      </c>
      <c r="O577" s="1">
        <f t="shared" si="832"/>
        <v>0</v>
      </c>
      <c r="P577" s="1">
        <f t="shared" si="832"/>
        <v>0</v>
      </c>
      <c r="Q577" s="1">
        <f t="shared" si="832"/>
        <v>947.80000000000007</v>
      </c>
      <c r="R577" s="1">
        <f t="shared" si="832"/>
        <v>3032960</v>
      </c>
      <c r="S577" s="1">
        <f t="shared" si="832"/>
        <v>0</v>
      </c>
      <c r="T577" s="1">
        <f t="shared" si="832"/>
        <v>300000</v>
      </c>
      <c r="U577" s="3" t="e">
        <f>C577+#REF!+#REF!</f>
        <v>#REF!</v>
      </c>
    </row>
    <row r="578" spans="1:28" ht="22.9" customHeight="1" x14ac:dyDescent="0.25">
      <c r="A578" s="39" t="s">
        <v>1620</v>
      </c>
      <c r="B578" s="3" t="s">
        <v>392</v>
      </c>
      <c r="C578" s="7">
        <f t="shared" ref="C578:C580" si="833">D578+L578+N578+P578+R578+S578+T578</f>
        <v>6159932</v>
      </c>
      <c r="D578" s="2">
        <f t="shared" ref="D578:D580" si="834">SUM(E578:J578)</f>
        <v>514000</v>
      </c>
      <c r="E578" s="2">
        <f>700*514</f>
        <v>359800</v>
      </c>
      <c r="F578" s="2">
        <v>0</v>
      </c>
      <c r="G578" s="2">
        <f>300*514</f>
        <v>154200</v>
      </c>
      <c r="H578" s="2">
        <v>0</v>
      </c>
      <c r="I578" s="2">
        <v>0</v>
      </c>
      <c r="J578" s="2">
        <v>0</v>
      </c>
      <c r="K578" s="21">
        <v>0</v>
      </c>
      <c r="L578" s="2">
        <v>0</v>
      </c>
      <c r="M578" s="18">
        <v>653.82000000000005</v>
      </c>
      <c r="N578" s="18">
        <f t="shared" ref="N578:N580" si="835">M578*6600</f>
        <v>4315212</v>
      </c>
      <c r="O578" s="18">
        <v>0</v>
      </c>
      <c r="P578" s="2">
        <v>0</v>
      </c>
      <c r="Q578" s="18">
        <v>384.6</v>
      </c>
      <c r="R578" s="18">
        <f t="shared" si="828"/>
        <v>1230720</v>
      </c>
      <c r="S578" s="2">
        <v>0</v>
      </c>
      <c r="T578" s="2">
        <v>100000</v>
      </c>
      <c r="U578" s="6">
        <f t="shared" ref="U578:U580" si="836">N578/M578</f>
        <v>6599.9999999999991</v>
      </c>
      <c r="V578" s="1"/>
      <c r="W578" s="1"/>
      <c r="X578" s="1"/>
      <c r="Y578" s="1"/>
      <c r="Z578" s="1"/>
      <c r="AA578" s="1"/>
      <c r="AB578" s="3"/>
    </row>
    <row r="579" spans="1:28" ht="22.9" customHeight="1" x14ac:dyDescent="0.25">
      <c r="A579" s="39" t="s">
        <v>1621</v>
      </c>
      <c r="B579" s="3" t="s">
        <v>393</v>
      </c>
      <c r="C579" s="7">
        <f t="shared" si="833"/>
        <v>4442272</v>
      </c>
      <c r="D579" s="2">
        <f t="shared" si="834"/>
        <v>281600</v>
      </c>
      <c r="E579" s="2">
        <f>700*281.6</f>
        <v>197120.00000000003</v>
      </c>
      <c r="F579" s="2">
        <v>0</v>
      </c>
      <c r="G579" s="2">
        <f>300*281.6</f>
        <v>84480</v>
      </c>
      <c r="H579" s="2">
        <v>0</v>
      </c>
      <c r="I579" s="2">
        <v>0</v>
      </c>
      <c r="J579" s="2">
        <v>0</v>
      </c>
      <c r="K579" s="21">
        <v>0</v>
      </c>
      <c r="L579" s="2">
        <v>0</v>
      </c>
      <c r="M579" s="18">
        <v>478.72</v>
      </c>
      <c r="N579" s="18">
        <f t="shared" si="835"/>
        <v>3159552</v>
      </c>
      <c r="O579" s="18">
        <v>0</v>
      </c>
      <c r="P579" s="2">
        <v>0</v>
      </c>
      <c r="Q579" s="18">
        <v>281.60000000000002</v>
      </c>
      <c r="R579" s="18">
        <f t="shared" si="828"/>
        <v>901120.00000000012</v>
      </c>
      <c r="S579" s="2">
        <v>0</v>
      </c>
      <c r="T579" s="2">
        <v>100000</v>
      </c>
      <c r="U579" s="6">
        <f t="shared" si="836"/>
        <v>6600</v>
      </c>
      <c r="V579" s="1"/>
      <c r="W579" s="1"/>
      <c r="X579" s="1"/>
      <c r="Y579" s="1"/>
      <c r="Z579" s="1"/>
      <c r="AA579" s="1"/>
      <c r="AB579" s="3"/>
    </row>
    <row r="580" spans="1:28" ht="22.9" customHeight="1" x14ac:dyDescent="0.25">
      <c r="A580" s="39" t="s">
        <v>1622</v>
      </c>
      <c r="B580" s="3" t="s">
        <v>394</v>
      </c>
      <c r="C580" s="7">
        <f t="shared" si="833"/>
        <v>4442272</v>
      </c>
      <c r="D580" s="2">
        <f t="shared" si="834"/>
        <v>281600</v>
      </c>
      <c r="E580" s="2">
        <f>700*281.6</f>
        <v>197120.00000000003</v>
      </c>
      <c r="F580" s="2">
        <v>0</v>
      </c>
      <c r="G580" s="2">
        <f>300*281.6</f>
        <v>84480</v>
      </c>
      <c r="H580" s="2">
        <v>0</v>
      </c>
      <c r="I580" s="2">
        <v>0</v>
      </c>
      <c r="J580" s="2">
        <v>0</v>
      </c>
      <c r="K580" s="21">
        <v>0</v>
      </c>
      <c r="L580" s="2">
        <v>0</v>
      </c>
      <c r="M580" s="18">
        <v>478.72</v>
      </c>
      <c r="N580" s="18">
        <f t="shared" si="835"/>
        <v>3159552</v>
      </c>
      <c r="O580" s="18">
        <v>0</v>
      </c>
      <c r="P580" s="2">
        <v>0</v>
      </c>
      <c r="Q580" s="18">
        <v>281.60000000000002</v>
      </c>
      <c r="R580" s="18">
        <f t="shared" si="828"/>
        <v>901120.00000000012</v>
      </c>
      <c r="S580" s="2">
        <v>0</v>
      </c>
      <c r="T580" s="2">
        <v>100000</v>
      </c>
      <c r="U580" s="6">
        <f t="shared" si="836"/>
        <v>6600</v>
      </c>
      <c r="V580" s="1"/>
      <c r="W580" s="1"/>
      <c r="X580" s="1"/>
      <c r="Y580" s="1"/>
      <c r="Z580" s="1"/>
      <c r="AA580" s="1"/>
      <c r="AB580" s="3"/>
    </row>
    <row r="581" spans="1:28" ht="45" customHeight="1" x14ac:dyDescent="0.25">
      <c r="A581" s="43" t="s">
        <v>397</v>
      </c>
      <c r="B581" s="43"/>
      <c r="C581" s="1">
        <f>SUM(C582:C600)</f>
        <v>141771335</v>
      </c>
      <c r="D581" s="1">
        <f t="shared" ref="D581:T581" si="837">SUM(D582:D600)</f>
        <v>57709075</v>
      </c>
      <c r="E581" s="1">
        <f t="shared" si="837"/>
        <v>15248520</v>
      </c>
      <c r="F581" s="1">
        <f t="shared" si="837"/>
        <v>29204890</v>
      </c>
      <c r="G581" s="1">
        <f t="shared" si="837"/>
        <v>6670785</v>
      </c>
      <c r="H581" s="1">
        <f t="shared" si="837"/>
        <v>0</v>
      </c>
      <c r="I581" s="1">
        <f t="shared" si="837"/>
        <v>6584880</v>
      </c>
      <c r="J581" s="1">
        <f t="shared" si="837"/>
        <v>0</v>
      </c>
      <c r="K581" s="33">
        <f t="shared" si="837"/>
        <v>2</v>
      </c>
      <c r="L581" s="1">
        <f t="shared" si="837"/>
        <v>5400000</v>
      </c>
      <c r="M581" s="1">
        <f t="shared" si="837"/>
        <v>5914.7</v>
      </c>
      <c r="N581" s="1">
        <f t="shared" si="837"/>
        <v>39037020</v>
      </c>
      <c r="O581" s="1">
        <f t="shared" si="837"/>
        <v>338.1</v>
      </c>
      <c r="P581" s="1">
        <f t="shared" si="837"/>
        <v>405720</v>
      </c>
      <c r="Q581" s="1">
        <f t="shared" si="837"/>
        <v>11756.1</v>
      </c>
      <c r="R581" s="1">
        <f t="shared" si="837"/>
        <v>37619520</v>
      </c>
      <c r="S581" s="1">
        <f t="shared" si="837"/>
        <v>0</v>
      </c>
      <c r="T581" s="1">
        <f t="shared" si="837"/>
        <v>1600000</v>
      </c>
      <c r="U581" s="3" t="e">
        <f>C581+#REF!+#REF!</f>
        <v>#REF!</v>
      </c>
    </row>
    <row r="582" spans="1:28" ht="22.9" customHeight="1" x14ac:dyDescent="0.25">
      <c r="A582" s="39" t="s">
        <v>1623</v>
      </c>
      <c r="B582" s="9" t="s">
        <v>418</v>
      </c>
      <c r="C582" s="7">
        <f t="shared" ref="C582:C600" si="838">D582+L582+N582+P582+R582+S582+T582</f>
        <v>5500000</v>
      </c>
      <c r="D582" s="2">
        <f t="shared" ref="D582:D600" si="839">SUM(E582:J582)</f>
        <v>0</v>
      </c>
      <c r="E582" s="2">
        <v>0</v>
      </c>
      <c r="F582" s="2">
        <v>0</v>
      </c>
      <c r="G582" s="2">
        <v>0</v>
      </c>
      <c r="H582" s="2">
        <v>0</v>
      </c>
      <c r="I582" s="2">
        <v>0</v>
      </c>
      <c r="J582" s="2">
        <v>0</v>
      </c>
      <c r="K582" s="21">
        <v>2</v>
      </c>
      <c r="L582" s="2">
        <f>K582*2700000</f>
        <v>5400000</v>
      </c>
      <c r="M582" s="2">
        <v>0</v>
      </c>
      <c r="N582" s="2">
        <v>0</v>
      </c>
      <c r="O582" s="2">
        <v>0</v>
      </c>
      <c r="P582" s="2">
        <v>0</v>
      </c>
      <c r="Q582" s="2">
        <v>0</v>
      </c>
      <c r="R582" s="2">
        <v>0</v>
      </c>
      <c r="S582" s="2">
        <v>0</v>
      </c>
      <c r="T582" s="2">
        <v>100000</v>
      </c>
      <c r="U582" s="6" t="e">
        <f t="shared" ref="U582:U600" si="840">N582/M582</f>
        <v>#DIV/0!</v>
      </c>
      <c r="V582" s="1"/>
      <c r="W582" s="1"/>
      <c r="X582" s="1"/>
      <c r="Y582" s="1"/>
      <c r="Z582" s="1"/>
      <c r="AA582" s="1"/>
      <c r="AB582" s="3"/>
    </row>
    <row r="583" spans="1:28" ht="22.9" customHeight="1" x14ac:dyDescent="0.25">
      <c r="A583" s="39" t="s">
        <v>1624</v>
      </c>
      <c r="B583" s="9" t="s">
        <v>419</v>
      </c>
      <c r="C583" s="7">
        <f t="shared" si="838"/>
        <v>6002880</v>
      </c>
      <c r="D583" s="2">
        <f t="shared" si="839"/>
        <v>0</v>
      </c>
      <c r="E583" s="2">
        <v>0</v>
      </c>
      <c r="F583" s="2">
        <v>0</v>
      </c>
      <c r="G583" s="2">
        <v>0</v>
      </c>
      <c r="H583" s="2">
        <v>0</v>
      </c>
      <c r="I583" s="2">
        <v>0</v>
      </c>
      <c r="J583" s="2">
        <f t="shared" ref="J583:J589" si="841">350*0</f>
        <v>0</v>
      </c>
      <c r="K583" s="21">
        <v>0</v>
      </c>
      <c r="L583" s="2">
        <v>0</v>
      </c>
      <c r="M583" s="2">
        <v>656</v>
      </c>
      <c r="N583" s="2">
        <f>M583*6600</f>
        <v>4329600</v>
      </c>
      <c r="O583" s="2">
        <v>0</v>
      </c>
      <c r="P583" s="2">
        <v>0</v>
      </c>
      <c r="Q583" s="2">
        <v>522.9</v>
      </c>
      <c r="R583" s="2">
        <f t="shared" ref="R583:R587" si="842">Q583*3200</f>
        <v>1673280</v>
      </c>
      <c r="S583" s="2">
        <v>0</v>
      </c>
      <c r="T583" s="2">
        <v>0</v>
      </c>
      <c r="U583" s="6">
        <f t="shared" si="840"/>
        <v>6600</v>
      </c>
      <c r="V583" s="1"/>
      <c r="W583" s="1"/>
      <c r="X583" s="1"/>
      <c r="Y583" s="1"/>
      <c r="Z583" s="1"/>
      <c r="AA583" s="1"/>
      <c r="AB583" s="3"/>
    </row>
    <row r="584" spans="1:28" ht="22.9" customHeight="1" x14ac:dyDescent="0.25">
      <c r="A584" s="39" t="s">
        <v>1625</v>
      </c>
      <c r="B584" s="5" t="s">
        <v>420</v>
      </c>
      <c r="C584" s="7">
        <f t="shared" si="838"/>
        <v>3838280</v>
      </c>
      <c r="D584" s="2">
        <f t="shared" si="839"/>
        <v>3738280</v>
      </c>
      <c r="E584" s="2">
        <f>1437.8*700</f>
        <v>1006460</v>
      </c>
      <c r="F584" s="2">
        <f>1437.8*1300</f>
        <v>1869140</v>
      </c>
      <c r="G584" s="2">
        <f>1437.8*300</f>
        <v>431340</v>
      </c>
      <c r="H584" s="2">
        <v>0</v>
      </c>
      <c r="I584" s="2">
        <f>1437.8*300</f>
        <v>431340</v>
      </c>
      <c r="J584" s="2">
        <v>0</v>
      </c>
      <c r="K584" s="21">
        <v>0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2">
        <v>0</v>
      </c>
      <c r="R584" s="2">
        <v>0</v>
      </c>
      <c r="S584" s="2">
        <v>0</v>
      </c>
      <c r="T584" s="2">
        <v>100000</v>
      </c>
      <c r="U584" s="6" t="e">
        <f t="shared" si="840"/>
        <v>#DIV/0!</v>
      </c>
      <c r="V584" s="1"/>
      <c r="W584" s="1"/>
      <c r="X584" s="1"/>
      <c r="Y584" s="1"/>
      <c r="Z584" s="1"/>
      <c r="AA584" s="1"/>
      <c r="AB584" s="3"/>
    </row>
    <row r="585" spans="1:28" ht="22.9" customHeight="1" x14ac:dyDescent="0.25">
      <c r="A585" s="39" t="s">
        <v>1626</v>
      </c>
      <c r="B585" s="9" t="s">
        <v>421</v>
      </c>
      <c r="C585" s="7">
        <f t="shared" si="838"/>
        <v>6378340</v>
      </c>
      <c r="D585" s="2">
        <f t="shared" si="839"/>
        <v>0</v>
      </c>
      <c r="E585" s="2">
        <v>0</v>
      </c>
      <c r="F585" s="2">
        <v>0</v>
      </c>
      <c r="G585" s="2">
        <v>0</v>
      </c>
      <c r="H585" s="2">
        <f>500*0</f>
        <v>0</v>
      </c>
      <c r="I585" s="2">
        <v>0</v>
      </c>
      <c r="J585" s="2">
        <f t="shared" si="841"/>
        <v>0</v>
      </c>
      <c r="K585" s="21">
        <v>0</v>
      </c>
      <c r="L585" s="2">
        <v>0</v>
      </c>
      <c r="M585" s="2">
        <v>614.9</v>
      </c>
      <c r="N585" s="2">
        <f>M585*6600</f>
        <v>4058340</v>
      </c>
      <c r="O585" s="2">
        <v>0</v>
      </c>
      <c r="P585" s="2">
        <v>0</v>
      </c>
      <c r="Q585" s="2">
        <v>725</v>
      </c>
      <c r="R585" s="2">
        <f t="shared" si="842"/>
        <v>2320000</v>
      </c>
      <c r="S585" s="2">
        <v>0</v>
      </c>
      <c r="T585" s="2">
        <v>0</v>
      </c>
      <c r="U585" s="6">
        <f t="shared" si="840"/>
        <v>6600</v>
      </c>
      <c r="V585" s="1"/>
      <c r="W585" s="1"/>
      <c r="X585" s="1"/>
      <c r="Y585" s="1"/>
      <c r="Z585" s="1"/>
      <c r="AA585" s="1"/>
      <c r="AB585" s="3"/>
    </row>
    <row r="586" spans="1:28" ht="22.9" customHeight="1" x14ac:dyDescent="0.25">
      <c r="A586" s="39" t="s">
        <v>1627</v>
      </c>
      <c r="B586" s="9" t="s">
        <v>422</v>
      </c>
      <c r="C586" s="7">
        <f t="shared" si="838"/>
        <v>6313140</v>
      </c>
      <c r="D586" s="2">
        <f t="shared" si="839"/>
        <v>0</v>
      </c>
      <c r="E586" s="2">
        <v>0</v>
      </c>
      <c r="F586" s="2">
        <v>0</v>
      </c>
      <c r="G586" s="2">
        <v>0</v>
      </c>
      <c r="H586" s="2">
        <v>0</v>
      </c>
      <c r="I586" s="2">
        <v>0</v>
      </c>
      <c r="J586" s="2">
        <f t="shared" si="841"/>
        <v>0</v>
      </c>
      <c r="K586" s="21">
        <v>0</v>
      </c>
      <c r="L586" s="2">
        <v>0</v>
      </c>
      <c r="M586" s="2">
        <v>616.9</v>
      </c>
      <c r="N586" s="2">
        <f>M586*6600</f>
        <v>4071540</v>
      </c>
      <c r="O586" s="2">
        <v>0</v>
      </c>
      <c r="P586" s="2">
        <f>O586*410</f>
        <v>0</v>
      </c>
      <c r="Q586" s="2">
        <v>700.5</v>
      </c>
      <c r="R586" s="2">
        <f t="shared" si="842"/>
        <v>2241600</v>
      </c>
      <c r="S586" s="2">
        <v>0</v>
      </c>
      <c r="T586" s="2">
        <v>0</v>
      </c>
      <c r="U586" s="6">
        <f t="shared" si="840"/>
        <v>6600</v>
      </c>
      <c r="V586" s="1"/>
      <c r="W586" s="1"/>
      <c r="X586" s="1"/>
      <c r="Y586" s="1"/>
      <c r="Z586" s="1"/>
      <c r="AA586" s="1"/>
      <c r="AB586" s="3"/>
    </row>
    <row r="587" spans="1:28" ht="22.9" customHeight="1" x14ac:dyDescent="0.25">
      <c r="A587" s="39" t="s">
        <v>1628</v>
      </c>
      <c r="B587" s="9" t="s">
        <v>423</v>
      </c>
      <c r="C587" s="7">
        <f t="shared" si="838"/>
        <v>18538820</v>
      </c>
      <c r="D587" s="2">
        <f t="shared" si="839"/>
        <v>9033700</v>
      </c>
      <c r="E587" s="2">
        <f>700*3474.5</f>
        <v>2432150</v>
      </c>
      <c r="F587" s="2">
        <f>1300*3474.5</f>
        <v>4516850</v>
      </c>
      <c r="G587" s="2">
        <f>300*3474.5</f>
        <v>1042350</v>
      </c>
      <c r="H587" s="2">
        <v>0</v>
      </c>
      <c r="I587" s="2">
        <f>300*3474.5</f>
        <v>1042350</v>
      </c>
      <c r="J587" s="2">
        <f t="shared" si="841"/>
        <v>0</v>
      </c>
      <c r="K587" s="21">
        <v>0</v>
      </c>
      <c r="L587" s="2">
        <v>0</v>
      </c>
      <c r="M587" s="2">
        <v>883.2</v>
      </c>
      <c r="N587" s="2">
        <f>M587*6600</f>
        <v>5829120</v>
      </c>
      <c r="O587" s="2">
        <v>0</v>
      </c>
      <c r="P587" s="2">
        <v>0</v>
      </c>
      <c r="Q587" s="2">
        <v>1117.5</v>
      </c>
      <c r="R587" s="2">
        <f t="shared" si="842"/>
        <v>3576000</v>
      </c>
      <c r="S587" s="2">
        <v>0</v>
      </c>
      <c r="T587" s="2">
        <v>100000</v>
      </c>
      <c r="U587" s="6">
        <f t="shared" si="840"/>
        <v>6600</v>
      </c>
      <c r="V587" s="1"/>
      <c r="W587" s="1"/>
      <c r="X587" s="1"/>
      <c r="Y587" s="1"/>
      <c r="Z587" s="1"/>
      <c r="AA587" s="1"/>
      <c r="AB587" s="3"/>
    </row>
    <row r="588" spans="1:28" ht="22.9" customHeight="1" x14ac:dyDescent="0.25">
      <c r="A588" s="39" t="s">
        <v>1629</v>
      </c>
      <c r="B588" s="9" t="s">
        <v>424</v>
      </c>
      <c r="C588" s="7">
        <f t="shared" si="838"/>
        <v>6330400</v>
      </c>
      <c r="D588" s="2">
        <f t="shared" si="839"/>
        <v>0</v>
      </c>
      <c r="E588" s="2">
        <v>0</v>
      </c>
      <c r="F588" s="2">
        <v>0</v>
      </c>
      <c r="G588" s="2">
        <v>0</v>
      </c>
      <c r="H588" s="2">
        <f>500*0</f>
        <v>0</v>
      </c>
      <c r="I588" s="2">
        <v>0</v>
      </c>
      <c r="J588" s="2">
        <f t="shared" si="841"/>
        <v>0</v>
      </c>
      <c r="K588" s="21">
        <v>0</v>
      </c>
      <c r="L588" s="2">
        <v>0</v>
      </c>
      <c r="M588" s="2">
        <v>608</v>
      </c>
      <c r="N588" s="2">
        <f>M588*6600</f>
        <v>4012800</v>
      </c>
      <c r="O588" s="2">
        <v>0</v>
      </c>
      <c r="P588" s="2">
        <v>0</v>
      </c>
      <c r="Q588" s="8">
        <v>693</v>
      </c>
      <c r="R588" s="2">
        <f>Q588*3200</f>
        <v>2217600</v>
      </c>
      <c r="S588" s="2">
        <v>0</v>
      </c>
      <c r="T588" s="2">
        <v>100000</v>
      </c>
      <c r="U588" s="6">
        <f t="shared" si="840"/>
        <v>6600</v>
      </c>
      <c r="V588" s="1"/>
      <c r="W588" s="1"/>
      <c r="X588" s="1"/>
      <c r="Y588" s="1"/>
      <c r="Z588" s="1"/>
      <c r="AA588" s="1"/>
      <c r="AB588" s="3"/>
    </row>
    <row r="589" spans="1:28" ht="22.9" customHeight="1" x14ac:dyDescent="0.25">
      <c r="A589" s="39" t="s">
        <v>1630</v>
      </c>
      <c r="B589" s="9" t="s">
        <v>425</v>
      </c>
      <c r="C589" s="7">
        <f t="shared" si="838"/>
        <v>3491079.9999999995</v>
      </c>
      <c r="D589" s="2">
        <f t="shared" si="839"/>
        <v>0</v>
      </c>
      <c r="E589" s="2">
        <v>0</v>
      </c>
      <c r="F589" s="2">
        <f>800*0</f>
        <v>0</v>
      </c>
      <c r="G589" s="2">
        <f>300*0</f>
        <v>0</v>
      </c>
      <c r="H589" s="2">
        <f>500*0</f>
        <v>0</v>
      </c>
      <c r="I589" s="2">
        <f>400*0</f>
        <v>0</v>
      </c>
      <c r="J589" s="2">
        <f t="shared" si="841"/>
        <v>0</v>
      </c>
      <c r="K589" s="21">
        <v>0</v>
      </c>
      <c r="L589" s="2">
        <v>0</v>
      </c>
      <c r="M589" s="2">
        <v>513.79999999999995</v>
      </c>
      <c r="N589" s="2">
        <f>M589*6600</f>
        <v>3391079.9999999995</v>
      </c>
      <c r="O589" s="2">
        <v>0</v>
      </c>
      <c r="P589" s="2">
        <f>O589*410</f>
        <v>0</v>
      </c>
      <c r="Q589" s="2">
        <v>0</v>
      </c>
      <c r="R589" s="2">
        <v>0</v>
      </c>
      <c r="S589" s="2">
        <v>0</v>
      </c>
      <c r="T589" s="2">
        <v>100000</v>
      </c>
      <c r="U589" s="6">
        <f t="shared" si="840"/>
        <v>6600</v>
      </c>
      <c r="V589" s="1"/>
      <c r="W589" s="1"/>
      <c r="X589" s="1"/>
      <c r="Y589" s="1"/>
      <c r="Z589" s="1"/>
      <c r="AA589" s="1"/>
      <c r="AB589" s="3"/>
    </row>
    <row r="590" spans="1:28" ht="22.9" customHeight="1" x14ac:dyDescent="0.25">
      <c r="A590" s="39" t="s">
        <v>1631</v>
      </c>
      <c r="B590" s="5" t="s">
        <v>426</v>
      </c>
      <c r="C590" s="7">
        <f t="shared" si="838"/>
        <v>3283700</v>
      </c>
      <c r="D590" s="2">
        <f t="shared" si="839"/>
        <v>3183700</v>
      </c>
      <c r="E590" s="2">
        <f>1224.5*700</f>
        <v>857150</v>
      </c>
      <c r="F590" s="2">
        <f>1224.5*1300</f>
        <v>1591850</v>
      </c>
      <c r="G590" s="2">
        <f>1224.5*300</f>
        <v>367350</v>
      </c>
      <c r="H590" s="2">
        <v>0</v>
      </c>
      <c r="I590" s="2">
        <f>1224.5*300</f>
        <v>367350</v>
      </c>
      <c r="J590" s="2">
        <v>0</v>
      </c>
      <c r="K590" s="21">
        <v>0</v>
      </c>
      <c r="L590" s="2">
        <v>0</v>
      </c>
      <c r="M590" s="2">
        <v>0</v>
      </c>
      <c r="N590" s="2">
        <v>0</v>
      </c>
      <c r="O590" s="2">
        <v>0</v>
      </c>
      <c r="P590" s="2">
        <v>0</v>
      </c>
      <c r="Q590" s="2">
        <v>0</v>
      </c>
      <c r="R590" s="2">
        <v>0</v>
      </c>
      <c r="S590" s="2">
        <v>0</v>
      </c>
      <c r="T590" s="2">
        <v>100000</v>
      </c>
      <c r="U590" s="6" t="e">
        <f t="shared" si="840"/>
        <v>#DIV/0!</v>
      </c>
      <c r="V590" s="1"/>
      <c r="W590" s="1"/>
      <c r="X590" s="1"/>
      <c r="Y590" s="1"/>
      <c r="Z590" s="1"/>
      <c r="AA590" s="1"/>
      <c r="AB590" s="3"/>
    </row>
    <row r="591" spans="1:28" ht="22.9" customHeight="1" x14ac:dyDescent="0.25">
      <c r="A591" s="39" t="s">
        <v>1632</v>
      </c>
      <c r="B591" s="9" t="s">
        <v>427</v>
      </c>
      <c r="C591" s="7">
        <f t="shared" si="838"/>
        <v>17460040</v>
      </c>
      <c r="D591" s="2">
        <f t="shared" si="839"/>
        <v>10781160.000000002</v>
      </c>
      <c r="E591" s="2">
        <f>700*4146.6</f>
        <v>2902620.0000000005</v>
      </c>
      <c r="F591" s="2">
        <f>1300*4146.6</f>
        <v>5390580.0000000009</v>
      </c>
      <c r="G591" s="2">
        <f>300*4146.6</f>
        <v>1243980</v>
      </c>
      <c r="H591" s="2">
        <v>0</v>
      </c>
      <c r="I591" s="2">
        <f>300*4146.6</f>
        <v>1243980</v>
      </c>
      <c r="J591" s="2">
        <v>0</v>
      </c>
      <c r="K591" s="21">
        <v>0</v>
      </c>
      <c r="L591" s="2">
        <v>0</v>
      </c>
      <c r="M591" s="2">
        <v>0</v>
      </c>
      <c r="N591" s="2">
        <v>0</v>
      </c>
      <c r="O591" s="2">
        <v>0</v>
      </c>
      <c r="P591" s="2">
        <f>O591*410</f>
        <v>0</v>
      </c>
      <c r="Q591" s="2">
        <v>2055.9</v>
      </c>
      <c r="R591" s="2">
        <f>Q591*3200</f>
        <v>6578880</v>
      </c>
      <c r="S591" s="2">
        <v>0</v>
      </c>
      <c r="T591" s="2">
        <v>100000</v>
      </c>
      <c r="U591" s="6" t="e">
        <f t="shared" si="840"/>
        <v>#DIV/0!</v>
      </c>
      <c r="V591" s="1"/>
      <c r="W591" s="1"/>
      <c r="X591" s="1"/>
      <c r="Y591" s="1"/>
      <c r="Z591" s="1"/>
      <c r="AA591" s="1"/>
      <c r="AB591" s="3"/>
    </row>
    <row r="592" spans="1:28" ht="22.9" customHeight="1" x14ac:dyDescent="0.25">
      <c r="A592" s="39" t="s">
        <v>1633</v>
      </c>
      <c r="B592" s="9" t="s">
        <v>428</v>
      </c>
      <c r="C592" s="7">
        <f t="shared" si="838"/>
        <v>8376665</v>
      </c>
      <c r="D592" s="2">
        <f t="shared" si="839"/>
        <v>5592825</v>
      </c>
      <c r="E592" s="2">
        <f>700*2110.5</f>
        <v>1477350</v>
      </c>
      <c r="F592" s="2">
        <f>1300*2110.5</f>
        <v>2743650</v>
      </c>
      <c r="G592" s="2">
        <f>350*2110.5</f>
        <v>738675</v>
      </c>
      <c r="H592" s="2">
        <v>0</v>
      </c>
      <c r="I592" s="2">
        <f>300*2110.5</f>
        <v>633150</v>
      </c>
      <c r="J592" s="2">
        <v>0</v>
      </c>
      <c r="K592" s="21">
        <v>0</v>
      </c>
      <c r="L592" s="2">
        <v>0</v>
      </c>
      <c r="M592" s="2">
        <v>0</v>
      </c>
      <c r="N592" s="2">
        <v>0</v>
      </c>
      <c r="O592" s="2">
        <v>0</v>
      </c>
      <c r="P592" s="2">
        <f>O592*410</f>
        <v>0</v>
      </c>
      <c r="Q592" s="2">
        <v>838.7</v>
      </c>
      <c r="R592" s="2">
        <f t="shared" ref="R592:R599" si="843">Q592*3200</f>
        <v>2683840</v>
      </c>
      <c r="S592" s="2">
        <v>0</v>
      </c>
      <c r="T592" s="2">
        <v>100000</v>
      </c>
      <c r="U592" s="6" t="e">
        <f t="shared" si="840"/>
        <v>#DIV/0!</v>
      </c>
      <c r="V592" s="1"/>
      <c r="W592" s="1"/>
      <c r="X592" s="1"/>
      <c r="Y592" s="1"/>
      <c r="Z592" s="1"/>
      <c r="AA592" s="1"/>
      <c r="AB592" s="3"/>
    </row>
    <row r="593" spans="1:28" ht="22.9" customHeight="1" x14ac:dyDescent="0.25">
      <c r="A593" s="39" t="s">
        <v>1634</v>
      </c>
      <c r="B593" s="9" t="s">
        <v>429</v>
      </c>
      <c r="C593" s="7">
        <f t="shared" si="838"/>
        <v>7075019.9999999991</v>
      </c>
      <c r="D593" s="2">
        <f t="shared" si="839"/>
        <v>6975019.9999999991</v>
      </c>
      <c r="E593" s="2">
        <f>700*2682.7</f>
        <v>1877889.9999999998</v>
      </c>
      <c r="F593" s="2">
        <f>1300*2682.7</f>
        <v>3487509.9999999995</v>
      </c>
      <c r="G593" s="2">
        <f>300*2682.7</f>
        <v>804810</v>
      </c>
      <c r="H593" s="2">
        <v>0</v>
      </c>
      <c r="I593" s="2">
        <f>300*2682.7</f>
        <v>804810</v>
      </c>
      <c r="J593" s="2">
        <f>350*0</f>
        <v>0</v>
      </c>
      <c r="K593" s="21">
        <v>0</v>
      </c>
      <c r="L593" s="2">
        <v>0</v>
      </c>
      <c r="M593" s="2">
        <v>0</v>
      </c>
      <c r="N593" s="2">
        <v>0</v>
      </c>
      <c r="O593" s="2">
        <v>0</v>
      </c>
      <c r="P593" s="2">
        <f>O593*410</f>
        <v>0</v>
      </c>
      <c r="Q593" s="2">
        <v>0</v>
      </c>
      <c r="R593" s="2">
        <v>0</v>
      </c>
      <c r="S593" s="2">
        <v>0</v>
      </c>
      <c r="T593" s="2">
        <v>100000</v>
      </c>
      <c r="U593" s="6" t="e">
        <f t="shared" si="840"/>
        <v>#DIV/0!</v>
      </c>
      <c r="V593" s="1"/>
      <c r="W593" s="1"/>
      <c r="X593" s="1"/>
      <c r="Y593" s="1"/>
      <c r="Z593" s="1"/>
      <c r="AA593" s="1"/>
      <c r="AB593" s="3"/>
    </row>
    <row r="594" spans="1:28" ht="22.9" customHeight="1" x14ac:dyDescent="0.25">
      <c r="A594" s="39" t="s">
        <v>1635</v>
      </c>
      <c r="B594" s="9" t="s">
        <v>430</v>
      </c>
      <c r="C594" s="7">
        <f t="shared" si="838"/>
        <v>10277860</v>
      </c>
      <c r="D594" s="2">
        <f t="shared" si="839"/>
        <v>3528200</v>
      </c>
      <c r="E594" s="2">
        <f>700*1357</f>
        <v>949900</v>
      </c>
      <c r="F594" s="2">
        <f>1300*1357</f>
        <v>1764100</v>
      </c>
      <c r="G594" s="2">
        <f>300*1357</f>
        <v>407100</v>
      </c>
      <c r="H594" s="2">
        <v>0</v>
      </c>
      <c r="I594" s="2">
        <f>300*1357</f>
        <v>407100</v>
      </c>
      <c r="J594" s="2">
        <f>350*0</f>
        <v>0</v>
      </c>
      <c r="K594" s="21">
        <v>0</v>
      </c>
      <c r="L594" s="2">
        <v>0</v>
      </c>
      <c r="M594" s="2">
        <v>499.7</v>
      </c>
      <c r="N594" s="2">
        <f>M594*6600</f>
        <v>3298020</v>
      </c>
      <c r="O594" s="2">
        <v>338.1</v>
      </c>
      <c r="P594" s="2">
        <f>O594*1200</f>
        <v>405720</v>
      </c>
      <c r="Q594" s="2">
        <v>920.6</v>
      </c>
      <c r="R594" s="2">
        <f t="shared" si="843"/>
        <v>2945920</v>
      </c>
      <c r="S594" s="2">
        <v>0</v>
      </c>
      <c r="T594" s="2">
        <v>100000</v>
      </c>
      <c r="U594" s="6">
        <f t="shared" si="840"/>
        <v>6600</v>
      </c>
      <c r="V594" s="1"/>
      <c r="W594" s="1"/>
      <c r="X594" s="1"/>
      <c r="Y594" s="1"/>
      <c r="Z594" s="1"/>
      <c r="AA594" s="1"/>
      <c r="AB594" s="3"/>
    </row>
    <row r="595" spans="1:28" ht="22.9" customHeight="1" x14ac:dyDescent="0.25">
      <c r="A595" s="39" t="s">
        <v>1636</v>
      </c>
      <c r="B595" s="9" t="s">
        <v>431</v>
      </c>
      <c r="C595" s="7">
        <f t="shared" si="838"/>
        <v>2282120</v>
      </c>
      <c r="D595" s="2">
        <f t="shared" si="839"/>
        <v>1031400.0000000002</v>
      </c>
      <c r="E595" s="2">
        <f>700*515.7</f>
        <v>360990.00000000006</v>
      </c>
      <c r="F595" s="2">
        <f>1300*515.7</f>
        <v>670410.00000000012</v>
      </c>
      <c r="G595" s="2">
        <f>350*0</f>
        <v>0</v>
      </c>
      <c r="H595" s="2">
        <f>500*0</f>
        <v>0</v>
      </c>
      <c r="I595" s="2">
        <f>400*0</f>
        <v>0</v>
      </c>
      <c r="J595" s="2">
        <v>0</v>
      </c>
      <c r="K595" s="21">
        <v>0</v>
      </c>
      <c r="L595" s="2">
        <v>0</v>
      </c>
      <c r="M595" s="2">
        <v>0</v>
      </c>
      <c r="N595" s="2">
        <v>0</v>
      </c>
      <c r="O595" s="2">
        <v>0</v>
      </c>
      <c r="P595" s="2">
        <v>0</v>
      </c>
      <c r="Q595" s="2">
        <v>359.6</v>
      </c>
      <c r="R595" s="2">
        <f t="shared" si="843"/>
        <v>1150720</v>
      </c>
      <c r="S595" s="2">
        <v>0</v>
      </c>
      <c r="T595" s="2">
        <v>100000</v>
      </c>
      <c r="U595" s="6" t="e">
        <f t="shared" si="840"/>
        <v>#DIV/0!</v>
      </c>
      <c r="V595" s="1"/>
      <c r="W595" s="1"/>
      <c r="X595" s="1"/>
      <c r="Y595" s="1"/>
      <c r="Z595" s="1"/>
      <c r="AA595" s="1"/>
      <c r="AB595" s="3"/>
    </row>
    <row r="596" spans="1:28" ht="22.9" customHeight="1" x14ac:dyDescent="0.25">
      <c r="A596" s="39" t="s">
        <v>1637</v>
      </c>
      <c r="B596" s="9" t="s">
        <v>432</v>
      </c>
      <c r="C596" s="7">
        <f t="shared" si="838"/>
        <v>5648795</v>
      </c>
      <c r="D596" s="2">
        <f t="shared" si="839"/>
        <v>1838835</v>
      </c>
      <c r="E596" s="2">
        <f>700*693.9</f>
        <v>485730</v>
      </c>
      <c r="F596" s="2">
        <f>1300*693.9</f>
        <v>902070</v>
      </c>
      <c r="G596" s="2">
        <f>350*693.9</f>
        <v>242865</v>
      </c>
      <c r="H596" s="2">
        <f>500*0</f>
        <v>0</v>
      </c>
      <c r="I596" s="2">
        <f>300*693.9</f>
        <v>208170</v>
      </c>
      <c r="J596" s="2">
        <v>0</v>
      </c>
      <c r="K596" s="21">
        <v>0</v>
      </c>
      <c r="L596" s="2">
        <v>0</v>
      </c>
      <c r="M596" s="2">
        <v>357.8</v>
      </c>
      <c r="N596" s="2">
        <f>M596*6600</f>
        <v>2361480</v>
      </c>
      <c r="O596" s="2">
        <v>0</v>
      </c>
      <c r="P596" s="2">
        <v>0</v>
      </c>
      <c r="Q596" s="2">
        <v>421.4</v>
      </c>
      <c r="R596" s="2">
        <f t="shared" si="843"/>
        <v>1348480</v>
      </c>
      <c r="S596" s="2">
        <v>0</v>
      </c>
      <c r="T596" s="2">
        <v>100000</v>
      </c>
      <c r="U596" s="6">
        <f t="shared" si="840"/>
        <v>6600</v>
      </c>
      <c r="V596" s="1"/>
      <c r="W596" s="1"/>
      <c r="X596" s="1"/>
      <c r="Y596" s="1"/>
      <c r="Z596" s="1"/>
      <c r="AA596" s="1"/>
      <c r="AB596" s="3"/>
    </row>
    <row r="597" spans="1:28" ht="22.9" customHeight="1" x14ac:dyDescent="0.25">
      <c r="A597" s="39" t="s">
        <v>1638</v>
      </c>
      <c r="B597" s="9" t="s">
        <v>433</v>
      </c>
      <c r="C597" s="7">
        <f t="shared" si="838"/>
        <v>5567255</v>
      </c>
      <c r="D597" s="2">
        <f t="shared" si="839"/>
        <v>3222135.0000000005</v>
      </c>
      <c r="E597" s="2">
        <f>700*1215.9</f>
        <v>851130.00000000012</v>
      </c>
      <c r="F597" s="2">
        <f>1300*1215.9</f>
        <v>1580670.0000000002</v>
      </c>
      <c r="G597" s="2">
        <f>350*1215.9</f>
        <v>425565.00000000006</v>
      </c>
      <c r="H597" s="2">
        <f>500*0</f>
        <v>0</v>
      </c>
      <c r="I597" s="2">
        <f>300*1215.9</f>
        <v>364770</v>
      </c>
      <c r="J597" s="2">
        <v>0</v>
      </c>
      <c r="K597" s="21">
        <v>0</v>
      </c>
      <c r="L597" s="2">
        <v>0</v>
      </c>
      <c r="M597" s="2">
        <v>0</v>
      </c>
      <c r="N597" s="2">
        <v>0</v>
      </c>
      <c r="O597" s="2">
        <v>0</v>
      </c>
      <c r="P597" s="2">
        <v>0</v>
      </c>
      <c r="Q597" s="2">
        <v>701.6</v>
      </c>
      <c r="R597" s="2">
        <f t="shared" si="843"/>
        <v>2245120</v>
      </c>
      <c r="S597" s="2">
        <v>0</v>
      </c>
      <c r="T597" s="2">
        <v>100000</v>
      </c>
      <c r="U597" s="6" t="e">
        <f t="shared" si="840"/>
        <v>#DIV/0!</v>
      </c>
      <c r="V597" s="1"/>
      <c r="W597" s="1"/>
      <c r="X597" s="1"/>
      <c r="Y597" s="1"/>
      <c r="Z597" s="1"/>
      <c r="AA597" s="1"/>
      <c r="AB597" s="3"/>
    </row>
    <row r="598" spans="1:28" ht="22.9" customHeight="1" x14ac:dyDescent="0.25">
      <c r="A598" s="39" t="s">
        <v>1639</v>
      </c>
      <c r="B598" s="9" t="s">
        <v>434</v>
      </c>
      <c r="C598" s="7">
        <f t="shared" si="838"/>
        <v>8714920</v>
      </c>
      <c r="D598" s="2">
        <f t="shared" si="839"/>
        <v>2954900</v>
      </c>
      <c r="E598" s="2">
        <f>700*1136.5</f>
        <v>795550</v>
      </c>
      <c r="F598" s="2">
        <f>1300*1136.5</f>
        <v>1477450</v>
      </c>
      <c r="G598" s="2">
        <f>300*1136.5</f>
        <v>340950</v>
      </c>
      <c r="H598" s="2">
        <v>0</v>
      </c>
      <c r="I598" s="2">
        <f>300*1136.5</f>
        <v>340950</v>
      </c>
      <c r="J598" s="2">
        <v>0</v>
      </c>
      <c r="K598" s="21">
        <v>0</v>
      </c>
      <c r="L598" s="2">
        <v>0</v>
      </c>
      <c r="M598" s="2">
        <v>597.70000000000005</v>
      </c>
      <c r="N598" s="2">
        <f>M598*6600</f>
        <v>3944820.0000000005</v>
      </c>
      <c r="O598" s="2">
        <v>0</v>
      </c>
      <c r="P598" s="2">
        <v>0</v>
      </c>
      <c r="Q598" s="2">
        <v>536</v>
      </c>
      <c r="R598" s="2">
        <f t="shared" si="843"/>
        <v>1715200</v>
      </c>
      <c r="S598" s="2">
        <v>0</v>
      </c>
      <c r="T598" s="2">
        <v>100000</v>
      </c>
      <c r="U598" s="6">
        <f t="shared" si="840"/>
        <v>6600</v>
      </c>
      <c r="V598" s="1"/>
      <c r="W598" s="1"/>
      <c r="X598" s="1"/>
      <c r="Y598" s="1"/>
      <c r="Z598" s="1"/>
      <c r="AA598" s="1"/>
      <c r="AB598" s="3"/>
    </row>
    <row r="599" spans="1:28" ht="22.9" customHeight="1" x14ac:dyDescent="0.25">
      <c r="A599" s="39" t="s">
        <v>1640</v>
      </c>
      <c r="B599" s="9" t="s">
        <v>435</v>
      </c>
      <c r="C599" s="7">
        <f t="shared" si="838"/>
        <v>12958580</v>
      </c>
      <c r="D599" s="2">
        <f t="shared" si="839"/>
        <v>4738200</v>
      </c>
      <c r="E599" s="2">
        <f>700*1788</f>
        <v>1251600</v>
      </c>
      <c r="F599" s="2">
        <f>1300*1788</f>
        <v>2324400</v>
      </c>
      <c r="G599" s="2">
        <f>350*1788</f>
        <v>625800</v>
      </c>
      <c r="H599" s="2">
        <f>500*0</f>
        <v>0</v>
      </c>
      <c r="I599" s="2">
        <f>300*1788</f>
        <v>536400</v>
      </c>
      <c r="J599" s="2">
        <v>0</v>
      </c>
      <c r="K599" s="21">
        <v>0</v>
      </c>
      <c r="L599" s="2">
        <v>0</v>
      </c>
      <c r="M599" s="2">
        <v>566.70000000000005</v>
      </c>
      <c r="N599" s="2">
        <f>M599*6600</f>
        <v>3740220.0000000005</v>
      </c>
      <c r="O599" s="2">
        <v>0</v>
      </c>
      <c r="P599" s="2">
        <v>0</v>
      </c>
      <c r="Q599" s="2">
        <v>1368.8</v>
      </c>
      <c r="R599" s="2">
        <f t="shared" si="843"/>
        <v>4380160</v>
      </c>
      <c r="S599" s="2">
        <v>0</v>
      </c>
      <c r="T599" s="2">
        <v>100000</v>
      </c>
      <c r="U599" s="6">
        <f t="shared" si="840"/>
        <v>6600</v>
      </c>
      <c r="V599" s="1"/>
      <c r="W599" s="1"/>
      <c r="X599" s="1"/>
      <c r="Y599" s="1"/>
      <c r="Z599" s="1"/>
      <c r="AA599" s="1"/>
      <c r="AB599" s="3"/>
    </row>
    <row r="600" spans="1:28" ht="22.9" customHeight="1" x14ac:dyDescent="0.25">
      <c r="A600" s="39" t="s">
        <v>1641</v>
      </c>
      <c r="B600" s="5" t="s">
        <v>436</v>
      </c>
      <c r="C600" s="7">
        <f t="shared" si="838"/>
        <v>3733440</v>
      </c>
      <c r="D600" s="2">
        <f t="shared" si="839"/>
        <v>1090720</v>
      </c>
      <c r="E600" s="2">
        <v>0</v>
      </c>
      <c r="F600" s="2">
        <f>681.7*1300</f>
        <v>886210.00000000012</v>
      </c>
      <c r="G600" s="2">
        <v>0</v>
      </c>
      <c r="H600" s="2">
        <v>0</v>
      </c>
      <c r="I600" s="2">
        <f>681.7*300</f>
        <v>204510</v>
      </c>
      <c r="J600" s="2">
        <v>0</v>
      </c>
      <c r="K600" s="21">
        <v>0</v>
      </c>
      <c r="L600" s="2">
        <v>0</v>
      </c>
      <c r="M600" s="2">
        <v>0</v>
      </c>
      <c r="N600" s="2">
        <v>0</v>
      </c>
      <c r="O600" s="2">
        <v>0</v>
      </c>
      <c r="P600" s="2">
        <v>0</v>
      </c>
      <c r="Q600" s="2">
        <v>794.6</v>
      </c>
      <c r="R600" s="2">
        <f>Q600*3200</f>
        <v>2542720</v>
      </c>
      <c r="S600" s="2">
        <v>0</v>
      </c>
      <c r="T600" s="2">
        <v>100000</v>
      </c>
      <c r="U600" s="6" t="e">
        <f t="shared" si="840"/>
        <v>#DIV/0!</v>
      </c>
      <c r="V600" s="1"/>
      <c r="W600" s="1"/>
      <c r="X600" s="1"/>
      <c r="Y600" s="1"/>
      <c r="Z600" s="1"/>
      <c r="AA600" s="1"/>
      <c r="AB600" s="3"/>
    </row>
    <row r="601" spans="1:28" ht="45" customHeight="1" x14ac:dyDescent="0.25">
      <c r="A601" s="43" t="s">
        <v>456</v>
      </c>
      <c r="B601" s="43"/>
      <c r="C601" s="1">
        <f>SUM(C602)</f>
        <v>3182064</v>
      </c>
      <c r="D601" s="1">
        <f t="shared" ref="D601:T601" si="844">SUM(D602)</f>
        <v>721859.99999999988</v>
      </c>
      <c r="E601" s="1">
        <f t="shared" si="844"/>
        <v>190679.99999999997</v>
      </c>
      <c r="F601" s="1">
        <f t="shared" si="844"/>
        <v>354119.99999999994</v>
      </c>
      <c r="G601" s="1">
        <f t="shared" si="844"/>
        <v>95339.999999999985</v>
      </c>
      <c r="H601" s="1">
        <f t="shared" si="844"/>
        <v>0</v>
      </c>
      <c r="I601" s="1">
        <f t="shared" si="844"/>
        <v>81720</v>
      </c>
      <c r="J601" s="1">
        <f t="shared" si="844"/>
        <v>0</v>
      </c>
      <c r="K601" s="33">
        <f t="shared" si="844"/>
        <v>0</v>
      </c>
      <c r="L601" s="1">
        <f t="shared" si="844"/>
        <v>0</v>
      </c>
      <c r="M601" s="1">
        <f t="shared" si="844"/>
        <v>202.3</v>
      </c>
      <c r="N601" s="1">
        <f t="shared" si="844"/>
        <v>1335180</v>
      </c>
      <c r="O601" s="1">
        <f t="shared" si="844"/>
        <v>0</v>
      </c>
      <c r="P601" s="1">
        <f t="shared" si="844"/>
        <v>0</v>
      </c>
      <c r="Q601" s="1">
        <f t="shared" si="844"/>
        <v>320.32</v>
      </c>
      <c r="R601" s="1">
        <f t="shared" si="844"/>
        <v>1025024</v>
      </c>
      <c r="S601" s="1">
        <f t="shared" si="844"/>
        <v>0</v>
      </c>
      <c r="T601" s="1">
        <f t="shared" si="844"/>
        <v>100000</v>
      </c>
      <c r="U601" s="3" t="e">
        <f>C601+#REF!+#REF!</f>
        <v>#REF!</v>
      </c>
    </row>
    <row r="602" spans="1:28" ht="22.9" customHeight="1" x14ac:dyDescent="0.25">
      <c r="A602" s="39" t="s">
        <v>1642</v>
      </c>
      <c r="B602" s="3" t="s">
        <v>459</v>
      </c>
      <c r="C602" s="7">
        <f t="shared" ref="C602" si="845">D602+L602+N602+P602+R602+S602+T602</f>
        <v>3182064</v>
      </c>
      <c r="D602" s="2">
        <f t="shared" ref="D602" si="846">SUM(E602:J602)</f>
        <v>721859.99999999988</v>
      </c>
      <c r="E602" s="2">
        <f>700*272.4</f>
        <v>190679.99999999997</v>
      </c>
      <c r="F602" s="2">
        <f>272.4*1300</f>
        <v>354119.99999999994</v>
      </c>
      <c r="G602" s="2">
        <f>350*272.4</f>
        <v>95339.999999999985</v>
      </c>
      <c r="H602" s="2">
        <v>0</v>
      </c>
      <c r="I602" s="2">
        <f>272.4*300</f>
        <v>81720</v>
      </c>
      <c r="J602" s="2">
        <v>0</v>
      </c>
      <c r="K602" s="21">
        <v>0</v>
      </c>
      <c r="L602" s="2">
        <v>0</v>
      </c>
      <c r="M602" s="2">
        <v>202.3</v>
      </c>
      <c r="N602" s="2">
        <v>1335180</v>
      </c>
      <c r="O602" s="2">
        <v>0</v>
      </c>
      <c r="P602" s="2">
        <v>0</v>
      </c>
      <c r="Q602" s="8">
        <v>320.32</v>
      </c>
      <c r="R602" s="2">
        <f>Q602*3200</f>
        <v>1025024</v>
      </c>
      <c r="S602" s="2">
        <v>0</v>
      </c>
      <c r="T602" s="2">
        <v>100000</v>
      </c>
      <c r="U602" s="6">
        <f>N602/M602</f>
        <v>6600</v>
      </c>
      <c r="V602" s="1"/>
      <c r="W602" s="1"/>
      <c r="X602" s="1"/>
      <c r="Y602" s="1"/>
      <c r="Z602" s="1"/>
      <c r="AA602" s="1"/>
      <c r="AB602" s="3"/>
    </row>
    <row r="603" spans="1:28" ht="45" customHeight="1" x14ac:dyDescent="0.25">
      <c r="A603" s="43" t="s">
        <v>460</v>
      </c>
      <c r="B603" s="43"/>
      <c r="C603" s="1">
        <f>SUM(C604:C605)</f>
        <v>16011905</v>
      </c>
      <c r="D603" s="1">
        <f t="shared" ref="D603:T603" si="847">SUM(D604:D605)</f>
        <v>718305</v>
      </c>
      <c r="E603" s="1">
        <f t="shared" si="847"/>
        <v>478870</v>
      </c>
      <c r="F603" s="1">
        <f t="shared" si="847"/>
        <v>0</v>
      </c>
      <c r="G603" s="1">
        <f t="shared" si="847"/>
        <v>239435</v>
      </c>
      <c r="H603" s="1">
        <f t="shared" si="847"/>
        <v>0</v>
      </c>
      <c r="I603" s="1">
        <f t="shared" si="847"/>
        <v>0</v>
      </c>
      <c r="J603" s="1">
        <f t="shared" si="847"/>
        <v>0</v>
      </c>
      <c r="K603" s="33">
        <f t="shared" si="847"/>
        <v>0</v>
      </c>
      <c r="L603" s="1">
        <f t="shared" si="847"/>
        <v>0</v>
      </c>
      <c r="M603" s="1">
        <f t="shared" si="847"/>
        <v>1656</v>
      </c>
      <c r="N603" s="1">
        <f t="shared" si="847"/>
        <v>10929600</v>
      </c>
      <c r="O603" s="1">
        <f t="shared" si="847"/>
        <v>0</v>
      </c>
      <c r="P603" s="1">
        <f t="shared" si="847"/>
        <v>0</v>
      </c>
      <c r="Q603" s="1">
        <f t="shared" si="847"/>
        <v>1270</v>
      </c>
      <c r="R603" s="1">
        <f t="shared" si="847"/>
        <v>4064000</v>
      </c>
      <c r="S603" s="1">
        <f t="shared" si="847"/>
        <v>0</v>
      </c>
      <c r="T603" s="1">
        <f t="shared" si="847"/>
        <v>300000</v>
      </c>
      <c r="U603" s="3" t="e">
        <f>C603+#REF!+#REF!</f>
        <v>#REF!</v>
      </c>
    </row>
    <row r="604" spans="1:28" ht="22.9" customHeight="1" x14ac:dyDescent="0.25">
      <c r="A604" s="39" t="s">
        <v>1643</v>
      </c>
      <c r="B604" s="9" t="s">
        <v>466</v>
      </c>
      <c r="C604" s="7">
        <f t="shared" ref="C604:C605" si="848">D604+L604+N604+P604+R604+S604+T604</f>
        <v>8158325</v>
      </c>
      <c r="D604" s="2">
        <f t="shared" ref="D604:D605" si="849">SUM(E604:J604)</f>
        <v>323925</v>
      </c>
      <c r="E604" s="2">
        <f>700*308.5</f>
        <v>215950</v>
      </c>
      <c r="F604" s="2">
        <v>0</v>
      </c>
      <c r="G604" s="2">
        <f>350*308.5</f>
        <v>107975</v>
      </c>
      <c r="H604" s="2">
        <v>0</v>
      </c>
      <c r="I604" s="2">
        <v>0</v>
      </c>
      <c r="J604" s="2">
        <v>0</v>
      </c>
      <c r="K604" s="21">
        <v>0</v>
      </c>
      <c r="L604" s="2">
        <v>0</v>
      </c>
      <c r="M604" s="2">
        <v>864</v>
      </c>
      <c r="N604" s="2">
        <f>M604*6600</f>
        <v>5702400</v>
      </c>
      <c r="O604" s="2">
        <v>0</v>
      </c>
      <c r="P604" s="2">
        <v>0</v>
      </c>
      <c r="Q604" s="2">
        <v>635</v>
      </c>
      <c r="R604" s="2">
        <f t="shared" ref="R604:R645" si="850">Q604*3200</f>
        <v>2032000</v>
      </c>
      <c r="S604" s="2">
        <v>0</v>
      </c>
      <c r="T604" s="2">
        <v>100000</v>
      </c>
      <c r="U604" s="6">
        <f t="shared" ref="U604:U668" si="851">N604/M604</f>
        <v>6600</v>
      </c>
      <c r="V604" s="1"/>
      <c r="W604" s="1"/>
      <c r="X604" s="1"/>
      <c r="Y604" s="1"/>
      <c r="Z604" s="1"/>
      <c r="AA604" s="1"/>
      <c r="AB604" s="3"/>
    </row>
    <row r="605" spans="1:28" ht="22.9" customHeight="1" x14ac:dyDescent="0.25">
      <c r="A605" s="39" t="s">
        <v>1644</v>
      </c>
      <c r="B605" s="9" t="s">
        <v>467</v>
      </c>
      <c r="C605" s="7">
        <f t="shared" si="848"/>
        <v>7853580</v>
      </c>
      <c r="D605" s="2">
        <f t="shared" si="849"/>
        <v>394380</v>
      </c>
      <c r="E605" s="2">
        <f>700*375.6</f>
        <v>262920</v>
      </c>
      <c r="F605" s="2">
        <v>0</v>
      </c>
      <c r="G605" s="2">
        <f>350*375.6</f>
        <v>131460</v>
      </c>
      <c r="H605" s="2">
        <v>0</v>
      </c>
      <c r="I605" s="2">
        <v>0</v>
      </c>
      <c r="J605" s="2">
        <v>0</v>
      </c>
      <c r="K605" s="21">
        <v>0</v>
      </c>
      <c r="L605" s="2">
        <v>0</v>
      </c>
      <c r="M605" s="2">
        <v>792</v>
      </c>
      <c r="N605" s="2">
        <f>M605*6600</f>
        <v>5227200</v>
      </c>
      <c r="O605" s="2">
        <v>0</v>
      </c>
      <c r="P605" s="2">
        <v>0</v>
      </c>
      <c r="Q605" s="8">
        <v>635</v>
      </c>
      <c r="R605" s="2">
        <f t="shared" si="850"/>
        <v>2032000</v>
      </c>
      <c r="S605" s="2">
        <v>0</v>
      </c>
      <c r="T605" s="2">
        <v>200000</v>
      </c>
      <c r="U605" s="6">
        <f t="shared" si="851"/>
        <v>6600</v>
      </c>
      <c r="V605" s="1"/>
      <c r="W605" s="1"/>
      <c r="X605" s="1"/>
      <c r="Y605" s="1"/>
      <c r="Z605" s="1"/>
      <c r="AA605" s="1"/>
      <c r="AB605" s="3"/>
    </row>
    <row r="606" spans="1:28" ht="45" customHeight="1" x14ac:dyDescent="0.25">
      <c r="A606" s="43" t="s">
        <v>471</v>
      </c>
      <c r="B606" s="43"/>
      <c r="C606" s="1">
        <f>SUM(C607:C610)</f>
        <v>14319158</v>
      </c>
      <c r="D606" s="1">
        <f t="shared" ref="D606:T606" si="852">SUM(D607:D610)</f>
        <v>2662660</v>
      </c>
      <c r="E606" s="1">
        <f t="shared" si="852"/>
        <v>716870</v>
      </c>
      <c r="F606" s="1">
        <f t="shared" si="852"/>
        <v>1331330</v>
      </c>
      <c r="G606" s="1">
        <f t="shared" si="852"/>
        <v>307230</v>
      </c>
      <c r="H606" s="1">
        <f t="shared" si="852"/>
        <v>0</v>
      </c>
      <c r="I606" s="1">
        <f t="shared" si="852"/>
        <v>307230</v>
      </c>
      <c r="J606" s="1">
        <f t="shared" si="852"/>
        <v>0</v>
      </c>
      <c r="K606" s="33">
        <f t="shared" si="852"/>
        <v>0</v>
      </c>
      <c r="L606" s="1">
        <f t="shared" si="852"/>
        <v>0</v>
      </c>
      <c r="M606" s="1">
        <f t="shared" si="852"/>
        <v>1191.1300000000001</v>
      </c>
      <c r="N606" s="1">
        <f t="shared" si="852"/>
        <v>7861458</v>
      </c>
      <c r="O606" s="1">
        <f t="shared" si="852"/>
        <v>0</v>
      </c>
      <c r="P606" s="1">
        <f t="shared" si="852"/>
        <v>0</v>
      </c>
      <c r="Q606" s="1">
        <f t="shared" si="852"/>
        <v>1092.1999999999998</v>
      </c>
      <c r="R606" s="1">
        <f t="shared" si="852"/>
        <v>3495040</v>
      </c>
      <c r="S606" s="1">
        <f t="shared" si="852"/>
        <v>0</v>
      </c>
      <c r="T606" s="1">
        <f t="shared" si="852"/>
        <v>300000</v>
      </c>
      <c r="U606" s="3" t="e">
        <f>C606+#REF!+#REF!</f>
        <v>#REF!</v>
      </c>
    </row>
    <row r="607" spans="1:28" ht="22.9" customHeight="1" x14ac:dyDescent="0.25">
      <c r="A607" s="39" t="s">
        <v>1645</v>
      </c>
      <c r="B607" s="9" t="s">
        <v>475</v>
      </c>
      <c r="C607" s="7">
        <f t="shared" ref="C607:C610" si="853">D607+L607+N607+P607+R607+S607+T607</f>
        <v>4964040</v>
      </c>
      <c r="D607" s="2">
        <f t="shared" ref="D607:D610" si="854">SUM(E607:J607)</f>
        <v>1101880</v>
      </c>
      <c r="E607" s="2">
        <f>700*423.8</f>
        <v>296660</v>
      </c>
      <c r="F607" s="2">
        <f>1300*423.8</f>
        <v>550940</v>
      </c>
      <c r="G607" s="2">
        <f>300*423.8</f>
        <v>127140</v>
      </c>
      <c r="H607" s="2">
        <v>0</v>
      </c>
      <c r="I607" s="2">
        <f>300*423.8</f>
        <v>127140</v>
      </c>
      <c r="J607" s="2">
        <v>0</v>
      </c>
      <c r="K607" s="21">
        <v>0</v>
      </c>
      <c r="L607" s="2">
        <v>0</v>
      </c>
      <c r="M607" s="2">
        <v>358</v>
      </c>
      <c r="N607" s="2">
        <f t="shared" ref="N607:N625" si="855">M607*6600</f>
        <v>2362800</v>
      </c>
      <c r="O607" s="2">
        <v>0</v>
      </c>
      <c r="P607" s="2">
        <v>0</v>
      </c>
      <c r="Q607" s="2">
        <v>437.3</v>
      </c>
      <c r="R607" s="2">
        <f t="shared" si="850"/>
        <v>1399360</v>
      </c>
      <c r="S607" s="2">
        <v>0</v>
      </c>
      <c r="T607" s="2">
        <v>100000</v>
      </c>
      <c r="U607" s="6">
        <f t="shared" si="851"/>
        <v>6600</v>
      </c>
      <c r="V607" s="1"/>
      <c r="W607" s="1"/>
      <c r="X607" s="1"/>
      <c r="Y607" s="1"/>
      <c r="Z607" s="1"/>
      <c r="AA607" s="1"/>
      <c r="AB607" s="3"/>
    </row>
    <row r="608" spans="1:28" ht="22.9" customHeight="1" x14ac:dyDescent="0.25">
      <c r="A608" s="39" t="s">
        <v>1646</v>
      </c>
      <c r="B608" s="9" t="s">
        <v>476</v>
      </c>
      <c r="C608" s="7">
        <f t="shared" si="853"/>
        <v>3611000</v>
      </c>
      <c r="D608" s="2">
        <f t="shared" si="854"/>
        <v>782600</v>
      </c>
      <c r="E608" s="2">
        <f>700*301</f>
        <v>210700</v>
      </c>
      <c r="F608" s="2">
        <f>1300*301</f>
        <v>391300</v>
      </c>
      <c r="G608" s="2">
        <f>300*301</f>
        <v>90300</v>
      </c>
      <c r="H608" s="2">
        <v>0</v>
      </c>
      <c r="I608" s="2">
        <f>300*301</f>
        <v>90300</v>
      </c>
      <c r="J608" s="2">
        <v>0</v>
      </c>
      <c r="K608" s="21">
        <v>0</v>
      </c>
      <c r="L608" s="2">
        <v>0</v>
      </c>
      <c r="M608" s="2">
        <v>250</v>
      </c>
      <c r="N608" s="2">
        <f t="shared" si="855"/>
        <v>1650000</v>
      </c>
      <c r="O608" s="2">
        <v>0</v>
      </c>
      <c r="P608" s="2">
        <v>0</v>
      </c>
      <c r="Q608" s="8">
        <v>337</v>
      </c>
      <c r="R608" s="2">
        <f t="shared" si="850"/>
        <v>1078400</v>
      </c>
      <c r="S608" s="2">
        <v>0</v>
      </c>
      <c r="T608" s="2">
        <v>100000</v>
      </c>
      <c r="U608" s="6">
        <f t="shared" si="851"/>
        <v>6600</v>
      </c>
      <c r="V608" s="1"/>
      <c r="W608" s="1"/>
      <c r="X608" s="1"/>
      <c r="Y608" s="1"/>
      <c r="Z608" s="1"/>
      <c r="AA608" s="1"/>
      <c r="AB608" s="3"/>
    </row>
    <row r="609" spans="1:28" ht="22.9" customHeight="1" x14ac:dyDescent="0.25">
      <c r="A609" s="39" t="s">
        <v>1647</v>
      </c>
      <c r="B609" s="9" t="s">
        <v>477</v>
      </c>
      <c r="C609" s="7">
        <f t="shared" si="853"/>
        <v>2224200</v>
      </c>
      <c r="D609" s="2">
        <f t="shared" si="854"/>
        <v>0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  <c r="J609" s="2">
        <v>0</v>
      </c>
      <c r="K609" s="21">
        <v>0</v>
      </c>
      <c r="L609" s="2">
        <v>0</v>
      </c>
      <c r="M609" s="2">
        <v>337</v>
      </c>
      <c r="N609" s="2">
        <f t="shared" si="855"/>
        <v>2224200</v>
      </c>
      <c r="O609" s="2">
        <v>0</v>
      </c>
      <c r="P609" s="2">
        <v>0</v>
      </c>
      <c r="Q609" s="2">
        <v>0</v>
      </c>
      <c r="R609" s="2">
        <v>0</v>
      </c>
      <c r="S609" s="2">
        <v>0</v>
      </c>
      <c r="T609" s="2">
        <v>0</v>
      </c>
      <c r="U609" s="6">
        <f t="shared" si="851"/>
        <v>6600</v>
      </c>
      <c r="V609" s="1"/>
      <c r="W609" s="1"/>
      <c r="X609" s="1"/>
      <c r="Y609" s="1"/>
      <c r="Z609" s="1"/>
      <c r="AA609" s="1"/>
      <c r="AB609" s="3"/>
    </row>
    <row r="610" spans="1:28" ht="22.9" customHeight="1" x14ac:dyDescent="0.25">
      <c r="A610" s="39" t="s">
        <v>1648</v>
      </c>
      <c r="B610" s="9" t="s">
        <v>478</v>
      </c>
      <c r="C610" s="7">
        <f t="shared" si="853"/>
        <v>3519918</v>
      </c>
      <c r="D610" s="2">
        <f t="shared" si="854"/>
        <v>778180</v>
      </c>
      <c r="E610" s="2">
        <f>700*299.3</f>
        <v>209510</v>
      </c>
      <c r="F610" s="2">
        <f>1300*299.3</f>
        <v>389090</v>
      </c>
      <c r="G610" s="2">
        <f>300*299.3</f>
        <v>89790</v>
      </c>
      <c r="H610" s="2">
        <v>0</v>
      </c>
      <c r="I610" s="2">
        <f>300*299.3</f>
        <v>89790</v>
      </c>
      <c r="J610" s="2">
        <v>0</v>
      </c>
      <c r="K610" s="21">
        <v>0</v>
      </c>
      <c r="L610" s="2">
        <v>0</v>
      </c>
      <c r="M610" s="2">
        <v>246.13</v>
      </c>
      <c r="N610" s="2">
        <f t="shared" si="855"/>
        <v>1624458</v>
      </c>
      <c r="O610" s="2">
        <v>0</v>
      </c>
      <c r="P610" s="2">
        <v>0</v>
      </c>
      <c r="Q610" s="8">
        <v>317.89999999999998</v>
      </c>
      <c r="R610" s="2">
        <f t="shared" si="850"/>
        <v>1017279.9999999999</v>
      </c>
      <c r="S610" s="2">
        <v>0</v>
      </c>
      <c r="T610" s="2">
        <v>100000</v>
      </c>
      <c r="U610" s="6">
        <f t="shared" si="851"/>
        <v>6600</v>
      </c>
      <c r="V610" s="1"/>
      <c r="W610" s="1"/>
      <c r="X610" s="1"/>
      <c r="Y610" s="1"/>
      <c r="Z610" s="1"/>
      <c r="AA610" s="1"/>
      <c r="AB610" s="3"/>
    </row>
    <row r="611" spans="1:28" ht="45" customHeight="1" x14ac:dyDescent="0.25">
      <c r="A611" s="43" t="s">
        <v>485</v>
      </c>
      <c r="B611" s="43"/>
      <c r="C611" s="1">
        <f>SUM(C612)</f>
        <v>8197420</v>
      </c>
      <c r="D611" s="1">
        <f t="shared" ref="D611:T611" si="856">SUM(D612)</f>
        <v>1889420</v>
      </c>
      <c r="E611" s="1">
        <f t="shared" si="856"/>
        <v>1017380.0000000001</v>
      </c>
      <c r="F611" s="1">
        <f t="shared" si="856"/>
        <v>0</v>
      </c>
      <c r="G611" s="1">
        <f t="shared" si="856"/>
        <v>436020</v>
      </c>
      <c r="H611" s="1">
        <f t="shared" si="856"/>
        <v>0</v>
      </c>
      <c r="I611" s="1">
        <f t="shared" si="856"/>
        <v>436020</v>
      </c>
      <c r="J611" s="1">
        <f t="shared" si="856"/>
        <v>0</v>
      </c>
      <c r="K611" s="33">
        <f t="shared" si="856"/>
        <v>0</v>
      </c>
      <c r="L611" s="1">
        <f t="shared" si="856"/>
        <v>0</v>
      </c>
      <c r="M611" s="1">
        <f t="shared" si="856"/>
        <v>604.79999999999995</v>
      </c>
      <c r="N611" s="1">
        <f t="shared" si="856"/>
        <v>3991679.9999999995</v>
      </c>
      <c r="O611" s="1">
        <f t="shared" si="856"/>
        <v>50</v>
      </c>
      <c r="P611" s="1">
        <f t="shared" si="856"/>
        <v>60000</v>
      </c>
      <c r="Q611" s="1">
        <f t="shared" si="856"/>
        <v>692.6</v>
      </c>
      <c r="R611" s="1">
        <f t="shared" si="856"/>
        <v>2216320</v>
      </c>
      <c r="S611" s="1">
        <f t="shared" si="856"/>
        <v>0</v>
      </c>
      <c r="T611" s="1">
        <f t="shared" si="856"/>
        <v>100000</v>
      </c>
      <c r="U611" s="3" t="e">
        <f>C611+#REF!+#REF!</f>
        <v>#REF!</v>
      </c>
    </row>
    <row r="612" spans="1:28" ht="22.9" customHeight="1" x14ac:dyDescent="0.25">
      <c r="A612" s="39" t="s">
        <v>1649</v>
      </c>
      <c r="B612" s="9" t="s">
        <v>486</v>
      </c>
      <c r="C612" s="1">
        <f>D612+N612+R612+T612</f>
        <v>8197420</v>
      </c>
      <c r="D612" s="2">
        <f t="shared" ref="D612" si="857">SUM(E612:J612)</f>
        <v>1889420</v>
      </c>
      <c r="E612" s="2">
        <f>700*1453.4</f>
        <v>1017380.0000000001</v>
      </c>
      <c r="F612" s="2">
        <v>0</v>
      </c>
      <c r="G612" s="2">
        <f>300*1453.4</f>
        <v>436020</v>
      </c>
      <c r="H612" s="2">
        <v>0</v>
      </c>
      <c r="I612" s="2">
        <f>300*1453.4</f>
        <v>436020</v>
      </c>
      <c r="J612" s="2">
        <v>0</v>
      </c>
      <c r="K612" s="21">
        <v>0</v>
      </c>
      <c r="L612" s="2">
        <v>0</v>
      </c>
      <c r="M612" s="8">
        <v>604.79999999999995</v>
      </c>
      <c r="N612" s="2">
        <f t="shared" si="855"/>
        <v>3991679.9999999995</v>
      </c>
      <c r="O612" s="2">
        <v>50</v>
      </c>
      <c r="P612" s="2">
        <f>O612*1200</f>
        <v>60000</v>
      </c>
      <c r="Q612" s="2">
        <v>692.6</v>
      </c>
      <c r="R612" s="2">
        <f t="shared" si="850"/>
        <v>2216320</v>
      </c>
      <c r="S612" s="2">
        <v>0</v>
      </c>
      <c r="T612" s="2">
        <v>100000</v>
      </c>
      <c r="U612" s="6">
        <f t="shared" si="851"/>
        <v>6600</v>
      </c>
      <c r="V612" s="1"/>
      <c r="W612" s="1"/>
      <c r="X612" s="1"/>
      <c r="Y612" s="1"/>
      <c r="Z612" s="1"/>
      <c r="AA612" s="1"/>
      <c r="AB612" s="3"/>
    </row>
    <row r="613" spans="1:28" ht="45" customHeight="1" x14ac:dyDescent="0.25">
      <c r="A613" s="43" t="s">
        <v>490</v>
      </c>
      <c r="B613" s="43"/>
      <c r="C613" s="1">
        <f>SUM(C614:C615)</f>
        <v>8535440</v>
      </c>
      <c r="D613" s="1">
        <f t="shared" ref="D613:T613" si="858">SUM(D614:D615)</f>
        <v>1158640</v>
      </c>
      <c r="E613" s="1">
        <f t="shared" si="858"/>
        <v>1158640</v>
      </c>
      <c r="F613" s="1">
        <f t="shared" si="858"/>
        <v>0</v>
      </c>
      <c r="G613" s="1">
        <f t="shared" si="858"/>
        <v>0</v>
      </c>
      <c r="H613" s="1">
        <f t="shared" si="858"/>
        <v>0</v>
      </c>
      <c r="I613" s="1">
        <f t="shared" si="858"/>
        <v>0</v>
      </c>
      <c r="J613" s="1">
        <f t="shared" si="858"/>
        <v>0</v>
      </c>
      <c r="K613" s="33">
        <f t="shared" si="858"/>
        <v>0</v>
      </c>
      <c r="L613" s="1">
        <f t="shared" si="858"/>
        <v>0</v>
      </c>
      <c r="M613" s="1">
        <f t="shared" si="858"/>
        <v>684</v>
      </c>
      <c r="N613" s="1">
        <f t="shared" si="858"/>
        <v>4514400</v>
      </c>
      <c r="O613" s="1">
        <f t="shared" si="858"/>
        <v>0</v>
      </c>
      <c r="P613" s="1">
        <f t="shared" si="858"/>
        <v>0</v>
      </c>
      <c r="Q613" s="1">
        <f t="shared" si="858"/>
        <v>832</v>
      </c>
      <c r="R613" s="1">
        <f t="shared" si="858"/>
        <v>2662400</v>
      </c>
      <c r="S613" s="1">
        <f t="shared" si="858"/>
        <v>0</v>
      </c>
      <c r="T613" s="1">
        <f t="shared" si="858"/>
        <v>200000</v>
      </c>
      <c r="U613" s="3" t="e">
        <f>C613+#REF!+#REF!</f>
        <v>#REF!</v>
      </c>
    </row>
    <row r="614" spans="1:28" ht="19.899999999999999" customHeight="1" x14ac:dyDescent="0.25">
      <c r="A614" s="39" t="s">
        <v>1650</v>
      </c>
      <c r="B614" s="9" t="s">
        <v>491</v>
      </c>
      <c r="C614" s="7">
        <f t="shared" ref="C614:C615" si="859">D614+L614+N614+P614+R614+S614+T614</f>
        <v>4267720</v>
      </c>
      <c r="D614" s="2">
        <f t="shared" ref="D614:D615" si="860">SUM(E614:J614)</f>
        <v>579320</v>
      </c>
      <c r="E614" s="2">
        <f>700*827.6</f>
        <v>579320</v>
      </c>
      <c r="F614" s="2">
        <v>0</v>
      </c>
      <c r="G614" s="2">
        <v>0</v>
      </c>
      <c r="H614" s="2">
        <v>0</v>
      </c>
      <c r="I614" s="2">
        <v>0</v>
      </c>
      <c r="J614" s="2">
        <v>0</v>
      </c>
      <c r="K614" s="21">
        <v>0</v>
      </c>
      <c r="L614" s="2">
        <v>0</v>
      </c>
      <c r="M614" s="8">
        <v>342</v>
      </c>
      <c r="N614" s="2">
        <f t="shared" si="855"/>
        <v>2257200</v>
      </c>
      <c r="O614" s="2">
        <v>0</v>
      </c>
      <c r="P614" s="2">
        <v>0</v>
      </c>
      <c r="Q614" s="2">
        <v>416</v>
      </c>
      <c r="R614" s="2">
        <f t="shared" si="850"/>
        <v>1331200</v>
      </c>
      <c r="S614" s="2">
        <v>0</v>
      </c>
      <c r="T614" s="2">
        <v>100000</v>
      </c>
      <c r="U614" s="6">
        <f t="shared" si="851"/>
        <v>6600</v>
      </c>
      <c r="V614" s="1"/>
      <c r="W614" s="1"/>
      <c r="X614" s="1"/>
      <c r="Y614" s="1"/>
      <c r="Z614" s="1"/>
      <c r="AA614" s="1"/>
      <c r="AB614" s="3"/>
    </row>
    <row r="615" spans="1:28" ht="19.899999999999999" customHeight="1" x14ac:dyDescent="0.25">
      <c r="A615" s="39" t="s">
        <v>1651</v>
      </c>
      <c r="B615" s="9" t="s">
        <v>492</v>
      </c>
      <c r="C615" s="7">
        <f t="shared" si="859"/>
        <v>4267720</v>
      </c>
      <c r="D615" s="2">
        <f t="shared" si="860"/>
        <v>579320</v>
      </c>
      <c r="E615" s="2">
        <f>700*827.6</f>
        <v>579320</v>
      </c>
      <c r="F615" s="2">
        <v>0</v>
      </c>
      <c r="G615" s="2">
        <v>0</v>
      </c>
      <c r="H615" s="2">
        <v>0</v>
      </c>
      <c r="I615" s="2">
        <v>0</v>
      </c>
      <c r="J615" s="2">
        <v>0</v>
      </c>
      <c r="K615" s="21">
        <v>0</v>
      </c>
      <c r="L615" s="2">
        <v>0</v>
      </c>
      <c r="M615" s="2">
        <v>342</v>
      </c>
      <c r="N615" s="2">
        <f t="shared" si="855"/>
        <v>2257200</v>
      </c>
      <c r="O615" s="2">
        <v>0</v>
      </c>
      <c r="P615" s="2">
        <v>0</v>
      </c>
      <c r="Q615" s="8">
        <v>416</v>
      </c>
      <c r="R615" s="2">
        <f t="shared" si="850"/>
        <v>1331200</v>
      </c>
      <c r="S615" s="2">
        <v>0</v>
      </c>
      <c r="T615" s="2">
        <v>100000</v>
      </c>
      <c r="U615" s="6">
        <f t="shared" si="851"/>
        <v>6600</v>
      </c>
      <c r="V615" s="1"/>
      <c r="W615" s="1"/>
      <c r="X615" s="1"/>
      <c r="Y615" s="1"/>
      <c r="Z615" s="1"/>
      <c r="AA615" s="1"/>
      <c r="AB615" s="3"/>
    </row>
    <row r="616" spans="1:28" ht="45" customHeight="1" x14ac:dyDescent="0.25">
      <c r="A616" s="43" t="s">
        <v>495</v>
      </c>
      <c r="B616" s="43"/>
      <c r="C616" s="1">
        <f>SUM(C617:C621)</f>
        <v>28371940</v>
      </c>
      <c r="D616" s="1">
        <f t="shared" ref="D616:T616" si="861">SUM(D617:D621)</f>
        <v>6510140</v>
      </c>
      <c r="E616" s="1">
        <f t="shared" si="861"/>
        <v>2002910</v>
      </c>
      <c r="F616" s="1">
        <f t="shared" si="861"/>
        <v>1645930</v>
      </c>
      <c r="G616" s="1">
        <f t="shared" si="861"/>
        <v>858390</v>
      </c>
      <c r="H616" s="1">
        <f t="shared" si="861"/>
        <v>1144520</v>
      </c>
      <c r="I616" s="1">
        <f t="shared" si="861"/>
        <v>858390</v>
      </c>
      <c r="J616" s="1">
        <f t="shared" si="861"/>
        <v>0</v>
      </c>
      <c r="K616" s="33">
        <f t="shared" si="861"/>
        <v>0</v>
      </c>
      <c r="L616" s="1">
        <f t="shared" si="861"/>
        <v>0</v>
      </c>
      <c r="M616" s="1">
        <f t="shared" si="861"/>
        <v>2339</v>
      </c>
      <c r="N616" s="1">
        <f t="shared" si="861"/>
        <v>15437400</v>
      </c>
      <c r="O616" s="1">
        <f t="shared" si="861"/>
        <v>0</v>
      </c>
      <c r="P616" s="1">
        <f t="shared" si="861"/>
        <v>0</v>
      </c>
      <c r="Q616" s="1">
        <f t="shared" si="861"/>
        <v>1617</v>
      </c>
      <c r="R616" s="1">
        <f t="shared" si="861"/>
        <v>5174400</v>
      </c>
      <c r="S616" s="1">
        <f t="shared" si="861"/>
        <v>750000</v>
      </c>
      <c r="T616" s="1">
        <f t="shared" si="861"/>
        <v>500000</v>
      </c>
      <c r="U616" s="3" t="e">
        <f>C616+#REF!+#REF!</f>
        <v>#REF!</v>
      </c>
    </row>
    <row r="617" spans="1:28" ht="19.899999999999999" customHeight="1" x14ac:dyDescent="0.25">
      <c r="A617" s="39" t="s">
        <v>1652</v>
      </c>
      <c r="B617" s="9" t="s">
        <v>500</v>
      </c>
      <c r="C617" s="7">
        <f t="shared" ref="C617:C621" si="862">D617+L617+N617+P617+R617+S617+T617</f>
        <v>6677500</v>
      </c>
      <c r="D617" s="2">
        <f t="shared" ref="D617:D621" si="863">SUM(E617:J617)</f>
        <v>2029500</v>
      </c>
      <c r="E617" s="2">
        <f>700*676.5</f>
        <v>473550</v>
      </c>
      <c r="F617" s="2">
        <f>1300*676.5</f>
        <v>879450</v>
      </c>
      <c r="G617" s="2">
        <f>300*676.5</f>
        <v>202950</v>
      </c>
      <c r="H617" s="2">
        <f>400*676.5</f>
        <v>270600</v>
      </c>
      <c r="I617" s="2">
        <f>300*676.5</f>
        <v>202950</v>
      </c>
      <c r="J617" s="18">
        <v>0</v>
      </c>
      <c r="K617" s="34">
        <v>0</v>
      </c>
      <c r="L617" s="18">
        <v>0</v>
      </c>
      <c r="M617" s="18">
        <v>502</v>
      </c>
      <c r="N617" s="2">
        <f t="shared" si="855"/>
        <v>3313200</v>
      </c>
      <c r="O617" s="18">
        <v>0</v>
      </c>
      <c r="P617" s="18">
        <v>0</v>
      </c>
      <c r="Q617" s="18">
        <v>339</v>
      </c>
      <c r="R617" s="2">
        <f t="shared" si="850"/>
        <v>1084800</v>
      </c>
      <c r="S617" s="2">
        <v>150000</v>
      </c>
      <c r="T617" s="2">
        <v>100000</v>
      </c>
      <c r="U617" s="6">
        <f t="shared" si="851"/>
        <v>6600</v>
      </c>
      <c r="V617" s="1"/>
      <c r="W617" s="1"/>
      <c r="X617" s="1"/>
      <c r="Y617" s="1"/>
      <c r="Z617" s="1"/>
      <c r="AA617" s="1"/>
      <c r="AB617" s="3"/>
    </row>
    <row r="618" spans="1:28" ht="19.899999999999999" customHeight="1" x14ac:dyDescent="0.25">
      <c r="A618" s="39" t="s">
        <v>1653</v>
      </c>
      <c r="B618" s="9" t="s">
        <v>501</v>
      </c>
      <c r="C618" s="7">
        <f t="shared" si="862"/>
        <v>5850200</v>
      </c>
      <c r="D618" s="2">
        <f t="shared" si="863"/>
        <v>1768800</v>
      </c>
      <c r="E618" s="2">
        <f>700*589.6</f>
        <v>412720</v>
      </c>
      <c r="F618" s="2">
        <f>1300*589.6</f>
        <v>766480</v>
      </c>
      <c r="G618" s="2">
        <f>300*589.6</f>
        <v>176880</v>
      </c>
      <c r="H618" s="2">
        <f>400*589.6</f>
        <v>235840</v>
      </c>
      <c r="I618" s="2">
        <f>300*589.6</f>
        <v>176880</v>
      </c>
      <c r="J618" s="18">
        <v>0</v>
      </c>
      <c r="K618" s="34">
        <v>0</v>
      </c>
      <c r="L618" s="18">
        <v>0</v>
      </c>
      <c r="M618" s="18">
        <v>453</v>
      </c>
      <c r="N618" s="2">
        <f t="shared" si="855"/>
        <v>2989800</v>
      </c>
      <c r="O618" s="18">
        <v>0</v>
      </c>
      <c r="P618" s="18">
        <v>0</v>
      </c>
      <c r="Q618" s="18">
        <v>263</v>
      </c>
      <c r="R618" s="2">
        <f t="shared" si="850"/>
        <v>841600</v>
      </c>
      <c r="S618" s="2">
        <v>150000</v>
      </c>
      <c r="T618" s="2">
        <v>100000</v>
      </c>
      <c r="U618" s="6">
        <f t="shared" si="851"/>
        <v>6600</v>
      </c>
      <c r="V618" s="1"/>
      <c r="W618" s="1"/>
      <c r="X618" s="1"/>
      <c r="Y618" s="1"/>
      <c r="Z618" s="1"/>
      <c r="AA618" s="1"/>
      <c r="AB618" s="3"/>
    </row>
    <row r="619" spans="1:28" ht="19.899999999999999" customHeight="1" x14ac:dyDescent="0.25">
      <c r="A619" s="39" t="s">
        <v>1654</v>
      </c>
      <c r="B619" s="9" t="s">
        <v>502</v>
      </c>
      <c r="C619" s="7">
        <f t="shared" si="862"/>
        <v>5907830</v>
      </c>
      <c r="D619" s="2">
        <f t="shared" si="863"/>
        <v>1023230</v>
      </c>
      <c r="E619" s="2">
        <f>700*601.9</f>
        <v>421330</v>
      </c>
      <c r="F619" s="2">
        <v>0</v>
      </c>
      <c r="G619" s="2">
        <f>300*601.9</f>
        <v>180570</v>
      </c>
      <c r="H619" s="2">
        <f>400*601.9</f>
        <v>240760</v>
      </c>
      <c r="I619" s="2">
        <f>300*601.9</f>
        <v>180570</v>
      </c>
      <c r="J619" s="18">
        <v>0</v>
      </c>
      <c r="K619" s="34">
        <v>0</v>
      </c>
      <c r="L619" s="18">
        <v>0</v>
      </c>
      <c r="M619" s="18">
        <v>517</v>
      </c>
      <c r="N619" s="2">
        <f t="shared" si="855"/>
        <v>3412200</v>
      </c>
      <c r="O619" s="18">
        <v>0</v>
      </c>
      <c r="P619" s="18">
        <v>0</v>
      </c>
      <c r="Q619" s="18">
        <v>382</v>
      </c>
      <c r="R619" s="2">
        <f t="shared" si="850"/>
        <v>1222400</v>
      </c>
      <c r="S619" s="2">
        <v>150000</v>
      </c>
      <c r="T619" s="2">
        <v>100000</v>
      </c>
      <c r="U619" s="6">
        <f t="shared" si="851"/>
        <v>6600</v>
      </c>
      <c r="V619" s="1"/>
      <c r="W619" s="1"/>
      <c r="X619" s="1"/>
      <c r="Y619" s="1"/>
      <c r="Z619" s="1"/>
      <c r="AA619" s="1"/>
      <c r="AB619" s="3"/>
    </row>
    <row r="620" spans="1:28" ht="19.899999999999999" customHeight="1" x14ac:dyDescent="0.25">
      <c r="A620" s="39" t="s">
        <v>1655</v>
      </c>
      <c r="B620" s="9" t="s">
        <v>503</v>
      </c>
      <c r="C620" s="7">
        <f t="shared" si="862"/>
        <v>4328240</v>
      </c>
      <c r="D620" s="2">
        <f t="shared" si="863"/>
        <v>729640</v>
      </c>
      <c r="E620" s="2">
        <f>700*429.2</f>
        <v>300440</v>
      </c>
      <c r="F620" s="2">
        <v>0</v>
      </c>
      <c r="G620" s="2">
        <f>300*429.2</f>
        <v>128760</v>
      </c>
      <c r="H620" s="2">
        <f>400*429.2</f>
        <v>171680</v>
      </c>
      <c r="I620" s="2">
        <f>300*429.2</f>
        <v>128760</v>
      </c>
      <c r="J620" s="18">
        <v>0</v>
      </c>
      <c r="K620" s="34">
        <v>0</v>
      </c>
      <c r="L620" s="18">
        <v>0</v>
      </c>
      <c r="M620" s="18">
        <v>375</v>
      </c>
      <c r="N620" s="2">
        <f t="shared" si="855"/>
        <v>2475000</v>
      </c>
      <c r="O620" s="18">
        <v>0</v>
      </c>
      <c r="P620" s="18">
        <v>0</v>
      </c>
      <c r="Q620" s="18">
        <v>273</v>
      </c>
      <c r="R620" s="2">
        <f t="shared" si="850"/>
        <v>873600</v>
      </c>
      <c r="S620" s="2">
        <v>150000</v>
      </c>
      <c r="T620" s="2">
        <v>100000</v>
      </c>
      <c r="U620" s="6">
        <f t="shared" si="851"/>
        <v>6600</v>
      </c>
      <c r="V620" s="1"/>
      <c r="W620" s="1"/>
      <c r="X620" s="1"/>
      <c r="Y620" s="1"/>
      <c r="Z620" s="1"/>
      <c r="AA620" s="1"/>
      <c r="AB620" s="3"/>
    </row>
    <row r="621" spans="1:28" ht="19.899999999999999" customHeight="1" x14ac:dyDescent="0.25">
      <c r="A621" s="39" t="s">
        <v>1656</v>
      </c>
      <c r="B621" s="9" t="s">
        <v>504</v>
      </c>
      <c r="C621" s="7">
        <f t="shared" si="862"/>
        <v>5608170</v>
      </c>
      <c r="D621" s="2">
        <f t="shared" si="863"/>
        <v>958970</v>
      </c>
      <c r="E621" s="2">
        <f>700*564.1</f>
        <v>394870</v>
      </c>
      <c r="F621" s="2">
        <v>0</v>
      </c>
      <c r="G621" s="2">
        <f>300*564.1</f>
        <v>169230</v>
      </c>
      <c r="H621" s="2">
        <f>400*564.1</f>
        <v>225640</v>
      </c>
      <c r="I621" s="2">
        <f>300*564.1</f>
        <v>169230</v>
      </c>
      <c r="J621" s="18">
        <v>0</v>
      </c>
      <c r="K621" s="34">
        <v>0</v>
      </c>
      <c r="L621" s="18">
        <v>0</v>
      </c>
      <c r="M621" s="18">
        <v>492</v>
      </c>
      <c r="N621" s="2">
        <f t="shared" si="855"/>
        <v>3247200</v>
      </c>
      <c r="O621" s="18">
        <v>0</v>
      </c>
      <c r="P621" s="18">
        <v>0</v>
      </c>
      <c r="Q621" s="18">
        <v>360</v>
      </c>
      <c r="R621" s="2">
        <f t="shared" si="850"/>
        <v>1152000</v>
      </c>
      <c r="S621" s="2">
        <v>150000</v>
      </c>
      <c r="T621" s="2">
        <v>100000</v>
      </c>
      <c r="U621" s="6">
        <f t="shared" si="851"/>
        <v>6600</v>
      </c>
      <c r="V621" s="1"/>
      <c r="W621" s="1"/>
      <c r="X621" s="1"/>
      <c r="Y621" s="1"/>
      <c r="Z621" s="1"/>
      <c r="AA621" s="1"/>
      <c r="AB621" s="3"/>
    </row>
    <row r="622" spans="1:28" ht="45" customHeight="1" x14ac:dyDescent="0.25">
      <c r="A622" s="43" t="s">
        <v>512</v>
      </c>
      <c r="B622" s="43"/>
      <c r="C622" s="1">
        <f>SUM(C623:C626)</f>
        <v>14834005</v>
      </c>
      <c r="D622" s="1">
        <f t="shared" ref="D622:T622" si="864">SUM(D623:D626)</f>
        <v>3398720</v>
      </c>
      <c r="E622" s="1">
        <f t="shared" si="864"/>
        <v>1830080</v>
      </c>
      <c r="F622" s="1">
        <f t="shared" si="864"/>
        <v>0</v>
      </c>
      <c r="G622" s="1">
        <f t="shared" si="864"/>
        <v>784320</v>
      </c>
      <c r="H622" s="1">
        <f t="shared" si="864"/>
        <v>0</v>
      </c>
      <c r="I622" s="1">
        <f t="shared" si="864"/>
        <v>784320</v>
      </c>
      <c r="J622" s="1">
        <f t="shared" si="864"/>
        <v>0</v>
      </c>
      <c r="K622" s="33">
        <f t="shared" si="864"/>
        <v>0</v>
      </c>
      <c r="L622" s="1">
        <f t="shared" si="864"/>
        <v>0</v>
      </c>
      <c r="M622" s="1">
        <f t="shared" si="864"/>
        <v>1135.5</v>
      </c>
      <c r="N622" s="1">
        <f t="shared" si="864"/>
        <v>5811925</v>
      </c>
      <c r="O622" s="1">
        <f t="shared" si="864"/>
        <v>200</v>
      </c>
      <c r="P622" s="1">
        <f t="shared" si="864"/>
        <v>240000</v>
      </c>
      <c r="Q622" s="1">
        <f t="shared" si="864"/>
        <v>1369.8</v>
      </c>
      <c r="R622" s="1">
        <f t="shared" si="864"/>
        <v>4383360</v>
      </c>
      <c r="S622" s="1">
        <f t="shared" si="864"/>
        <v>600000</v>
      </c>
      <c r="T622" s="1">
        <f t="shared" si="864"/>
        <v>400000</v>
      </c>
      <c r="U622" s="3" t="e">
        <f>C622+#REF!+#REF!</f>
        <v>#REF!</v>
      </c>
    </row>
    <row r="623" spans="1:28" ht="19.899999999999999" customHeight="1" x14ac:dyDescent="0.25">
      <c r="A623" s="39" t="s">
        <v>1657</v>
      </c>
      <c r="B623" s="9" t="s">
        <v>513</v>
      </c>
      <c r="C623" s="7">
        <f t="shared" ref="C623:C626" si="865">D623+L623+N623+P623+R623+S623+T623</f>
        <v>4306422.5</v>
      </c>
      <c r="D623" s="2">
        <f t="shared" ref="D623:D626" si="866">SUM(E623:J623)</f>
        <v>960960</v>
      </c>
      <c r="E623" s="2">
        <f>700*739.2</f>
        <v>517440.00000000006</v>
      </c>
      <c r="F623" s="18">
        <v>0</v>
      </c>
      <c r="G623" s="2">
        <f>300*739.2</f>
        <v>221760</v>
      </c>
      <c r="H623" s="18">
        <v>0</v>
      </c>
      <c r="I623" s="2">
        <f>300*739.2</f>
        <v>221760</v>
      </c>
      <c r="J623" s="18">
        <v>0</v>
      </c>
      <c r="K623" s="34">
        <v>0</v>
      </c>
      <c r="L623" s="18">
        <v>0</v>
      </c>
      <c r="M623" s="18">
        <v>391.25</v>
      </c>
      <c r="N623" s="2">
        <f>M623*4450</f>
        <v>1741062.5</v>
      </c>
      <c r="O623" s="18">
        <v>50</v>
      </c>
      <c r="P623" s="18">
        <f>O623*1200</f>
        <v>60000</v>
      </c>
      <c r="Q623" s="18">
        <v>404.5</v>
      </c>
      <c r="R623" s="2">
        <f t="shared" si="850"/>
        <v>1294400</v>
      </c>
      <c r="S623" s="2">
        <v>150000</v>
      </c>
      <c r="T623" s="2">
        <v>100000</v>
      </c>
      <c r="U623" s="6">
        <f t="shared" si="851"/>
        <v>4450</v>
      </c>
      <c r="V623" s="1"/>
      <c r="W623" s="1"/>
      <c r="X623" s="1"/>
      <c r="Y623" s="1"/>
      <c r="Z623" s="1"/>
      <c r="AA623" s="1"/>
      <c r="AB623" s="3"/>
    </row>
    <row r="624" spans="1:28" ht="19.899999999999999" customHeight="1" x14ac:dyDescent="0.25">
      <c r="A624" s="39" t="s">
        <v>1658</v>
      </c>
      <c r="B624" s="9" t="s">
        <v>514</v>
      </c>
      <c r="C624" s="7">
        <f t="shared" si="865"/>
        <v>908000</v>
      </c>
      <c r="D624" s="2">
        <f t="shared" si="866"/>
        <v>598000</v>
      </c>
      <c r="E624" s="2">
        <f>700*460</f>
        <v>322000</v>
      </c>
      <c r="F624" s="2">
        <v>0</v>
      </c>
      <c r="G624" s="2">
        <f>300*460</f>
        <v>138000</v>
      </c>
      <c r="H624" s="2">
        <v>0</v>
      </c>
      <c r="I624" s="2">
        <f>300*460</f>
        <v>138000</v>
      </c>
      <c r="J624" s="18">
        <v>0</v>
      </c>
      <c r="K624" s="34">
        <v>0</v>
      </c>
      <c r="L624" s="18">
        <v>0</v>
      </c>
      <c r="M624" s="18">
        <v>0</v>
      </c>
      <c r="N624" s="2">
        <f t="shared" ref="N624" si="867">M624*6600</f>
        <v>0</v>
      </c>
      <c r="O624" s="18">
        <v>50</v>
      </c>
      <c r="P624" s="18">
        <f>O624*1200</f>
        <v>60000</v>
      </c>
      <c r="Q624" s="18">
        <v>0</v>
      </c>
      <c r="R624" s="2">
        <v>0</v>
      </c>
      <c r="S624" s="2">
        <v>150000</v>
      </c>
      <c r="T624" s="2">
        <v>100000</v>
      </c>
      <c r="U624" s="6" t="e">
        <f t="shared" si="851"/>
        <v>#DIV/0!</v>
      </c>
      <c r="V624" s="1"/>
      <c r="W624" s="1"/>
      <c r="X624" s="1"/>
      <c r="Y624" s="1"/>
      <c r="Z624" s="1"/>
      <c r="AA624" s="1"/>
      <c r="AB624" s="3"/>
    </row>
    <row r="625" spans="1:28" ht="19.899999999999999" customHeight="1" x14ac:dyDescent="0.25">
      <c r="A625" s="39" t="s">
        <v>1659</v>
      </c>
      <c r="B625" s="9" t="s">
        <v>515</v>
      </c>
      <c r="C625" s="7">
        <f t="shared" si="865"/>
        <v>5313160</v>
      </c>
      <c r="D625" s="2">
        <f t="shared" si="866"/>
        <v>878800</v>
      </c>
      <c r="E625" s="2">
        <f>700*676</f>
        <v>473200</v>
      </c>
      <c r="F625" s="18">
        <v>0</v>
      </c>
      <c r="G625" s="2">
        <f>300*676</f>
        <v>202800</v>
      </c>
      <c r="H625" s="18">
        <v>0</v>
      </c>
      <c r="I625" s="2">
        <f>300*676</f>
        <v>202800</v>
      </c>
      <c r="J625" s="18">
        <v>0</v>
      </c>
      <c r="K625" s="34">
        <v>0</v>
      </c>
      <c r="L625" s="18">
        <v>0</v>
      </c>
      <c r="M625" s="18">
        <v>353</v>
      </c>
      <c r="N625" s="2">
        <f t="shared" si="855"/>
        <v>2329800</v>
      </c>
      <c r="O625" s="18">
        <v>50</v>
      </c>
      <c r="P625" s="18">
        <f>O625*1200</f>
        <v>60000</v>
      </c>
      <c r="Q625" s="18">
        <v>560.79999999999995</v>
      </c>
      <c r="R625" s="2">
        <f t="shared" si="850"/>
        <v>1794559.9999999998</v>
      </c>
      <c r="S625" s="2">
        <v>150000</v>
      </c>
      <c r="T625" s="2">
        <v>100000</v>
      </c>
      <c r="U625" s="6">
        <f t="shared" si="851"/>
        <v>6600</v>
      </c>
      <c r="V625" s="1"/>
      <c r="W625" s="1"/>
      <c r="X625" s="1"/>
      <c r="Y625" s="1"/>
      <c r="Z625" s="1"/>
      <c r="AA625" s="1"/>
      <c r="AB625" s="3"/>
    </row>
    <row r="626" spans="1:28" ht="19.899999999999999" customHeight="1" x14ac:dyDescent="0.25">
      <c r="A626" s="39" t="s">
        <v>1660</v>
      </c>
      <c r="B626" s="9" t="s">
        <v>516</v>
      </c>
      <c r="C626" s="7">
        <f t="shared" si="865"/>
        <v>4306422.5</v>
      </c>
      <c r="D626" s="2">
        <f t="shared" si="866"/>
        <v>960960</v>
      </c>
      <c r="E626" s="2">
        <f>700*739.2</f>
        <v>517440.00000000006</v>
      </c>
      <c r="F626" s="18">
        <v>0</v>
      </c>
      <c r="G626" s="2">
        <f>300*739.2</f>
        <v>221760</v>
      </c>
      <c r="H626" s="18">
        <v>0</v>
      </c>
      <c r="I626" s="2">
        <f>300*739.2</f>
        <v>221760</v>
      </c>
      <c r="J626" s="18">
        <v>0</v>
      </c>
      <c r="K626" s="34">
        <v>0</v>
      </c>
      <c r="L626" s="18">
        <v>0</v>
      </c>
      <c r="M626" s="18">
        <v>391.25</v>
      </c>
      <c r="N626" s="2">
        <f>M626*4450</f>
        <v>1741062.5</v>
      </c>
      <c r="O626" s="18">
        <v>50</v>
      </c>
      <c r="P626" s="18">
        <f>O626*1200</f>
        <v>60000</v>
      </c>
      <c r="Q626" s="18">
        <v>404.5</v>
      </c>
      <c r="R626" s="2">
        <f t="shared" si="850"/>
        <v>1294400</v>
      </c>
      <c r="S626" s="2">
        <v>150000</v>
      </c>
      <c r="T626" s="2">
        <v>100000</v>
      </c>
      <c r="U626" s="6">
        <f t="shared" si="851"/>
        <v>4450</v>
      </c>
      <c r="V626" s="1"/>
      <c r="W626" s="1"/>
      <c r="X626" s="1"/>
      <c r="Y626" s="1"/>
      <c r="Z626" s="1"/>
      <c r="AA626" s="1"/>
      <c r="AB626" s="3"/>
    </row>
    <row r="627" spans="1:28" ht="45" customHeight="1" x14ac:dyDescent="0.25">
      <c r="A627" s="43" t="s">
        <v>520</v>
      </c>
      <c r="B627" s="43"/>
      <c r="C627" s="1">
        <f>SUM(C628:C629)</f>
        <v>9870700</v>
      </c>
      <c r="D627" s="1">
        <f t="shared" ref="D627:T627" si="868">SUM(D628:D629)</f>
        <v>1953900</v>
      </c>
      <c r="E627" s="1">
        <f t="shared" si="868"/>
        <v>526050</v>
      </c>
      <c r="F627" s="1">
        <f t="shared" si="868"/>
        <v>976950</v>
      </c>
      <c r="G627" s="1">
        <f t="shared" si="868"/>
        <v>225450</v>
      </c>
      <c r="H627" s="1">
        <f t="shared" si="868"/>
        <v>0</v>
      </c>
      <c r="I627" s="1">
        <f t="shared" si="868"/>
        <v>225450</v>
      </c>
      <c r="J627" s="1">
        <f t="shared" si="868"/>
        <v>0</v>
      </c>
      <c r="K627" s="33">
        <f t="shared" si="868"/>
        <v>0</v>
      </c>
      <c r="L627" s="1">
        <f t="shared" si="868"/>
        <v>0</v>
      </c>
      <c r="M627" s="1">
        <f t="shared" si="868"/>
        <v>700</v>
      </c>
      <c r="N627" s="1">
        <f t="shared" si="868"/>
        <v>4620000</v>
      </c>
      <c r="O627" s="1">
        <f t="shared" si="868"/>
        <v>0</v>
      </c>
      <c r="P627" s="1">
        <f t="shared" si="868"/>
        <v>0</v>
      </c>
      <c r="Q627" s="1">
        <f t="shared" si="868"/>
        <v>874</v>
      </c>
      <c r="R627" s="1">
        <f t="shared" si="868"/>
        <v>2796800</v>
      </c>
      <c r="S627" s="1">
        <f t="shared" si="868"/>
        <v>300000</v>
      </c>
      <c r="T627" s="1">
        <f t="shared" si="868"/>
        <v>200000</v>
      </c>
      <c r="U627" s="3" t="e">
        <f>C627+#REF!+#REF!</f>
        <v>#REF!</v>
      </c>
    </row>
    <row r="628" spans="1:28" ht="19.899999999999999" customHeight="1" x14ac:dyDescent="0.25">
      <c r="A628" s="39" t="s">
        <v>1661</v>
      </c>
      <c r="B628" s="9" t="s">
        <v>521</v>
      </c>
      <c r="C628" s="7">
        <f t="shared" ref="C628:C629" si="869">D628+L628+N628+P628+R628+S628+T628</f>
        <v>4927420</v>
      </c>
      <c r="D628" s="2">
        <f t="shared" ref="D628:D629" si="870">SUM(E628:J628)</f>
        <v>969020</v>
      </c>
      <c r="E628" s="2">
        <f>700*372.7</f>
        <v>260890</v>
      </c>
      <c r="F628" s="2">
        <f>1300*372.7</f>
        <v>484510</v>
      </c>
      <c r="G628" s="2">
        <f>300*372.7</f>
        <v>111810</v>
      </c>
      <c r="H628" s="18">
        <v>0</v>
      </c>
      <c r="I628" s="2">
        <f>300*372.7</f>
        <v>111810</v>
      </c>
      <c r="J628" s="18">
        <v>0</v>
      </c>
      <c r="K628" s="34">
        <v>0</v>
      </c>
      <c r="L628" s="18">
        <v>0</v>
      </c>
      <c r="M628" s="18">
        <v>350</v>
      </c>
      <c r="N628" s="2">
        <f t="shared" ref="N628:N645" si="871">M628*6600</f>
        <v>2310000</v>
      </c>
      <c r="O628" s="18">
        <v>0</v>
      </c>
      <c r="P628" s="18">
        <v>0</v>
      </c>
      <c r="Q628" s="18">
        <v>437</v>
      </c>
      <c r="R628" s="2">
        <f t="shared" si="850"/>
        <v>1398400</v>
      </c>
      <c r="S628" s="2">
        <v>150000</v>
      </c>
      <c r="T628" s="2">
        <v>100000</v>
      </c>
      <c r="U628" s="6">
        <f t="shared" si="851"/>
        <v>6600</v>
      </c>
      <c r="V628" s="1"/>
      <c r="W628" s="1"/>
      <c r="X628" s="1"/>
      <c r="Y628" s="1"/>
      <c r="Z628" s="1"/>
      <c r="AA628" s="1"/>
      <c r="AB628" s="3"/>
    </row>
    <row r="629" spans="1:28" ht="19.899999999999999" customHeight="1" x14ac:dyDescent="0.25">
      <c r="A629" s="39" t="s">
        <v>1662</v>
      </c>
      <c r="B629" s="9" t="s">
        <v>522</v>
      </c>
      <c r="C629" s="7">
        <f t="shared" si="869"/>
        <v>4943280</v>
      </c>
      <c r="D629" s="2">
        <f t="shared" si="870"/>
        <v>984880</v>
      </c>
      <c r="E629" s="2">
        <f>700*378.8</f>
        <v>265160</v>
      </c>
      <c r="F629" s="2">
        <f>1300*378.8</f>
        <v>492440</v>
      </c>
      <c r="G629" s="2">
        <f>300*378.8</f>
        <v>113640</v>
      </c>
      <c r="H629" s="18">
        <v>0</v>
      </c>
      <c r="I629" s="2">
        <f>300*378.8</f>
        <v>113640</v>
      </c>
      <c r="J629" s="18">
        <v>0</v>
      </c>
      <c r="K629" s="34">
        <v>0</v>
      </c>
      <c r="L629" s="18">
        <v>0</v>
      </c>
      <c r="M629" s="18">
        <v>350</v>
      </c>
      <c r="N629" s="2">
        <f t="shared" si="871"/>
        <v>2310000</v>
      </c>
      <c r="O629" s="18">
        <v>0</v>
      </c>
      <c r="P629" s="18">
        <v>0</v>
      </c>
      <c r="Q629" s="18">
        <v>437</v>
      </c>
      <c r="R629" s="2">
        <f t="shared" si="850"/>
        <v>1398400</v>
      </c>
      <c r="S629" s="2">
        <v>150000</v>
      </c>
      <c r="T629" s="2">
        <v>100000</v>
      </c>
      <c r="U629" s="6">
        <f t="shared" si="851"/>
        <v>6600</v>
      </c>
      <c r="V629" s="1"/>
      <c r="W629" s="1"/>
      <c r="X629" s="1"/>
      <c r="Y629" s="1"/>
      <c r="Z629" s="1"/>
      <c r="AA629" s="1"/>
      <c r="AB629" s="3"/>
    </row>
    <row r="630" spans="1:28" ht="45" customHeight="1" x14ac:dyDescent="0.25">
      <c r="A630" s="43" t="s">
        <v>527</v>
      </c>
      <c r="B630" s="43"/>
      <c r="C630" s="1">
        <f>SUM(C631:C648)</f>
        <v>250069018.40000001</v>
      </c>
      <c r="D630" s="1">
        <f t="shared" ref="D630:T630" si="872">SUM(D631:D648)</f>
        <v>108629860</v>
      </c>
      <c r="E630" s="1">
        <f t="shared" si="872"/>
        <v>25983230</v>
      </c>
      <c r="F630" s="1">
        <f t="shared" si="872"/>
        <v>48254570</v>
      </c>
      <c r="G630" s="1">
        <f t="shared" si="872"/>
        <v>11135670</v>
      </c>
      <c r="H630" s="1">
        <f t="shared" si="872"/>
        <v>12105720</v>
      </c>
      <c r="I630" s="1">
        <f t="shared" si="872"/>
        <v>11150670</v>
      </c>
      <c r="J630" s="1">
        <f t="shared" si="872"/>
        <v>0</v>
      </c>
      <c r="K630" s="33">
        <f t="shared" si="872"/>
        <v>0</v>
      </c>
      <c r="L630" s="1">
        <f t="shared" si="872"/>
        <v>0</v>
      </c>
      <c r="M630" s="1">
        <f t="shared" si="872"/>
        <v>12336.344000000003</v>
      </c>
      <c r="N630" s="1">
        <f t="shared" si="872"/>
        <v>81419870.400000006</v>
      </c>
      <c r="O630" s="1">
        <f t="shared" si="872"/>
        <v>2894.98</v>
      </c>
      <c r="P630" s="1">
        <f t="shared" si="872"/>
        <v>3473976</v>
      </c>
      <c r="Q630" s="1">
        <f t="shared" si="872"/>
        <v>17139.16</v>
      </c>
      <c r="R630" s="1">
        <f t="shared" si="872"/>
        <v>54845312</v>
      </c>
      <c r="S630" s="1">
        <f t="shared" si="872"/>
        <v>0</v>
      </c>
      <c r="T630" s="1">
        <f t="shared" si="872"/>
        <v>1700000</v>
      </c>
      <c r="U630" s="3" t="e">
        <f>C630+#REF!+#REF!</f>
        <v>#REF!</v>
      </c>
    </row>
    <row r="631" spans="1:28" ht="22.9" customHeight="1" x14ac:dyDescent="0.25">
      <c r="A631" s="39" t="s">
        <v>1663</v>
      </c>
      <c r="B631" s="9" t="s">
        <v>547</v>
      </c>
      <c r="C631" s="7">
        <f t="shared" ref="C631" si="873">D631+L631+N631+P631+R631+S631+T631</f>
        <v>17534224</v>
      </c>
      <c r="D631" s="2">
        <f t="shared" ref="D631" si="874">SUM(E631:J631)</f>
        <v>8135099.9999999991</v>
      </c>
      <c r="E631" s="2">
        <f>700*2711.7</f>
        <v>1898189.9999999998</v>
      </c>
      <c r="F631" s="2">
        <f>1300*2711.7</f>
        <v>3525209.9999999995</v>
      </c>
      <c r="G631" s="2">
        <f>300*2711.7</f>
        <v>813510</v>
      </c>
      <c r="H631" s="2">
        <f>400*2711.7</f>
        <v>1084680</v>
      </c>
      <c r="I631" s="2">
        <f>300*2711.7</f>
        <v>813510</v>
      </c>
      <c r="J631" s="2">
        <v>0</v>
      </c>
      <c r="K631" s="21">
        <v>0</v>
      </c>
      <c r="L631" s="2">
        <v>0</v>
      </c>
      <c r="M631" s="2">
        <v>891.54</v>
      </c>
      <c r="N631" s="2">
        <f t="shared" si="871"/>
        <v>5884164</v>
      </c>
      <c r="O631" s="2">
        <v>685.8</v>
      </c>
      <c r="P631" s="18">
        <f>O631*1200</f>
        <v>822960</v>
      </c>
      <c r="Q631" s="2">
        <v>810</v>
      </c>
      <c r="R631" s="2">
        <f t="shared" si="850"/>
        <v>2592000</v>
      </c>
      <c r="S631" s="2">
        <v>0</v>
      </c>
      <c r="T631" s="2">
        <v>100000</v>
      </c>
      <c r="U631" s="6">
        <f t="shared" si="851"/>
        <v>6600</v>
      </c>
      <c r="V631" s="1"/>
      <c r="W631" s="1"/>
      <c r="X631" s="1"/>
      <c r="Y631" s="1"/>
      <c r="Z631" s="1"/>
      <c r="AA631" s="1"/>
      <c r="AB631" s="3"/>
    </row>
    <row r="632" spans="1:28" ht="22.9" customHeight="1" x14ac:dyDescent="0.25">
      <c r="A632" s="39" t="s">
        <v>1664</v>
      </c>
      <c r="B632" s="9" t="s">
        <v>548</v>
      </c>
      <c r="C632" s="7">
        <f t="shared" ref="C632" si="875">D632+L632+N632+P632+R632+S632+T632</f>
        <v>23387620</v>
      </c>
      <c r="D632" s="2">
        <f t="shared" ref="D632" si="876">SUM(E632:J632)</f>
        <v>8866260</v>
      </c>
      <c r="E632" s="2">
        <f>700*3410.1</f>
        <v>2387070</v>
      </c>
      <c r="F632" s="2">
        <f>1300*3410.1</f>
        <v>4433130</v>
      </c>
      <c r="G632" s="2">
        <f>300*3410.1</f>
        <v>1023030</v>
      </c>
      <c r="H632" s="8">
        <v>0</v>
      </c>
      <c r="I632" s="2">
        <f>300*3410.1</f>
        <v>1023030</v>
      </c>
      <c r="J632" s="2">
        <v>0</v>
      </c>
      <c r="K632" s="32">
        <v>0</v>
      </c>
      <c r="L632" s="8">
        <v>0</v>
      </c>
      <c r="M632" s="8">
        <v>1126</v>
      </c>
      <c r="N632" s="2">
        <f t="shared" si="871"/>
        <v>7431600</v>
      </c>
      <c r="O632" s="8">
        <v>0</v>
      </c>
      <c r="P632" s="8">
        <v>0</v>
      </c>
      <c r="Q632" s="8">
        <v>2184.3000000000002</v>
      </c>
      <c r="R632" s="2">
        <f t="shared" si="850"/>
        <v>6989760.0000000009</v>
      </c>
      <c r="S632" s="8">
        <v>0</v>
      </c>
      <c r="T632" s="2">
        <v>100000</v>
      </c>
      <c r="U632" s="6">
        <f t="shared" si="851"/>
        <v>6600</v>
      </c>
      <c r="V632" s="1"/>
      <c r="W632" s="1"/>
      <c r="X632" s="1"/>
      <c r="Y632" s="1"/>
      <c r="Z632" s="1"/>
      <c r="AA632" s="1"/>
      <c r="AB632" s="3"/>
    </row>
    <row r="633" spans="1:28" ht="22.9" customHeight="1" x14ac:dyDescent="0.25">
      <c r="A633" s="39" t="s">
        <v>1665</v>
      </c>
      <c r="B633" s="9" t="s">
        <v>549</v>
      </c>
      <c r="C633" s="7">
        <f t="shared" ref="C633:C634" si="877">D633+L633+N633+P633+R633+S633+T633</f>
        <v>870276.00000000012</v>
      </c>
      <c r="D633" s="2">
        <f t="shared" ref="D633:D634" si="878">SUM(E633:J633)</f>
        <v>0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  <c r="J633" s="2">
        <v>0</v>
      </c>
      <c r="K633" s="21">
        <v>0</v>
      </c>
      <c r="L633" s="2">
        <v>0</v>
      </c>
      <c r="M633" s="2">
        <v>131.86000000000001</v>
      </c>
      <c r="N633" s="2">
        <f t="shared" si="871"/>
        <v>870276.00000000012</v>
      </c>
      <c r="O633" s="2">
        <v>0</v>
      </c>
      <c r="P633" s="2">
        <v>0</v>
      </c>
      <c r="Q633" s="2">
        <v>0</v>
      </c>
      <c r="R633" s="2">
        <v>0</v>
      </c>
      <c r="S633" s="2">
        <v>0</v>
      </c>
      <c r="T633" s="2">
        <v>0</v>
      </c>
      <c r="U633" s="6">
        <f t="shared" si="851"/>
        <v>6600</v>
      </c>
      <c r="V633" s="1"/>
      <c r="W633" s="1"/>
      <c r="X633" s="1"/>
      <c r="Y633" s="1"/>
      <c r="Z633" s="1"/>
      <c r="AA633" s="1"/>
      <c r="AB633" s="3"/>
    </row>
    <row r="634" spans="1:28" ht="22.9" customHeight="1" x14ac:dyDescent="0.25">
      <c r="A634" s="39" t="s">
        <v>1666</v>
      </c>
      <c r="B634" s="9" t="s">
        <v>550</v>
      </c>
      <c r="C634" s="7">
        <f t="shared" si="877"/>
        <v>9213832</v>
      </c>
      <c r="D634" s="2">
        <f t="shared" si="878"/>
        <v>6634800</v>
      </c>
      <c r="E634" s="2">
        <f>700*2211.6</f>
        <v>1548120</v>
      </c>
      <c r="F634" s="2">
        <f>1300*2211.6</f>
        <v>2875080</v>
      </c>
      <c r="G634" s="2">
        <f>300*2211.6</f>
        <v>663480</v>
      </c>
      <c r="H634" s="2">
        <f>400*2211.6</f>
        <v>884640</v>
      </c>
      <c r="I634" s="2">
        <f>300*2211.6</f>
        <v>663480</v>
      </c>
      <c r="J634" s="2">
        <v>0</v>
      </c>
      <c r="K634" s="21">
        <v>0</v>
      </c>
      <c r="L634" s="2">
        <v>0</v>
      </c>
      <c r="M634" s="2">
        <v>0</v>
      </c>
      <c r="N634" s="2">
        <v>0</v>
      </c>
      <c r="O634" s="18">
        <v>438.98</v>
      </c>
      <c r="P634" s="18">
        <f>O634*1200</f>
        <v>526776</v>
      </c>
      <c r="Q634" s="2">
        <v>610.08000000000004</v>
      </c>
      <c r="R634" s="2">
        <f t="shared" si="850"/>
        <v>1952256.0000000002</v>
      </c>
      <c r="S634" s="2">
        <v>0</v>
      </c>
      <c r="T634" s="2">
        <v>100000</v>
      </c>
      <c r="U634" s="6" t="e">
        <f t="shared" si="851"/>
        <v>#DIV/0!</v>
      </c>
      <c r="V634" s="1"/>
      <c r="W634" s="1"/>
      <c r="X634" s="1"/>
      <c r="Y634" s="1"/>
      <c r="Z634" s="1"/>
      <c r="AA634" s="1"/>
      <c r="AB634" s="3"/>
    </row>
    <row r="635" spans="1:28" ht="22.9" customHeight="1" x14ac:dyDescent="0.25">
      <c r="A635" s="39" t="s">
        <v>1667</v>
      </c>
      <c r="B635" s="9" t="s">
        <v>551</v>
      </c>
      <c r="C635" s="7">
        <f t="shared" ref="C635" si="879">D635+L635+N635+P635+R635+S635+T635</f>
        <v>18291442</v>
      </c>
      <c r="D635" s="2">
        <f t="shared" ref="D635" si="880">SUM(E635:J635)</f>
        <v>8091900.0000000009</v>
      </c>
      <c r="E635" s="2">
        <f>700*2697.3</f>
        <v>1888110.0000000002</v>
      </c>
      <c r="F635" s="2">
        <f>1300*2697.3</f>
        <v>3506490.0000000005</v>
      </c>
      <c r="G635" s="2">
        <f>300*2697.3</f>
        <v>809190</v>
      </c>
      <c r="H635" s="2">
        <f>400*2697.3</f>
        <v>1078920</v>
      </c>
      <c r="I635" s="2">
        <f>300*2697.3</f>
        <v>809190</v>
      </c>
      <c r="J635" s="2">
        <v>0</v>
      </c>
      <c r="K635" s="21">
        <v>0</v>
      </c>
      <c r="L635" s="2">
        <v>0</v>
      </c>
      <c r="M635" s="2">
        <v>1130.3499999999999</v>
      </c>
      <c r="N635" s="2">
        <f t="shared" si="871"/>
        <v>7460309.9999999991</v>
      </c>
      <c r="O635" s="2">
        <v>0</v>
      </c>
      <c r="P635" s="2">
        <v>0</v>
      </c>
      <c r="Q635" s="2">
        <v>824.76</v>
      </c>
      <c r="R635" s="2">
        <f t="shared" si="850"/>
        <v>2639232</v>
      </c>
      <c r="S635" s="2">
        <v>0</v>
      </c>
      <c r="T635" s="2">
        <v>100000</v>
      </c>
      <c r="U635" s="6">
        <f t="shared" si="851"/>
        <v>6600</v>
      </c>
      <c r="V635" s="1"/>
      <c r="W635" s="1"/>
      <c r="X635" s="1"/>
      <c r="Y635" s="1"/>
      <c r="Z635" s="1"/>
      <c r="AA635" s="1"/>
      <c r="AB635" s="3"/>
    </row>
    <row r="636" spans="1:28" ht="22.9" customHeight="1" x14ac:dyDescent="0.25">
      <c r="A636" s="39" t="s">
        <v>1668</v>
      </c>
      <c r="B636" s="9" t="s">
        <v>552</v>
      </c>
      <c r="C636" s="7">
        <f t="shared" ref="C636" si="881">D636+L636+N636+P636+R636+S636+T636</f>
        <v>14097868</v>
      </c>
      <c r="D636" s="2">
        <f t="shared" ref="D636" si="882">SUM(E636:J636)</f>
        <v>6101100</v>
      </c>
      <c r="E636" s="2">
        <f>700*2033.7</f>
        <v>1423590</v>
      </c>
      <c r="F636" s="2">
        <f>1300*2033.7</f>
        <v>2643810</v>
      </c>
      <c r="G636" s="2">
        <f>300*2033.7</f>
        <v>610110</v>
      </c>
      <c r="H636" s="2">
        <f>400*2033.7</f>
        <v>813480</v>
      </c>
      <c r="I636" s="2">
        <f>300*2033.7</f>
        <v>610110</v>
      </c>
      <c r="J636" s="2">
        <v>0</v>
      </c>
      <c r="K636" s="21">
        <v>0</v>
      </c>
      <c r="L636" s="2">
        <v>0</v>
      </c>
      <c r="M636" s="2">
        <v>882.88</v>
      </c>
      <c r="N636" s="2">
        <f t="shared" si="871"/>
        <v>5827008</v>
      </c>
      <c r="O636" s="2">
        <v>0</v>
      </c>
      <c r="P636" s="2">
        <v>0</v>
      </c>
      <c r="Q636" s="2">
        <v>646.79999999999995</v>
      </c>
      <c r="R636" s="2">
        <f t="shared" si="850"/>
        <v>2069759.9999999998</v>
      </c>
      <c r="S636" s="2">
        <v>0</v>
      </c>
      <c r="T636" s="2">
        <v>100000</v>
      </c>
      <c r="U636" s="6">
        <f t="shared" si="851"/>
        <v>6600</v>
      </c>
      <c r="V636" s="1"/>
      <c r="W636" s="1"/>
      <c r="X636" s="1"/>
      <c r="Y636" s="1"/>
      <c r="Z636" s="1"/>
      <c r="AA636" s="1"/>
      <c r="AB636" s="3"/>
    </row>
    <row r="637" spans="1:28" ht="22.9" customHeight="1" x14ac:dyDescent="0.25">
      <c r="A637" s="39" t="s">
        <v>1669</v>
      </c>
      <c r="B637" s="9" t="s">
        <v>553</v>
      </c>
      <c r="C637" s="7">
        <f t="shared" ref="C637" si="883">D637+L637+N637+P637+R637+S637+T637</f>
        <v>14445070</v>
      </c>
      <c r="D637" s="2">
        <f t="shared" ref="D637" si="884">SUM(E637:J637)</f>
        <v>6509099.9999999991</v>
      </c>
      <c r="E637" s="2">
        <f>700*2169.7</f>
        <v>1518789.9999999998</v>
      </c>
      <c r="F637" s="2">
        <f>1300*2169.7</f>
        <v>2820609.9999999995</v>
      </c>
      <c r="G637" s="2">
        <f>300*2169.7</f>
        <v>650910</v>
      </c>
      <c r="H637" s="2">
        <f>400*2169.7</f>
        <v>867879.99999999988</v>
      </c>
      <c r="I637" s="2">
        <f>300*2169.7</f>
        <v>650910</v>
      </c>
      <c r="J637" s="2">
        <v>0</v>
      </c>
      <c r="K637" s="21">
        <v>0</v>
      </c>
      <c r="L637" s="2">
        <v>0</v>
      </c>
      <c r="M637" s="2">
        <v>874.25</v>
      </c>
      <c r="N637" s="2">
        <f t="shared" si="871"/>
        <v>5770050</v>
      </c>
      <c r="O637" s="2">
        <v>0</v>
      </c>
      <c r="P637" s="2">
        <v>0</v>
      </c>
      <c r="Q637" s="2">
        <v>645.6</v>
      </c>
      <c r="R637" s="2">
        <f t="shared" si="850"/>
        <v>2065920</v>
      </c>
      <c r="S637" s="2">
        <v>0</v>
      </c>
      <c r="T637" s="2">
        <v>100000</v>
      </c>
      <c r="U637" s="6">
        <f t="shared" si="851"/>
        <v>6600</v>
      </c>
      <c r="V637" s="1"/>
      <c r="W637" s="1"/>
      <c r="X637" s="1"/>
      <c r="Y637" s="1"/>
      <c r="Z637" s="1"/>
      <c r="AA637" s="1"/>
      <c r="AB637" s="3"/>
    </row>
    <row r="638" spans="1:28" ht="22.9" customHeight="1" x14ac:dyDescent="0.25">
      <c r="A638" s="39" t="s">
        <v>1670</v>
      </c>
      <c r="B638" s="9" t="s">
        <v>554</v>
      </c>
      <c r="C638" s="7">
        <f t="shared" ref="C638" si="885">D638+L638+N638+P638+R638+S638+T638</f>
        <v>18663838.399999999</v>
      </c>
      <c r="D638" s="2">
        <f t="shared" ref="D638" si="886">SUM(E638:J638)</f>
        <v>7126500</v>
      </c>
      <c r="E638" s="2">
        <f>700*2375.5</f>
        <v>1662850</v>
      </c>
      <c r="F638" s="2">
        <f>1300*2375.5</f>
        <v>3088150</v>
      </c>
      <c r="G638" s="2">
        <f>300*2375.5</f>
        <v>712650</v>
      </c>
      <c r="H638" s="2">
        <f>400*2375.5</f>
        <v>950200</v>
      </c>
      <c r="I638" s="2">
        <f>300*2375.5</f>
        <v>712650</v>
      </c>
      <c r="J638" s="2">
        <v>0</v>
      </c>
      <c r="K638" s="21">
        <v>0</v>
      </c>
      <c r="L638" s="8">
        <v>0</v>
      </c>
      <c r="M638" s="8">
        <v>900.72400000000005</v>
      </c>
      <c r="N638" s="2">
        <f t="shared" si="871"/>
        <v>5944778.4000000004</v>
      </c>
      <c r="O638" s="8">
        <v>477</v>
      </c>
      <c r="P638" s="18">
        <f>O638*1200</f>
        <v>572400</v>
      </c>
      <c r="Q638" s="8">
        <v>1537.55</v>
      </c>
      <c r="R638" s="2">
        <f t="shared" si="850"/>
        <v>4920160</v>
      </c>
      <c r="S638" s="8">
        <v>0</v>
      </c>
      <c r="T638" s="2">
        <v>100000</v>
      </c>
      <c r="U638" s="6">
        <f t="shared" si="851"/>
        <v>6600</v>
      </c>
      <c r="V638" s="1"/>
      <c r="W638" s="1"/>
      <c r="X638" s="1"/>
      <c r="Y638" s="1"/>
      <c r="Z638" s="1"/>
      <c r="AA638" s="1"/>
      <c r="AB638" s="3"/>
    </row>
    <row r="639" spans="1:28" ht="22.9" customHeight="1" x14ac:dyDescent="0.25">
      <c r="A639" s="39" t="s">
        <v>1671</v>
      </c>
      <c r="B639" s="9" t="s">
        <v>555</v>
      </c>
      <c r="C639" s="7">
        <f t="shared" ref="C639" si="887">D639+L639+N639+P639+R639+S639+T639</f>
        <v>6580420</v>
      </c>
      <c r="D639" s="2">
        <f t="shared" ref="D639" si="888">SUM(E639:J639)</f>
        <v>4865700</v>
      </c>
      <c r="E639" s="2">
        <f>700*1621.9</f>
        <v>1135330</v>
      </c>
      <c r="F639" s="2">
        <f>1300*1621.9</f>
        <v>2108470</v>
      </c>
      <c r="G639" s="2">
        <f>300*1621.9</f>
        <v>486570</v>
      </c>
      <c r="H639" s="2">
        <f>400*1621.9</f>
        <v>648760</v>
      </c>
      <c r="I639" s="2">
        <f>300*1621.9</f>
        <v>486570</v>
      </c>
      <c r="J639" s="2">
        <v>0</v>
      </c>
      <c r="K639" s="21">
        <v>0</v>
      </c>
      <c r="L639" s="2">
        <v>0</v>
      </c>
      <c r="M639" s="2">
        <v>0</v>
      </c>
      <c r="N639" s="2">
        <v>0</v>
      </c>
      <c r="O639" s="2">
        <v>40</v>
      </c>
      <c r="P639" s="18">
        <f>O639*1200</f>
        <v>48000</v>
      </c>
      <c r="Q639" s="2">
        <v>489.6</v>
      </c>
      <c r="R639" s="2">
        <f t="shared" si="850"/>
        <v>1566720</v>
      </c>
      <c r="S639" s="2">
        <v>0</v>
      </c>
      <c r="T639" s="2">
        <v>100000</v>
      </c>
      <c r="U639" s="6" t="e">
        <f t="shared" si="851"/>
        <v>#DIV/0!</v>
      </c>
      <c r="V639" s="1"/>
      <c r="W639" s="1"/>
      <c r="X639" s="1"/>
      <c r="Y639" s="1"/>
      <c r="Z639" s="1"/>
      <c r="AA639" s="1"/>
      <c r="AB639" s="3"/>
    </row>
    <row r="640" spans="1:28" ht="22.9" customHeight="1" x14ac:dyDescent="0.25">
      <c r="A640" s="39" t="s">
        <v>1672</v>
      </c>
      <c r="B640" s="9" t="s">
        <v>556</v>
      </c>
      <c r="C640" s="7">
        <f t="shared" ref="C640" si="889">D640+L640+N640+P640+R640+S640+T640</f>
        <v>17226880</v>
      </c>
      <c r="D640" s="2">
        <f t="shared" ref="D640" si="890">SUM(E640:J640)</f>
        <v>6522000</v>
      </c>
      <c r="E640" s="2">
        <f>700*2174</f>
        <v>1521800</v>
      </c>
      <c r="F640" s="2">
        <f>1300*2174</f>
        <v>2826200</v>
      </c>
      <c r="G640" s="2">
        <f>300*2174</f>
        <v>652200</v>
      </c>
      <c r="H640" s="2">
        <f>400*2174</f>
        <v>869600</v>
      </c>
      <c r="I640" s="2">
        <f>300*2174</f>
        <v>652200</v>
      </c>
      <c r="J640" s="2">
        <v>0</v>
      </c>
      <c r="K640" s="21">
        <v>0</v>
      </c>
      <c r="L640" s="2">
        <v>0</v>
      </c>
      <c r="M640" s="2">
        <v>899.6</v>
      </c>
      <c r="N640" s="2">
        <f t="shared" si="871"/>
        <v>5937360</v>
      </c>
      <c r="O640" s="2">
        <v>0</v>
      </c>
      <c r="P640" s="2">
        <v>0</v>
      </c>
      <c r="Q640" s="2">
        <v>1458.6</v>
      </c>
      <c r="R640" s="2">
        <f t="shared" si="850"/>
        <v>4667520</v>
      </c>
      <c r="S640" s="8">
        <v>0</v>
      </c>
      <c r="T640" s="2">
        <v>100000</v>
      </c>
      <c r="U640" s="6">
        <f t="shared" si="851"/>
        <v>6600</v>
      </c>
      <c r="V640" s="1"/>
      <c r="W640" s="1"/>
      <c r="X640" s="1"/>
      <c r="Y640" s="1"/>
      <c r="Z640" s="1"/>
      <c r="AA640" s="1"/>
      <c r="AB640" s="3"/>
    </row>
    <row r="641" spans="1:29" ht="22.9" customHeight="1" x14ac:dyDescent="0.25">
      <c r="A641" s="39" t="s">
        <v>1673</v>
      </c>
      <c r="B641" s="9" t="s">
        <v>557</v>
      </c>
      <c r="C641" s="7">
        <f t="shared" ref="C641" si="891">D641+L641+N641+P641+R641+S641+T641</f>
        <v>14366182</v>
      </c>
      <c r="D641" s="2">
        <f t="shared" ref="D641" si="892">SUM(E641:J641)</f>
        <v>6326400.0000000009</v>
      </c>
      <c r="E641" s="2">
        <f>700*2108.8</f>
        <v>1476160.0000000002</v>
      </c>
      <c r="F641" s="2">
        <f>1300*2108.8</f>
        <v>2741440.0000000005</v>
      </c>
      <c r="G641" s="2">
        <f>300*2108.8</f>
        <v>632640</v>
      </c>
      <c r="H641" s="2">
        <f>400*2108.8</f>
        <v>843520.00000000012</v>
      </c>
      <c r="I641" s="2">
        <f>300*2108.8</f>
        <v>632640</v>
      </c>
      <c r="J641" s="2">
        <v>0</v>
      </c>
      <c r="K641" s="21">
        <v>0</v>
      </c>
      <c r="L641" s="2">
        <v>0</v>
      </c>
      <c r="M641" s="2">
        <v>881.95</v>
      </c>
      <c r="N641" s="2">
        <f t="shared" si="871"/>
        <v>5820870</v>
      </c>
      <c r="O641" s="2">
        <v>40</v>
      </c>
      <c r="P641" s="18">
        <f>O641*1200</f>
        <v>48000</v>
      </c>
      <c r="Q641" s="2">
        <v>647.16</v>
      </c>
      <c r="R641" s="2">
        <f t="shared" si="850"/>
        <v>2070912</v>
      </c>
      <c r="S641" s="2">
        <v>0</v>
      </c>
      <c r="T641" s="2">
        <v>100000</v>
      </c>
      <c r="U641" s="6">
        <f t="shared" si="851"/>
        <v>6600</v>
      </c>
      <c r="V641" s="1"/>
      <c r="W641" s="1"/>
      <c r="X641" s="1"/>
      <c r="Y641" s="1"/>
      <c r="Z641" s="1"/>
      <c r="AA641" s="1"/>
      <c r="AB641" s="3"/>
    </row>
    <row r="642" spans="1:29" ht="22.9" customHeight="1" x14ac:dyDescent="0.25">
      <c r="A642" s="39" t="s">
        <v>1674</v>
      </c>
      <c r="B642" s="9" t="s">
        <v>558</v>
      </c>
      <c r="C642" s="7">
        <f t="shared" ref="C642:C643" si="893">D642+L642+N642+P642+R642+S642+T642</f>
        <v>17199236</v>
      </c>
      <c r="D642" s="2">
        <f t="shared" ref="D642:D643" si="894">SUM(E642:J642)</f>
        <v>9085700</v>
      </c>
      <c r="E642" s="2">
        <f>700*3494.5</f>
        <v>2446150</v>
      </c>
      <c r="F642" s="2">
        <f>1300*3494.5</f>
        <v>4542850</v>
      </c>
      <c r="G642" s="2">
        <f>300*3494.5</f>
        <v>1048350</v>
      </c>
      <c r="H642" s="2">
        <v>0</v>
      </c>
      <c r="I642" s="2">
        <f>300*3494.5</f>
        <v>1048350</v>
      </c>
      <c r="J642" s="2">
        <v>0</v>
      </c>
      <c r="K642" s="21">
        <v>0</v>
      </c>
      <c r="L642" s="2">
        <v>0</v>
      </c>
      <c r="M642" s="2">
        <v>0</v>
      </c>
      <c r="N642" s="2">
        <f t="shared" si="871"/>
        <v>0</v>
      </c>
      <c r="O642" s="2">
        <v>647.20000000000005</v>
      </c>
      <c r="P642" s="18">
        <f>O642*1200</f>
        <v>776640</v>
      </c>
      <c r="Q642" s="2">
        <v>2261.5300000000002</v>
      </c>
      <c r="R642" s="2">
        <f t="shared" si="850"/>
        <v>7236896.0000000009</v>
      </c>
      <c r="S642" s="8">
        <v>0</v>
      </c>
      <c r="T642" s="2">
        <v>100000</v>
      </c>
      <c r="U642" s="6" t="e">
        <f t="shared" si="851"/>
        <v>#DIV/0!</v>
      </c>
      <c r="V642" s="1"/>
      <c r="W642" s="1"/>
      <c r="X642" s="1"/>
      <c r="Y642" s="1"/>
      <c r="Z642" s="1"/>
      <c r="AA642" s="1"/>
      <c r="AB642" s="3"/>
    </row>
    <row r="643" spans="1:29" ht="22.9" customHeight="1" x14ac:dyDescent="0.25">
      <c r="A643" s="39" t="s">
        <v>1675</v>
      </c>
      <c r="B643" s="9" t="s">
        <v>559</v>
      </c>
      <c r="C643" s="7">
        <f t="shared" si="893"/>
        <v>14396532</v>
      </c>
      <c r="D643" s="2">
        <f t="shared" si="894"/>
        <v>6385099.9999999991</v>
      </c>
      <c r="E643" s="2">
        <f>700*2116.7</f>
        <v>1481689.9999999998</v>
      </c>
      <c r="F643" s="2">
        <f>1300*2116.7</f>
        <v>2751709.9999999995</v>
      </c>
      <c r="G643" s="2">
        <f>300*2116.7</f>
        <v>635010</v>
      </c>
      <c r="H643" s="2">
        <f>400*2166.7</f>
        <v>866679.99999999988</v>
      </c>
      <c r="I643" s="2">
        <f>300*2166.7</f>
        <v>650010</v>
      </c>
      <c r="J643" s="2">
        <v>0</v>
      </c>
      <c r="K643" s="21">
        <v>0</v>
      </c>
      <c r="L643" s="2">
        <v>0</v>
      </c>
      <c r="M643" s="2">
        <v>884.52</v>
      </c>
      <c r="N643" s="2">
        <f t="shared" si="871"/>
        <v>5837832</v>
      </c>
      <c r="O643" s="2">
        <v>0</v>
      </c>
      <c r="P643" s="2">
        <v>0</v>
      </c>
      <c r="Q643" s="2">
        <v>648</v>
      </c>
      <c r="R643" s="2">
        <f t="shared" si="850"/>
        <v>2073600</v>
      </c>
      <c r="S643" s="2">
        <v>0</v>
      </c>
      <c r="T643" s="2">
        <v>100000</v>
      </c>
      <c r="U643" s="6">
        <f t="shared" si="851"/>
        <v>6600</v>
      </c>
      <c r="V643" s="1"/>
      <c r="W643" s="1"/>
      <c r="X643" s="1"/>
      <c r="Y643" s="1"/>
      <c r="Z643" s="1"/>
      <c r="AA643" s="1"/>
      <c r="AB643" s="3"/>
    </row>
    <row r="644" spans="1:29" ht="22.9" customHeight="1" x14ac:dyDescent="0.25">
      <c r="A644" s="39" t="s">
        <v>1676</v>
      </c>
      <c r="B644" s="9" t="s">
        <v>560</v>
      </c>
      <c r="C644" s="7">
        <f t="shared" ref="C644" si="895">D644+L644+N644+P644+R644+S644+T644</f>
        <v>14363600</v>
      </c>
      <c r="D644" s="2">
        <f t="shared" ref="D644" si="896">SUM(E644:J644)</f>
        <v>6375599.9999999991</v>
      </c>
      <c r="E644" s="2">
        <f>700*2125.2</f>
        <v>1487639.9999999998</v>
      </c>
      <c r="F644" s="2">
        <f>1300*2125.2</f>
        <v>2762759.9999999995</v>
      </c>
      <c r="G644" s="2">
        <f>300*2125.2</f>
        <v>637560</v>
      </c>
      <c r="H644" s="2">
        <f>400*2125.2</f>
        <v>850079.99999999988</v>
      </c>
      <c r="I644" s="2">
        <f>300*2125.2</f>
        <v>637560</v>
      </c>
      <c r="J644" s="2">
        <v>0</v>
      </c>
      <c r="K644" s="21">
        <v>0</v>
      </c>
      <c r="L644" s="2">
        <v>0</v>
      </c>
      <c r="M644" s="2">
        <v>880</v>
      </c>
      <c r="N644" s="2">
        <f t="shared" si="871"/>
        <v>5808000</v>
      </c>
      <c r="O644" s="2">
        <v>0</v>
      </c>
      <c r="P644" s="2">
        <v>0</v>
      </c>
      <c r="Q644" s="2">
        <v>650</v>
      </c>
      <c r="R644" s="2">
        <f t="shared" si="850"/>
        <v>2080000</v>
      </c>
      <c r="S644" s="2">
        <v>0</v>
      </c>
      <c r="T644" s="2">
        <v>100000</v>
      </c>
      <c r="U644" s="6">
        <f t="shared" si="851"/>
        <v>6600</v>
      </c>
      <c r="V644" s="1"/>
      <c r="W644" s="1"/>
      <c r="X644" s="1"/>
      <c r="Y644" s="1"/>
      <c r="Z644" s="1"/>
      <c r="AA644" s="1"/>
      <c r="AB644" s="3"/>
    </row>
    <row r="645" spans="1:29" ht="22.9" customHeight="1" x14ac:dyDescent="0.25">
      <c r="A645" s="39" t="s">
        <v>1677</v>
      </c>
      <c r="B645" s="9" t="s">
        <v>561</v>
      </c>
      <c r="C645" s="7">
        <f t="shared" ref="C645" si="897">D645+L645+N645+P645+R645+S645+T645</f>
        <v>17878658</v>
      </c>
      <c r="D645" s="2">
        <f t="shared" ref="D645" si="898">SUM(E645:J645)</f>
        <v>6546300</v>
      </c>
      <c r="E645" s="2">
        <f>700*2182.1</f>
        <v>1527470</v>
      </c>
      <c r="F645" s="2">
        <f>1300*2182.1</f>
        <v>2836730</v>
      </c>
      <c r="G645" s="2">
        <f>300*2182.1</f>
        <v>654630</v>
      </c>
      <c r="H645" s="2">
        <f>400*2182.1</f>
        <v>872840</v>
      </c>
      <c r="I645" s="2">
        <f>300*2182.1</f>
        <v>654630</v>
      </c>
      <c r="J645" s="2">
        <v>0</v>
      </c>
      <c r="K645" s="21">
        <v>0</v>
      </c>
      <c r="L645" s="2">
        <v>0</v>
      </c>
      <c r="M645" s="2">
        <v>888.03</v>
      </c>
      <c r="N645" s="2">
        <f t="shared" si="871"/>
        <v>5860998</v>
      </c>
      <c r="O645" s="2">
        <v>566</v>
      </c>
      <c r="P645" s="18">
        <f>O645*1200</f>
        <v>679200</v>
      </c>
      <c r="Q645" s="2">
        <v>1466.3</v>
      </c>
      <c r="R645" s="2">
        <f t="shared" si="850"/>
        <v>4692160</v>
      </c>
      <c r="S645" s="2">
        <v>0</v>
      </c>
      <c r="T645" s="2">
        <v>100000</v>
      </c>
      <c r="U645" s="6">
        <f t="shared" si="851"/>
        <v>6600</v>
      </c>
      <c r="V645" s="1"/>
      <c r="W645" s="1"/>
      <c r="X645" s="1"/>
      <c r="Y645" s="1"/>
      <c r="Z645" s="1"/>
      <c r="AA645" s="1"/>
      <c r="AB645" s="3"/>
    </row>
    <row r="646" spans="1:29" ht="22.9" customHeight="1" x14ac:dyDescent="0.25">
      <c r="A646" s="39" t="s">
        <v>1678</v>
      </c>
      <c r="B646" s="9" t="s">
        <v>562</v>
      </c>
      <c r="C646" s="7">
        <f t="shared" ref="C646" si="899">D646+L646+N646+P646+R646+S646+T646</f>
        <v>6388594</v>
      </c>
      <c r="D646" s="2">
        <f t="shared" ref="D646" si="900">SUM(E646:J646)</f>
        <v>1983000</v>
      </c>
      <c r="E646" s="2">
        <f>700*661</f>
        <v>462700</v>
      </c>
      <c r="F646" s="2">
        <f>1300*661</f>
        <v>859300</v>
      </c>
      <c r="G646" s="2">
        <f>300*661</f>
        <v>198300</v>
      </c>
      <c r="H646" s="2">
        <f>400*661</f>
        <v>264400</v>
      </c>
      <c r="I646" s="2">
        <f>300*661</f>
        <v>198300</v>
      </c>
      <c r="J646" s="2">
        <v>0</v>
      </c>
      <c r="K646" s="21">
        <v>0</v>
      </c>
      <c r="L646" s="2">
        <v>0</v>
      </c>
      <c r="M646" s="2">
        <v>552.29</v>
      </c>
      <c r="N646" s="2">
        <f>M646*6600</f>
        <v>3645113.9999999995</v>
      </c>
      <c r="O646" s="2">
        <v>0</v>
      </c>
      <c r="P646" s="2">
        <v>0</v>
      </c>
      <c r="Q646" s="2">
        <v>206.4</v>
      </c>
      <c r="R646" s="2">
        <f>Q646*3200</f>
        <v>660480</v>
      </c>
      <c r="S646" s="2">
        <v>0</v>
      </c>
      <c r="T646" s="2">
        <v>100000</v>
      </c>
      <c r="U646" s="6">
        <f t="shared" si="851"/>
        <v>6600</v>
      </c>
      <c r="V646" s="1"/>
      <c r="W646" s="1"/>
      <c r="X646" s="1"/>
      <c r="Y646" s="1"/>
      <c r="Z646" s="1"/>
      <c r="AA646" s="1"/>
      <c r="AB646" s="3"/>
    </row>
    <row r="647" spans="1:29" ht="22.9" customHeight="1" x14ac:dyDescent="0.25">
      <c r="A647" s="39" t="s">
        <v>1679</v>
      </c>
      <c r="B647" s="9" t="s">
        <v>563</v>
      </c>
      <c r="C647" s="7">
        <f t="shared" ref="C647" si="901">D647+L647+N647+P647+R647+S647+T647</f>
        <v>3318730.0000000005</v>
      </c>
      <c r="D647" s="2">
        <f t="shared" ref="D647" si="902">SUM(E647:J647)</f>
        <v>1000800.0000000001</v>
      </c>
      <c r="E647" s="2">
        <f>700*333.6</f>
        <v>233520.00000000003</v>
      </c>
      <c r="F647" s="2">
        <f>1300*333.6</f>
        <v>433680.00000000006</v>
      </c>
      <c r="G647" s="2">
        <f>300*333.6</f>
        <v>100080</v>
      </c>
      <c r="H647" s="2">
        <f>400*333.6</f>
        <v>133440</v>
      </c>
      <c r="I647" s="2">
        <f>300*333.6</f>
        <v>100080</v>
      </c>
      <c r="J647" s="2">
        <v>0</v>
      </c>
      <c r="K647" s="21">
        <v>0</v>
      </c>
      <c r="L647" s="2">
        <v>0</v>
      </c>
      <c r="M647" s="2">
        <v>284.85000000000002</v>
      </c>
      <c r="N647" s="2">
        <f>M647*6600</f>
        <v>1880010.0000000002</v>
      </c>
      <c r="O647" s="2">
        <v>0</v>
      </c>
      <c r="P647" s="2">
        <v>0</v>
      </c>
      <c r="Q647" s="2">
        <v>105.6</v>
      </c>
      <c r="R647" s="2">
        <f>Q647*3200</f>
        <v>337920</v>
      </c>
      <c r="S647" s="2">
        <v>0</v>
      </c>
      <c r="T647" s="2">
        <v>100000</v>
      </c>
      <c r="U647" s="6">
        <f t="shared" si="851"/>
        <v>6600</v>
      </c>
      <c r="V647" s="1"/>
      <c r="W647" s="1"/>
      <c r="X647" s="1"/>
      <c r="Y647" s="1"/>
      <c r="Z647" s="1"/>
      <c r="AA647" s="1"/>
      <c r="AB647" s="3"/>
    </row>
    <row r="648" spans="1:29" ht="22.9" customHeight="1" x14ac:dyDescent="0.25">
      <c r="A648" s="39" t="s">
        <v>1680</v>
      </c>
      <c r="B648" s="9" t="s">
        <v>564</v>
      </c>
      <c r="C648" s="7">
        <f t="shared" ref="C648" si="903">D648+L648+N648+P648+R648+S648+T648</f>
        <v>21846016</v>
      </c>
      <c r="D648" s="2">
        <f t="shared" ref="D648" si="904">SUM(E648:J648)</f>
        <v>8074500</v>
      </c>
      <c r="E648" s="2">
        <f>700*2691.5</f>
        <v>1884050</v>
      </c>
      <c r="F648" s="2">
        <f>1300*2691.5</f>
        <v>3498950</v>
      </c>
      <c r="G648" s="2">
        <f>300*2691.5</f>
        <v>807450</v>
      </c>
      <c r="H648" s="2">
        <f>400*2691.5</f>
        <v>1076600</v>
      </c>
      <c r="I648" s="2">
        <f>300*2691.5</f>
        <v>807450</v>
      </c>
      <c r="J648" s="2">
        <v>0</v>
      </c>
      <c r="K648" s="21">
        <v>0</v>
      </c>
      <c r="L648" s="2">
        <v>0</v>
      </c>
      <c r="M648" s="2">
        <v>1127.5</v>
      </c>
      <c r="N648" s="2">
        <f>M648*6600</f>
        <v>7441500</v>
      </c>
      <c r="O648" s="2">
        <v>0</v>
      </c>
      <c r="P648" s="2">
        <v>0</v>
      </c>
      <c r="Q648" s="2">
        <v>1946.88</v>
      </c>
      <c r="R648" s="2">
        <f>Q648*3200</f>
        <v>6230016</v>
      </c>
      <c r="S648" s="8">
        <v>0</v>
      </c>
      <c r="T648" s="2">
        <v>100000</v>
      </c>
      <c r="U648" s="6">
        <f t="shared" si="851"/>
        <v>6600</v>
      </c>
      <c r="V648" s="1"/>
      <c r="W648" s="1"/>
      <c r="X648" s="1"/>
      <c r="Y648" s="1"/>
      <c r="Z648" s="1"/>
      <c r="AA648" s="1"/>
      <c r="AB648" s="3"/>
    </row>
    <row r="649" spans="1:29" ht="45" customHeight="1" x14ac:dyDescent="0.25">
      <c r="A649" s="43" t="s">
        <v>584</v>
      </c>
      <c r="B649" s="43"/>
      <c r="C649" s="1">
        <f>SUM(C650:C651)</f>
        <v>9488910</v>
      </c>
      <c r="D649" s="1">
        <f t="shared" ref="D649:T649" si="905">SUM(D650:D651)</f>
        <v>1090310</v>
      </c>
      <c r="E649" s="1">
        <f t="shared" si="905"/>
        <v>587090</v>
      </c>
      <c r="F649" s="1">
        <f t="shared" si="905"/>
        <v>0</v>
      </c>
      <c r="G649" s="1">
        <f t="shared" si="905"/>
        <v>251610</v>
      </c>
      <c r="H649" s="1">
        <f t="shared" si="905"/>
        <v>0</v>
      </c>
      <c r="I649" s="1">
        <f t="shared" si="905"/>
        <v>251610</v>
      </c>
      <c r="J649" s="1">
        <f t="shared" si="905"/>
        <v>0</v>
      </c>
      <c r="K649" s="33">
        <f t="shared" si="905"/>
        <v>0</v>
      </c>
      <c r="L649" s="1">
        <f t="shared" si="905"/>
        <v>0</v>
      </c>
      <c r="M649" s="1">
        <f t="shared" si="905"/>
        <v>810.6</v>
      </c>
      <c r="N649" s="1">
        <f t="shared" si="905"/>
        <v>5349960</v>
      </c>
      <c r="O649" s="1">
        <f t="shared" si="905"/>
        <v>0</v>
      </c>
      <c r="P649" s="1">
        <f t="shared" si="905"/>
        <v>0</v>
      </c>
      <c r="Q649" s="1">
        <f t="shared" si="905"/>
        <v>890.2</v>
      </c>
      <c r="R649" s="1">
        <f t="shared" si="905"/>
        <v>2848640</v>
      </c>
      <c r="S649" s="1">
        <f t="shared" si="905"/>
        <v>0</v>
      </c>
      <c r="T649" s="1">
        <f t="shared" si="905"/>
        <v>200000</v>
      </c>
      <c r="U649" s="3" t="e">
        <f>C649+#REF!+#REF!</f>
        <v>#REF!</v>
      </c>
    </row>
    <row r="650" spans="1:29" ht="22.9" customHeight="1" x14ac:dyDescent="0.25">
      <c r="A650" s="39" t="s">
        <v>1681</v>
      </c>
      <c r="B650" s="9" t="s">
        <v>587</v>
      </c>
      <c r="C650" s="7">
        <f t="shared" ref="C650:C651" si="906">D650+L650+N650+P650+R650+S650+T650</f>
        <v>4766100</v>
      </c>
      <c r="D650" s="2">
        <f t="shared" ref="D650:D651" si="907">SUM(E650:J650)</f>
        <v>547820</v>
      </c>
      <c r="E650" s="2">
        <f>700*421.4</f>
        <v>294980</v>
      </c>
      <c r="F650" s="2">
        <v>0</v>
      </c>
      <c r="G650" s="2">
        <f>300*421.4</f>
        <v>126420</v>
      </c>
      <c r="H650" s="2">
        <v>0</v>
      </c>
      <c r="I650" s="2">
        <f>300*421.4</f>
        <v>126420</v>
      </c>
      <c r="J650" s="2">
        <v>0</v>
      </c>
      <c r="K650" s="21">
        <v>0</v>
      </c>
      <c r="L650" s="2">
        <v>0</v>
      </c>
      <c r="M650" s="2">
        <v>405.8</v>
      </c>
      <c r="N650" s="2">
        <f t="shared" ref="N650:N651" si="908">M650*6600</f>
        <v>2678280</v>
      </c>
      <c r="O650" s="2">
        <v>0</v>
      </c>
      <c r="P650" s="2">
        <v>0</v>
      </c>
      <c r="Q650" s="2">
        <v>450</v>
      </c>
      <c r="R650" s="2">
        <f t="shared" ref="R650:R666" si="909">Q650*3200</f>
        <v>1440000</v>
      </c>
      <c r="S650" s="2">
        <v>0</v>
      </c>
      <c r="T650" s="2">
        <v>100000</v>
      </c>
      <c r="U650" s="6">
        <f t="shared" si="851"/>
        <v>6600</v>
      </c>
      <c r="V650" s="1"/>
      <c r="W650" s="1"/>
      <c r="X650" s="1"/>
      <c r="Y650" s="1"/>
      <c r="Z650" s="1"/>
      <c r="AA650" s="1"/>
      <c r="AB650" s="1"/>
      <c r="AC650" s="3"/>
    </row>
    <row r="651" spans="1:29" ht="22.9" customHeight="1" x14ac:dyDescent="0.25">
      <c r="A651" s="39" t="s">
        <v>1682</v>
      </c>
      <c r="B651" s="9" t="s">
        <v>588</v>
      </c>
      <c r="C651" s="7">
        <f t="shared" si="906"/>
        <v>4722810</v>
      </c>
      <c r="D651" s="2">
        <f t="shared" si="907"/>
        <v>542490</v>
      </c>
      <c r="E651" s="2">
        <f>700*417.3</f>
        <v>292110</v>
      </c>
      <c r="F651" s="2">
        <v>0</v>
      </c>
      <c r="G651" s="2">
        <f>300*417.3</f>
        <v>125190</v>
      </c>
      <c r="H651" s="2">
        <v>0</v>
      </c>
      <c r="I651" s="2">
        <f>300*417.3</f>
        <v>125190</v>
      </c>
      <c r="J651" s="2">
        <v>0</v>
      </c>
      <c r="K651" s="21">
        <v>0</v>
      </c>
      <c r="L651" s="2">
        <v>0</v>
      </c>
      <c r="M651" s="2">
        <v>404.8</v>
      </c>
      <c r="N651" s="2">
        <f t="shared" si="908"/>
        <v>2671680</v>
      </c>
      <c r="O651" s="2">
        <v>0</v>
      </c>
      <c r="P651" s="2">
        <v>0</v>
      </c>
      <c r="Q651" s="2">
        <v>440.2</v>
      </c>
      <c r="R651" s="2">
        <f t="shared" si="909"/>
        <v>1408640</v>
      </c>
      <c r="S651" s="2">
        <v>0</v>
      </c>
      <c r="T651" s="2">
        <v>100000</v>
      </c>
      <c r="U651" s="6">
        <f t="shared" si="851"/>
        <v>6600</v>
      </c>
      <c r="V651" s="1"/>
      <c r="W651" s="1"/>
      <c r="X651" s="1"/>
      <c r="Y651" s="1"/>
      <c r="Z651" s="1"/>
      <c r="AA651" s="1"/>
      <c r="AB651" s="1"/>
      <c r="AC651" s="3"/>
    </row>
    <row r="652" spans="1:29" ht="45" customHeight="1" x14ac:dyDescent="0.25">
      <c r="A652" s="43" t="s">
        <v>591</v>
      </c>
      <c r="B652" s="43"/>
      <c r="C652" s="1">
        <f>SUM(C653)</f>
        <v>1806320</v>
      </c>
      <c r="D652" s="1">
        <f t="shared" ref="D652:T652" si="910">SUM(D653)</f>
        <v>942000</v>
      </c>
      <c r="E652" s="1">
        <f t="shared" si="910"/>
        <v>219800</v>
      </c>
      <c r="F652" s="1">
        <f t="shared" si="910"/>
        <v>408200</v>
      </c>
      <c r="G652" s="1">
        <f t="shared" si="910"/>
        <v>94200</v>
      </c>
      <c r="H652" s="1">
        <f t="shared" si="910"/>
        <v>125600</v>
      </c>
      <c r="I652" s="1">
        <f t="shared" si="910"/>
        <v>94200</v>
      </c>
      <c r="J652" s="1">
        <f t="shared" si="910"/>
        <v>0</v>
      </c>
      <c r="K652" s="33">
        <f t="shared" si="910"/>
        <v>0</v>
      </c>
      <c r="L652" s="1">
        <f t="shared" si="910"/>
        <v>0</v>
      </c>
      <c r="M652" s="1">
        <f t="shared" si="910"/>
        <v>0</v>
      </c>
      <c r="N652" s="1">
        <f t="shared" si="910"/>
        <v>0</v>
      </c>
      <c r="O652" s="1">
        <f t="shared" si="910"/>
        <v>50</v>
      </c>
      <c r="P652" s="1">
        <f t="shared" si="910"/>
        <v>60000</v>
      </c>
      <c r="Q652" s="1">
        <f t="shared" si="910"/>
        <v>220.1</v>
      </c>
      <c r="R652" s="1">
        <f t="shared" si="910"/>
        <v>704320</v>
      </c>
      <c r="S652" s="1">
        <f t="shared" si="910"/>
        <v>0</v>
      </c>
      <c r="T652" s="1">
        <f t="shared" si="910"/>
        <v>100000</v>
      </c>
      <c r="U652" s="3" t="e">
        <f>C652+#REF!+#REF!</f>
        <v>#REF!</v>
      </c>
    </row>
    <row r="653" spans="1:29" ht="22.9" customHeight="1" x14ac:dyDescent="0.25">
      <c r="A653" s="39" t="s">
        <v>1683</v>
      </c>
      <c r="B653" s="9" t="s">
        <v>593</v>
      </c>
      <c r="C653" s="7">
        <f t="shared" ref="C653" si="911">D653+L653+N653+P653+R653+S653+T653</f>
        <v>1806320</v>
      </c>
      <c r="D653" s="2">
        <f t="shared" ref="D653" si="912">SUM(E653:J653)</f>
        <v>942000</v>
      </c>
      <c r="E653" s="2">
        <f>700*314</f>
        <v>219800</v>
      </c>
      <c r="F653" s="2">
        <f>1300*314</f>
        <v>408200</v>
      </c>
      <c r="G653" s="2">
        <f>300*314</f>
        <v>94200</v>
      </c>
      <c r="H653" s="2">
        <f>400*314</f>
        <v>125600</v>
      </c>
      <c r="I653" s="2">
        <f>300*314</f>
        <v>94200</v>
      </c>
      <c r="J653" s="2">
        <v>0</v>
      </c>
      <c r="K653" s="21">
        <v>0</v>
      </c>
      <c r="L653" s="2">
        <v>0</v>
      </c>
      <c r="M653" s="2">
        <v>0</v>
      </c>
      <c r="N653" s="2">
        <v>0</v>
      </c>
      <c r="O653" s="2">
        <v>50</v>
      </c>
      <c r="P653" s="18">
        <f>O653*1200</f>
        <v>60000</v>
      </c>
      <c r="Q653" s="2">
        <v>220.1</v>
      </c>
      <c r="R653" s="2">
        <f t="shared" si="909"/>
        <v>704320</v>
      </c>
      <c r="S653" s="2">
        <v>0</v>
      </c>
      <c r="T653" s="2">
        <v>100000</v>
      </c>
      <c r="U653" s="6" t="e">
        <f t="shared" si="851"/>
        <v>#DIV/0!</v>
      </c>
      <c r="V653" s="1"/>
      <c r="W653" s="1"/>
      <c r="X653" s="1"/>
      <c r="Y653" s="1"/>
      <c r="Z653" s="1"/>
      <c r="AA653" s="1"/>
      <c r="AB653" s="3"/>
    </row>
    <row r="654" spans="1:29" ht="45" customHeight="1" x14ac:dyDescent="0.25">
      <c r="A654" s="43" t="s">
        <v>594</v>
      </c>
      <c r="B654" s="43"/>
      <c r="C654" s="1">
        <f>SUM(C655:C656)</f>
        <v>11225932</v>
      </c>
      <c r="D654" s="1">
        <f t="shared" ref="D654:T654" si="913">SUM(D655:D656)</f>
        <v>1429610</v>
      </c>
      <c r="E654" s="1">
        <f t="shared" si="913"/>
        <v>769790</v>
      </c>
      <c r="F654" s="1">
        <f t="shared" si="913"/>
        <v>0</v>
      </c>
      <c r="G654" s="1">
        <f t="shared" si="913"/>
        <v>329910</v>
      </c>
      <c r="H654" s="1">
        <f t="shared" si="913"/>
        <v>0</v>
      </c>
      <c r="I654" s="1">
        <f t="shared" si="913"/>
        <v>329910</v>
      </c>
      <c r="J654" s="1">
        <f t="shared" si="913"/>
        <v>0</v>
      </c>
      <c r="K654" s="33">
        <f t="shared" si="913"/>
        <v>0</v>
      </c>
      <c r="L654" s="1">
        <f t="shared" si="913"/>
        <v>0</v>
      </c>
      <c r="M654" s="1">
        <f t="shared" si="913"/>
        <v>954.08999999999992</v>
      </c>
      <c r="N654" s="1">
        <f t="shared" si="913"/>
        <v>6296994</v>
      </c>
      <c r="O654" s="1">
        <f t="shared" si="913"/>
        <v>0</v>
      </c>
      <c r="P654" s="1">
        <f t="shared" si="913"/>
        <v>0</v>
      </c>
      <c r="Q654" s="1">
        <f t="shared" si="913"/>
        <v>1031.04</v>
      </c>
      <c r="R654" s="1">
        <f t="shared" si="913"/>
        <v>3299328</v>
      </c>
      <c r="S654" s="1">
        <f t="shared" si="913"/>
        <v>0</v>
      </c>
      <c r="T654" s="1">
        <f t="shared" si="913"/>
        <v>200000</v>
      </c>
      <c r="U654" s="3" t="e">
        <f>C654+#REF!+#REF!</f>
        <v>#REF!</v>
      </c>
    </row>
    <row r="655" spans="1:29" ht="22.9" customHeight="1" x14ac:dyDescent="0.25">
      <c r="A655" s="39" t="s">
        <v>1684</v>
      </c>
      <c r="B655" s="9" t="s">
        <v>597</v>
      </c>
      <c r="C655" s="7">
        <f t="shared" ref="C655:C656" si="914">D655+L655+N655+P655+R655+S655+T655</f>
        <v>6687130</v>
      </c>
      <c r="D655" s="2">
        <f t="shared" ref="D655:D656" si="915">SUM(E655:J655)</f>
        <v>878670</v>
      </c>
      <c r="E655" s="2">
        <f>700*675.9</f>
        <v>473130</v>
      </c>
      <c r="F655" s="2">
        <v>0</v>
      </c>
      <c r="G655" s="2">
        <f>300*675.9</f>
        <v>202770</v>
      </c>
      <c r="H655" s="2">
        <v>0</v>
      </c>
      <c r="I655" s="2">
        <f>300*675.9</f>
        <v>202770</v>
      </c>
      <c r="J655" s="2">
        <v>0</v>
      </c>
      <c r="K655" s="21">
        <v>0</v>
      </c>
      <c r="L655" s="2">
        <v>0</v>
      </c>
      <c r="M655" s="2">
        <v>583.9</v>
      </c>
      <c r="N655" s="2">
        <f t="shared" ref="N655:N658" si="916">M655*6600</f>
        <v>3853740</v>
      </c>
      <c r="O655" s="2">
        <v>0</v>
      </c>
      <c r="P655" s="2">
        <v>0</v>
      </c>
      <c r="Q655" s="2">
        <v>579.6</v>
      </c>
      <c r="R655" s="2">
        <f t="shared" si="909"/>
        <v>1854720</v>
      </c>
      <c r="S655" s="2">
        <v>0</v>
      </c>
      <c r="T655" s="2">
        <v>100000</v>
      </c>
      <c r="U655" s="6">
        <f t="shared" si="851"/>
        <v>6600</v>
      </c>
      <c r="V655" s="1"/>
      <c r="W655" s="1"/>
      <c r="X655" s="1"/>
      <c r="Y655" s="1"/>
      <c r="Z655" s="1"/>
      <c r="AA655" s="1"/>
      <c r="AB655" s="3"/>
    </row>
    <row r="656" spans="1:29" ht="22.9" customHeight="1" x14ac:dyDescent="0.25">
      <c r="A656" s="39" t="s">
        <v>1685</v>
      </c>
      <c r="B656" s="9" t="s">
        <v>598</v>
      </c>
      <c r="C656" s="7">
        <f t="shared" si="914"/>
        <v>4538802</v>
      </c>
      <c r="D656" s="2">
        <f t="shared" si="915"/>
        <v>550940</v>
      </c>
      <c r="E656" s="2">
        <f>700*423.8</f>
        <v>296660</v>
      </c>
      <c r="F656" s="2">
        <v>0</v>
      </c>
      <c r="G656" s="2">
        <f>300*423.8</f>
        <v>127140</v>
      </c>
      <c r="H656" s="2">
        <v>0</v>
      </c>
      <c r="I656" s="2">
        <f>300*423.8</f>
        <v>127140</v>
      </c>
      <c r="J656" s="2">
        <v>0</v>
      </c>
      <c r="K656" s="21">
        <v>0</v>
      </c>
      <c r="L656" s="2">
        <v>0</v>
      </c>
      <c r="M656" s="2">
        <v>370.19</v>
      </c>
      <c r="N656" s="2">
        <f t="shared" si="916"/>
        <v>2443254</v>
      </c>
      <c r="O656" s="2">
        <v>0</v>
      </c>
      <c r="P656" s="2">
        <v>0</v>
      </c>
      <c r="Q656" s="2">
        <v>451.44</v>
      </c>
      <c r="R656" s="2">
        <f t="shared" si="909"/>
        <v>1444608</v>
      </c>
      <c r="S656" s="2">
        <v>0</v>
      </c>
      <c r="T656" s="2">
        <v>100000</v>
      </c>
      <c r="U656" s="6">
        <f t="shared" si="851"/>
        <v>6600</v>
      </c>
      <c r="V656" s="1"/>
      <c r="W656" s="1"/>
      <c r="X656" s="1"/>
      <c r="Y656" s="1"/>
      <c r="Z656" s="1"/>
      <c r="AA656" s="1"/>
      <c r="AB656" s="3"/>
    </row>
    <row r="657" spans="1:28" ht="45" customHeight="1" x14ac:dyDescent="0.25">
      <c r="A657" s="43" t="s">
        <v>601</v>
      </c>
      <c r="B657" s="43"/>
      <c r="C657" s="1">
        <f>SUM(C658)</f>
        <v>4608500</v>
      </c>
      <c r="D657" s="1">
        <f t="shared" ref="D657:T657" si="917">SUM(D658)</f>
        <v>418500</v>
      </c>
      <c r="E657" s="1">
        <f t="shared" si="917"/>
        <v>292950</v>
      </c>
      <c r="F657" s="1">
        <f t="shared" si="917"/>
        <v>0</v>
      </c>
      <c r="G657" s="1">
        <f t="shared" si="917"/>
        <v>125550</v>
      </c>
      <c r="H657" s="1">
        <f t="shared" si="917"/>
        <v>0</v>
      </c>
      <c r="I657" s="1">
        <f t="shared" si="917"/>
        <v>0</v>
      </c>
      <c r="J657" s="1">
        <f t="shared" si="917"/>
        <v>0</v>
      </c>
      <c r="K657" s="33">
        <f t="shared" si="917"/>
        <v>0</v>
      </c>
      <c r="L657" s="1">
        <f t="shared" si="917"/>
        <v>0</v>
      </c>
      <c r="M657" s="1">
        <f t="shared" si="917"/>
        <v>450</v>
      </c>
      <c r="N657" s="1">
        <f t="shared" si="917"/>
        <v>2970000</v>
      </c>
      <c r="O657" s="1">
        <f t="shared" si="917"/>
        <v>0</v>
      </c>
      <c r="P657" s="1">
        <f t="shared" si="917"/>
        <v>0</v>
      </c>
      <c r="Q657" s="1">
        <f t="shared" si="917"/>
        <v>350</v>
      </c>
      <c r="R657" s="1">
        <f t="shared" si="917"/>
        <v>1120000</v>
      </c>
      <c r="S657" s="1">
        <f t="shared" si="917"/>
        <v>0</v>
      </c>
      <c r="T657" s="1">
        <f t="shared" si="917"/>
        <v>100000</v>
      </c>
      <c r="U657" s="3" t="e">
        <f>C657+#REF!+#REF!</f>
        <v>#REF!</v>
      </c>
    </row>
    <row r="658" spans="1:28" ht="22.9" customHeight="1" x14ac:dyDescent="0.25">
      <c r="A658" s="39" t="s">
        <v>1686</v>
      </c>
      <c r="B658" s="9" t="s">
        <v>603</v>
      </c>
      <c r="C658" s="7">
        <f t="shared" ref="C658" si="918">D658+L658+N658+P658+R658+S658+T658</f>
        <v>4608500</v>
      </c>
      <c r="D658" s="2">
        <f t="shared" ref="D658" si="919">SUM(E658:J658)</f>
        <v>418500</v>
      </c>
      <c r="E658" s="2">
        <f>700*418.5</f>
        <v>292950</v>
      </c>
      <c r="F658" s="2">
        <v>0</v>
      </c>
      <c r="G658" s="2">
        <f>300*418.5</f>
        <v>125550</v>
      </c>
      <c r="H658" s="2">
        <v>0</v>
      </c>
      <c r="I658" s="2">
        <v>0</v>
      </c>
      <c r="J658" s="2">
        <v>0</v>
      </c>
      <c r="K658" s="21">
        <v>0</v>
      </c>
      <c r="L658" s="2">
        <v>0</v>
      </c>
      <c r="M658" s="2">
        <v>450</v>
      </c>
      <c r="N658" s="2">
        <f t="shared" si="916"/>
        <v>2970000</v>
      </c>
      <c r="O658" s="2">
        <v>0</v>
      </c>
      <c r="P658" s="2">
        <v>0</v>
      </c>
      <c r="Q658" s="2">
        <v>350</v>
      </c>
      <c r="R658" s="2">
        <f t="shared" si="909"/>
        <v>1120000</v>
      </c>
      <c r="S658" s="2">
        <v>0</v>
      </c>
      <c r="T658" s="2">
        <v>100000</v>
      </c>
      <c r="U658" s="6">
        <f t="shared" si="851"/>
        <v>6600</v>
      </c>
      <c r="V658" s="1"/>
      <c r="W658" s="1"/>
      <c r="X658" s="1"/>
      <c r="Y658" s="1"/>
      <c r="Z658" s="1"/>
      <c r="AA658" s="1"/>
      <c r="AB658" s="3"/>
    </row>
    <row r="659" spans="1:28" ht="45" customHeight="1" x14ac:dyDescent="0.25">
      <c r="A659" s="43" t="s">
        <v>605</v>
      </c>
      <c r="B659" s="43"/>
      <c r="C659" s="1">
        <f>SUM(C660)</f>
        <v>1789360</v>
      </c>
      <c r="D659" s="1">
        <f t="shared" ref="D659:T659" si="920">SUM(D660)</f>
        <v>494800</v>
      </c>
      <c r="E659" s="1">
        <f t="shared" si="920"/>
        <v>346360</v>
      </c>
      <c r="F659" s="1">
        <f t="shared" si="920"/>
        <v>0</v>
      </c>
      <c r="G659" s="1">
        <f t="shared" si="920"/>
        <v>148440</v>
      </c>
      <c r="H659" s="1">
        <f t="shared" si="920"/>
        <v>0</v>
      </c>
      <c r="I659" s="1">
        <f t="shared" si="920"/>
        <v>0</v>
      </c>
      <c r="J659" s="1">
        <f t="shared" si="920"/>
        <v>0</v>
      </c>
      <c r="K659" s="33">
        <f t="shared" si="920"/>
        <v>0</v>
      </c>
      <c r="L659" s="1">
        <f t="shared" si="920"/>
        <v>0</v>
      </c>
      <c r="M659" s="1">
        <f t="shared" si="920"/>
        <v>0</v>
      </c>
      <c r="N659" s="1">
        <f t="shared" si="920"/>
        <v>0</v>
      </c>
      <c r="O659" s="1">
        <f t="shared" si="920"/>
        <v>0</v>
      </c>
      <c r="P659" s="1">
        <f t="shared" si="920"/>
        <v>0</v>
      </c>
      <c r="Q659" s="1">
        <f t="shared" si="920"/>
        <v>373.3</v>
      </c>
      <c r="R659" s="1">
        <f t="shared" si="920"/>
        <v>1194560</v>
      </c>
      <c r="S659" s="1">
        <f t="shared" si="920"/>
        <v>0</v>
      </c>
      <c r="T659" s="1">
        <f t="shared" si="920"/>
        <v>100000</v>
      </c>
      <c r="U659" s="3" t="e">
        <f>C659+#REF!+#REF!</f>
        <v>#REF!</v>
      </c>
    </row>
    <row r="660" spans="1:28" ht="19.899999999999999" customHeight="1" x14ac:dyDescent="0.25">
      <c r="A660" s="39" t="s">
        <v>1687</v>
      </c>
      <c r="B660" s="9" t="s">
        <v>608</v>
      </c>
      <c r="C660" s="7">
        <f t="shared" ref="C660" si="921">D660+L660+N660+P660+R660+S660+T660</f>
        <v>1789360</v>
      </c>
      <c r="D660" s="2">
        <f t="shared" ref="D660" si="922">SUM(E660:J660)</f>
        <v>494800</v>
      </c>
      <c r="E660" s="2">
        <f>700*494.8</f>
        <v>346360</v>
      </c>
      <c r="F660" s="2">
        <v>0</v>
      </c>
      <c r="G660" s="2">
        <f>300*494.8</f>
        <v>148440</v>
      </c>
      <c r="H660" s="2">
        <v>0</v>
      </c>
      <c r="I660" s="2">
        <v>0</v>
      </c>
      <c r="J660" s="2">
        <v>0</v>
      </c>
      <c r="K660" s="21">
        <v>0</v>
      </c>
      <c r="L660" s="2">
        <v>0</v>
      </c>
      <c r="M660" s="2">
        <v>0</v>
      </c>
      <c r="N660" s="2">
        <v>0</v>
      </c>
      <c r="O660" s="2">
        <v>0</v>
      </c>
      <c r="P660" s="2">
        <v>0</v>
      </c>
      <c r="Q660" s="2">
        <v>373.3</v>
      </c>
      <c r="R660" s="2">
        <f t="shared" si="909"/>
        <v>1194560</v>
      </c>
      <c r="S660" s="2">
        <v>0</v>
      </c>
      <c r="T660" s="2">
        <v>100000</v>
      </c>
      <c r="U660" s="6" t="e">
        <f t="shared" si="851"/>
        <v>#DIV/0!</v>
      </c>
      <c r="V660" s="1"/>
      <c r="W660" s="1"/>
      <c r="X660" s="1"/>
      <c r="Y660" s="1"/>
      <c r="Z660" s="1"/>
      <c r="AA660" s="1"/>
      <c r="AB660" s="3"/>
    </row>
    <row r="661" spans="1:28" ht="45" customHeight="1" x14ac:dyDescent="0.25">
      <c r="A661" s="43" t="s">
        <v>611</v>
      </c>
      <c r="B661" s="43"/>
      <c r="C661" s="1">
        <f>SUM(C662:C663)</f>
        <v>9351100</v>
      </c>
      <c r="D661" s="1">
        <f t="shared" ref="D661:T661" si="923">SUM(D662:D663)</f>
        <v>669900</v>
      </c>
      <c r="E661" s="1">
        <f t="shared" si="923"/>
        <v>669900</v>
      </c>
      <c r="F661" s="1">
        <f t="shared" si="923"/>
        <v>0</v>
      </c>
      <c r="G661" s="1">
        <f t="shared" si="923"/>
        <v>0</v>
      </c>
      <c r="H661" s="1">
        <f t="shared" si="923"/>
        <v>0</v>
      </c>
      <c r="I661" s="1">
        <f t="shared" si="923"/>
        <v>0</v>
      </c>
      <c r="J661" s="1">
        <f t="shared" si="923"/>
        <v>0</v>
      </c>
      <c r="K661" s="33">
        <f t="shared" si="923"/>
        <v>0</v>
      </c>
      <c r="L661" s="1">
        <f t="shared" si="923"/>
        <v>0</v>
      </c>
      <c r="M661" s="1">
        <f t="shared" si="923"/>
        <v>838</v>
      </c>
      <c r="N661" s="1">
        <f t="shared" si="923"/>
        <v>5530800</v>
      </c>
      <c r="O661" s="1">
        <f t="shared" si="923"/>
        <v>0</v>
      </c>
      <c r="P661" s="1">
        <f t="shared" si="923"/>
        <v>0</v>
      </c>
      <c r="Q661" s="1">
        <f t="shared" si="923"/>
        <v>922</v>
      </c>
      <c r="R661" s="1">
        <f t="shared" si="923"/>
        <v>2950400</v>
      </c>
      <c r="S661" s="1">
        <f t="shared" si="923"/>
        <v>0</v>
      </c>
      <c r="T661" s="1">
        <f t="shared" si="923"/>
        <v>200000</v>
      </c>
      <c r="U661" s="3" t="e">
        <f>C661+#REF!+#REF!</f>
        <v>#REF!</v>
      </c>
    </row>
    <row r="662" spans="1:28" ht="22.9" customHeight="1" x14ac:dyDescent="0.25">
      <c r="A662" s="39" t="s">
        <v>1688</v>
      </c>
      <c r="B662" s="9" t="s">
        <v>614</v>
      </c>
      <c r="C662" s="7">
        <f t="shared" ref="C662:C663" si="924">D662+L662+N662+P662+R662+S662+T662</f>
        <v>4017000</v>
      </c>
      <c r="D662" s="2">
        <f t="shared" ref="D662:D663" si="925">SUM(E662:J662)</f>
        <v>281400</v>
      </c>
      <c r="E662" s="2">
        <f>700*402</f>
        <v>281400</v>
      </c>
      <c r="F662" s="2">
        <v>0</v>
      </c>
      <c r="G662" s="2">
        <v>0</v>
      </c>
      <c r="H662" s="2">
        <v>0</v>
      </c>
      <c r="I662" s="2">
        <v>0</v>
      </c>
      <c r="J662" s="2">
        <v>0</v>
      </c>
      <c r="K662" s="21">
        <v>0</v>
      </c>
      <c r="L662" s="2">
        <v>0</v>
      </c>
      <c r="M662" s="2">
        <v>354</v>
      </c>
      <c r="N662" s="2">
        <f t="shared" ref="N662:N666" si="926">M662*6600</f>
        <v>2336400</v>
      </c>
      <c r="O662" s="2">
        <v>0</v>
      </c>
      <c r="P662" s="2">
        <v>0</v>
      </c>
      <c r="Q662" s="2">
        <v>406</v>
      </c>
      <c r="R662" s="2">
        <f t="shared" si="909"/>
        <v>1299200</v>
      </c>
      <c r="S662" s="2">
        <v>0</v>
      </c>
      <c r="T662" s="2">
        <v>100000</v>
      </c>
      <c r="U662" s="6">
        <f t="shared" si="851"/>
        <v>6600</v>
      </c>
      <c r="V662" s="1"/>
      <c r="W662" s="1"/>
      <c r="X662" s="1"/>
      <c r="Y662" s="1"/>
      <c r="Z662" s="1"/>
      <c r="AA662" s="1"/>
      <c r="AB662" s="3"/>
    </row>
    <row r="663" spans="1:28" ht="22.9" customHeight="1" x14ac:dyDescent="0.25">
      <c r="A663" s="39" t="s">
        <v>1689</v>
      </c>
      <c r="B663" s="9" t="s">
        <v>615</v>
      </c>
      <c r="C663" s="7">
        <f t="shared" si="924"/>
        <v>5334100</v>
      </c>
      <c r="D663" s="2">
        <f t="shared" si="925"/>
        <v>388500</v>
      </c>
      <c r="E663" s="2">
        <f>700*555</f>
        <v>388500</v>
      </c>
      <c r="F663" s="2">
        <v>0</v>
      </c>
      <c r="G663" s="2">
        <v>0</v>
      </c>
      <c r="H663" s="2">
        <v>0</v>
      </c>
      <c r="I663" s="2">
        <v>0</v>
      </c>
      <c r="J663" s="2">
        <v>0</v>
      </c>
      <c r="K663" s="21">
        <v>0</v>
      </c>
      <c r="L663" s="2">
        <v>0</v>
      </c>
      <c r="M663" s="2">
        <v>484</v>
      </c>
      <c r="N663" s="2">
        <f t="shared" si="926"/>
        <v>3194400</v>
      </c>
      <c r="O663" s="2">
        <v>0</v>
      </c>
      <c r="P663" s="2">
        <v>0</v>
      </c>
      <c r="Q663" s="2">
        <v>516</v>
      </c>
      <c r="R663" s="2">
        <f t="shared" si="909"/>
        <v>1651200</v>
      </c>
      <c r="S663" s="2">
        <v>0</v>
      </c>
      <c r="T663" s="2">
        <v>100000</v>
      </c>
      <c r="U663" s="6">
        <f t="shared" si="851"/>
        <v>6600</v>
      </c>
      <c r="V663" s="1"/>
      <c r="W663" s="1"/>
      <c r="X663" s="1"/>
      <c r="Y663" s="1"/>
      <c r="Z663" s="1"/>
      <c r="AA663" s="1"/>
      <c r="AB663" s="3"/>
    </row>
    <row r="664" spans="1:28" ht="45" customHeight="1" x14ac:dyDescent="0.25">
      <c r="A664" s="43" t="s">
        <v>617</v>
      </c>
      <c r="B664" s="43"/>
      <c r="C664" s="1">
        <f>SUM(C665:C666)</f>
        <v>10904040</v>
      </c>
      <c r="D664" s="1">
        <f t="shared" ref="D664:T664" si="927">SUM(D665:D666)</f>
        <v>629160</v>
      </c>
      <c r="E664" s="1">
        <f t="shared" si="927"/>
        <v>629160</v>
      </c>
      <c r="F664" s="1">
        <f t="shared" si="927"/>
        <v>0</v>
      </c>
      <c r="G664" s="1">
        <f t="shared" si="927"/>
        <v>0</v>
      </c>
      <c r="H664" s="1">
        <f t="shared" si="927"/>
        <v>0</v>
      </c>
      <c r="I664" s="1">
        <f t="shared" si="927"/>
        <v>0</v>
      </c>
      <c r="J664" s="1">
        <f t="shared" si="927"/>
        <v>0</v>
      </c>
      <c r="K664" s="33">
        <f t="shared" si="927"/>
        <v>0</v>
      </c>
      <c r="L664" s="1">
        <f t="shared" si="927"/>
        <v>0</v>
      </c>
      <c r="M664" s="1">
        <f t="shared" si="927"/>
        <v>1132.8</v>
      </c>
      <c r="N664" s="1">
        <f t="shared" si="927"/>
        <v>7476480</v>
      </c>
      <c r="O664" s="1">
        <f t="shared" si="927"/>
        <v>0</v>
      </c>
      <c r="P664" s="1">
        <f t="shared" si="927"/>
        <v>0</v>
      </c>
      <c r="Q664" s="1">
        <f t="shared" si="927"/>
        <v>812</v>
      </c>
      <c r="R664" s="1">
        <f t="shared" si="927"/>
        <v>2598400</v>
      </c>
      <c r="S664" s="1">
        <f t="shared" si="927"/>
        <v>0</v>
      </c>
      <c r="T664" s="1">
        <f t="shared" si="927"/>
        <v>200000</v>
      </c>
      <c r="U664" s="3" t="e">
        <f>C664+#REF!+#REF!</f>
        <v>#REF!</v>
      </c>
    </row>
    <row r="665" spans="1:28" ht="22.9" customHeight="1" x14ac:dyDescent="0.25">
      <c r="A665" s="39" t="s">
        <v>1690</v>
      </c>
      <c r="B665" s="9" t="s">
        <v>620</v>
      </c>
      <c r="C665" s="7">
        <f t="shared" ref="C665:C666" si="928">D665+L665+N665+P665+R665+S665+T665</f>
        <v>5467840</v>
      </c>
      <c r="D665" s="2">
        <f t="shared" ref="D665:D666" si="929">SUM(E665:J665)</f>
        <v>330400</v>
      </c>
      <c r="E665" s="2">
        <f>700*472</f>
        <v>330400</v>
      </c>
      <c r="F665" s="2">
        <v>0</v>
      </c>
      <c r="G665" s="2">
        <v>0</v>
      </c>
      <c r="H665" s="2">
        <v>0</v>
      </c>
      <c r="I665" s="2">
        <v>0</v>
      </c>
      <c r="J665" s="2">
        <v>0</v>
      </c>
      <c r="K665" s="21">
        <v>0</v>
      </c>
      <c r="L665" s="2">
        <v>0</v>
      </c>
      <c r="M665" s="2">
        <v>566.4</v>
      </c>
      <c r="N665" s="2">
        <f t="shared" si="926"/>
        <v>3738240</v>
      </c>
      <c r="O665" s="2">
        <v>0</v>
      </c>
      <c r="P665" s="2">
        <v>0</v>
      </c>
      <c r="Q665" s="2">
        <v>406</v>
      </c>
      <c r="R665" s="2">
        <f t="shared" si="909"/>
        <v>1299200</v>
      </c>
      <c r="S665" s="2">
        <v>0</v>
      </c>
      <c r="T665" s="2">
        <v>100000</v>
      </c>
      <c r="U665" s="6">
        <f t="shared" si="851"/>
        <v>6600</v>
      </c>
      <c r="V665" s="1"/>
      <c r="W665" s="1"/>
      <c r="X665" s="1"/>
      <c r="Y665" s="1"/>
      <c r="Z665" s="1"/>
      <c r="AA665" s="1"/>
      <c r="AB665" s="3"/>
    </row>
    <row r="666" spans="1:28" ht="22.9" customHeight="1" x14ac:dyDescent="0.25">
      <c r="A666" s="39" t="s">
        <v>1691</v>
      </c>
      <c r="B666" s="9" t="s">
        <v>621</v>
      </c>
      <c r="C666" s="7">
        <f t="shared" si="928"/>
        <v>5436200</v>
      </c>
      <c r="D666" s="2">
        <f t="shared" si="929"/>
        <v>298760</v>
      </c>
      <c r="E666" s="2">
        <f>700*426.8</f>
        <v>298760</v>
      </c>
      <c r="F666" s="2">
        <v>0</v>
      </c>
      <c r="G666" s="2">
        <v>0</v>
      </c>
      <c r="H666" s="2">
        <v>0</v>
      </c>
      <c r="I666" s="2">
        <v>0</v>
      </c>
      <c r="J666" s="2">
        <v>0</v>
      </c>
      <c r="K666" s="21">
        <v>0</v>
      </c>
      <c r="L666" s="2">
        <v>0</v>
      </c>
      <c r="M666" s="2">
        <v>566.4</v>
      </c>
      <c r="N666" s="2">
        <f t="shared" si="926"/>
        <v>3738240</v>
      </c>
      <c r="O666" s="2">
        <v>0</v>
      </c>
      <c r="P666" s="2">
        <v>0</v>
      </c>
      <c r="Q666" s="2">
        <v>406</v>
      </c>
      <c r="R666" s="2">
        <f t="shared" si="909"/>
        <v>1299200</v>
      </c>
      <c r="S666" s="2">
        <v>0</v>
      </c>
      <c r="T666" s="2">
        <v>100000</v>
      </c>
      <c r="U666" s="6">
        <f t="shared" si="851"/>
        <v>6600</v>
      </c>
      <c r="V666" s="1"/>
      <c r="W666" s="1"/>
      <c r="X666" s="1"/>
      <c r="Y666" s="1"/>
      <c r="Z666" s="1"/>
      <c r="AA666" s="1"/>
      <c r="AB666" s="3"/>
    </row>
    <row r="667" spans="1:28" ht="45" customHeight="1" x14ac:dyDescent="0.25">
      <c r="A667" s="43" t="s">
        <v>2195</v>
      </c>
      <c r="B667" s="43"/>
      <c r="C667" s="1">
        <f>SUM(C668:C768)</f>
        <v>487483782</v>
      </c>
      <c r="D667" s="1">
        <f t="shared" ref="D667:T667" si="930">SUM(D668:D768)</f>
        <v>32742960</v>
      </c>
      <c r="E667" s="1">
        <f t="shared" si="930"/>
        <v>7638407</v>
      </c>
      <c r="F667" s="1">
        <f t="shared" si="930"/>
        <v>14185613</v>
      </c>
      <c r="G667" s="1">
        <f t="shared" si="930"/>
        <v>3273603</v>
      </c>
      <c r="H667" s="1">
        <f t="shared" si="930"/>
        <v>4368764</v>
      </c>
      <c r="I667" s="1">
        <f t="shared" si="930"/>
        <v>3276573</v>
      </c>
      <c r="J667" s="1">
        <f t="shared" si="930"/>
        <v>0</v>
      </c>
      <c r="K667" s="33">
        <f t="shared" si="930"/>
        <v>0</v>
      </c>
      <c r="L667" s="1">
        <f t="shared" si="930"/>
        <v>0</v>
      </c>
      <c r="M667" s="1">
        <f t="shared" si="930"/>
        <v>69084.22</v>
      </c>
      <c r="N667" s="1">
        <f t="shared" si="930"/>
        <v>431233862</v>
      </c>
      <c r="O667" s="1">
        <f t="shared" si="930"/>
        <v>50</v>
      </c>
      <c r="P667" s="1">
        <f t="shared" si="930"/>
        <v>60000</v>
      </c>
      <c r="Q667" s="1">
        <f t="shared" si="930"/>
        <v>7092.8</v>
      </c>
      <c r="R667" s="1">
        <f t="shared" si="930"/>
        <v>22696960</v>
      </c>
      <c r="S667" s="1">
        <f t="shared" si="930"/>
        <v>150000</v>
      </c>
      <c r="T667" s="1">
        <f t="shared" si="930"/>
        <v>600000</v>
      </c>
      <c r="U667" s="3" t="e">
        <f>C667+#REF!+#REF!</f>
        <v>#REF!</v>
      </c>
    </row>
    <row r="668" spans="1:28" ht="22.9" customHeight="1" x14ac:dyDescent="0.25">
      <c r="A668" s="39" t="s">
        <v>1692</v>
      </c>
      <c r="B668" s="9" t="s">
        <v>738</v>
      </c>
      <c r="C668" s="7">
        <f t="shared" ref="C668" si="931">D668+L668+N668+P668+R668+S668+T668</f>
        <v>5676000</v>
      </c>
      <c r="D668" s="2">
        <f t="shared" ref="D668" si="932">SUM(E668:J668)</f>
        <v>0</v>
      </c>
      <c r="E668" s="2">
        <v>0</v>
      </c>
      <c r="F668" s="2">
        <v>0</v>
      </c>
      <c r="G668" s="2">
        <v>0</v>
      </c>
      <c r="H668" s="2">
        <v>0</v>
      </c>
      <c r="I668" s="2">
        <v>0</v>
      </c>
      <c r="J668" s="2">
        <v>0</v>
      </c>
      <c r="K668" s="21">
        <v>0</v>
      </c>
      <c r="L668" s="2">
        <v>0</v>
      </c>
      <c r="M668" s="2">
        <v>860</v>
      </c>
      <c r="N668" s="2">
        <f t="shared" ref="N668" si="933">M668*6600</f>
        <v>5676000</v>
      </c>
      <c r="O668" s="2">
        <v>0</v>
      </c>
      <c r="P668" s="2">
        <v>0</v>
      </c>
      <c r="Q668" s="2">
        <v>0</v>
      </c>
      <c r="R668" s="2">
        <v>0</v>
      </c>
      <c r="S668" s="2">
        <v>0</v>
      </c>
      <c r="T668" s="2">
        <v>0</v>
      </c>
      <c r="U668" s="6">
        <f t="shared" si="851"/>
        <v>6600</v>
      </c>
      <c r="V668" s="1"/>
      <c r="W668" s="1"/>
      <c r="X668" s="1"/>
      <c r="Y668" s="1"/>
      <c r="Z668" s="1"/>
      <c r="AA668" s="1"/>
      <c r="AB668" s="3"/>
    </row>
    <row r="669" spans="1:28" ht="22.9" customHeight="1" x14ac:dyDescent="0.25">
      <c r="A669" s="39" t="s">
        <v>1693</v>
      </c>
      <c r="B669" s="9" t="s">
        <v>739</v>
      </c>
      <c r="C669" s="7">
        <f t="shared" ref="C669" si="934">D669+L669+N669+P669+R669+S669+T669</f>
        <v>3498000</v>
      </c>
      <c r="D669" s="2">
        <f t="shared" ref="D669" si="935">SUM(E669:J669)</f>
        <v>0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  <c r="J669" s="2">
        <v>0</v>
      </c>
      <c r="K669" s="21">
        <v>0</v>
      </c>
      <c r="L669" s="2">
        <v>0</v>
      </c>
      <c r="M669" s="2">
        <v>530</v>
      </c>
      <c r="N669" s="2">
        <f t="shared" ref="N669" si="936">M669*6600</f>
        <v>3498000</v>
      </c>
      <c r="O669" s="2">
        <v>0</v>
      </c>
      <c r="P669" s="2">
        <v>0</v>
      </c>
      <c r="Q669" s="2">
        <v>0</v>
      </c>
      <c r="R669" s="2">
        <v>0</v>
      </c>
      <c r="S669" s="2">
        <v>0</v>
      </c>
      <c r="T669" s="2">
        <v>0</v>
      </c>
      <c r="U669" s="6">
        <f t="shared" ref="U669:U731" si="937">N669/M669</f>
        <v>6600</v>
      </c>
      <c r="V669" s="1"/>
      <c r="W669" s="1"/>
      <c r="X669" s="1"/>
      <c r="Y669" s="1"/>
      <c r="Z669" s="1"/>
      <c r="AA669" s="1"/>
      <c r="AB669" s="3"/>
    </row>
    <row r="670" spans="1:28" ht="22.9" customHeight="1" x14ac:dyDescent="0.25">
      <c r="A670" s="39" t="s">
        <v>1694</v>
      </c>
      <c r="B670" s="9" t="s">
        <v>740</v>
      </c>
      <c r="C670" s="7">
        <f t="shared" ref="C670" si="938">D670+L670+N670+P670+R670+S670+T670</f>
        <v>3471600</v>
      </c>
      <c r="D670" s="2">
        <f t="shared" ref="D670" si="939">SUM(E670:J670)</f>
        <v>0</v>
      </c>
      <c r="E670" s="2">
        <v>0</v>
      </c>
      <c r="F670" s="2">
        <v>0</v>
      </c>
      <c r="G670" s="2">
        <v>0</v>
      </c>
      <c r="H670" s="2">
        <v>0</v>
      </c>
      <c r="I670" s="2">
        <v>0</v>
      </c>
      <c r="J670" s="2">
        <v>0</v>
      </c>
      <c r="K670" s="21">
        <v>0</v>
      </c>
      <c r="L670" s="2">
        <v>0</v>
      </c>
      <c r="M670" s="2">
        <v>526</v>
      </c>
      <c r="N670" s="2">
        <f t="shared" ref="N670" si="940">M670*6600</f>
        <v>3471600</v>
      </c>
      <c r="O670" s="2">
        <v>0</v>
      </c>
      <c r="P670" s="2">
        <v>0</v>
      </c>
      <c r="Q670" s="2">
        <v>0</v>
      </c>
      <c r="R670" s="2">
        <v>0</v>
      </c>
      <c r="S670" s="2">
        <v>0</v>
      </c>
      <c r="T670" s="2">
        <v>0</v>
      </c>
      <c r="U670" s="6">
        <f t="shared" si="937"/>
        <v>6600</v>
      </c>
      <c r="V670" s="1"/>
      <c r="W670" s="1"/>
      <c r="X670" s="1"/>
      <c r="Y670" s="1"/>
      <c r="Z670" s="1"/>
      <c r="AA670" s="1"/>
      <c r="AB670" s="3"/>
    </row>
    <row r="671" spans="1:28" ht="22.9" customHeight="1" x14ac:dyDescent="0.25">
      <c r="A671" s="39" t="s">
        <v>1695</v>
      </c>
      <c r="B671" s="20" t="s">
        <v>741</v>
      </c>
      <c r="C671" s="7">
        <f t="shared" ref="C671:C672" si="941">D671+L671+N671+P671+R671+S671+T671</f>
        <v>5710980</v>
      </c>
      <c r="D671" s="2">
        <f t="shared" ref="D671:D672" si="942">SUM(E671:J671)</f>
        <v>0</v>
      </c>
      <c r="E671" s="2">
        <v>0</v>
      </c>
      <c r="F671" s="2">
        <v>0</v>
      </c>
      <c r="G671" s="2">
        <v>0</v>
      </c>
      <c r="H671" s="2">
        <v>0</v>
      </c>
      <c r="I671" s="2">
        <v>0</v>
      </c>
      <c r="J671" s="2">
        <v>0</v>
      </c>
      <c r="K671" s="21">
        <v>0</v>
      </c>
      <c r="L671" s="2">
        <v>0</v>
      </c>
      <c r="M671" s="2">
        <v>865.3</v>
      </c>
      <c r="N671" s="2">
        <f t="shared" ref="N671:N672" si="943">M671*6600</f>
        <v>5710980</v>
      </c>
      <c r="O671" s="2">
        <v>0</v>
      </c>
      <c r="P671" s="2">
        <v>0</v>
      </c>
      <c r="Q671" s="2">
        <v>0</v>
      </c>
      <c r="R671" s="2">
        <v>0</v>
      </c>
      <c r="S671" s="2">
        <v>0</v>
      </c>
      <c r="T671" s="2">
        <v>0</v>
      </c>
      <c r="U671" s="6">
        <f t="shared" si="937"/>
        <v>6600</v>
      </c>
      <c r="V671" s="1"/>
      <c r="W671" s="1"/>
      <c r="X671" s="1"/>
      <c r="Y671" s="1"/>
      <c r="Z671" s="1"/>
      <c r="AA671" s="1"/>
      <c r="AB671" s="3"/>
    </row>
    <row r="672" spans="1:28" ht="22.9" customHeight="1" x14ac:dyDescent="0.25">
      <c r="A672" s="39" t="s">
        <v>1696</v>
      </c>
      <c r="B672" s="20" t="s">
        <v>742</v>
      </c>
      <c r="C672" s="7">
        <f t="shared" si="941"/>
        <v>5718240</v>
      </c>
      <c r="D672" s="2">
        <f t="shared" si="942"/>
        <v>0</v>
      </c>
      <c r="E672" s="2">
        <v>0</v>
      </c>
      <c r="F672" s="2">
        <v>0</v>
      </c>
      <c r="G672" s="2">
        <v>0</v>
      </c>
      <c r="H672" s="2">
        <v>0</v>
      </c>
      <c r="I672" s="2">
        <v>0</v>
      </c>
      <c r="J672" s="2">
        <v>0</v>
      </c>
      <c r="K672" s="21">
        <v>0</v>
      </c>
      <c r="L672" s="2">
        <v>0</v>
      </c>
      <c r="M672" s="2">
        <v>866.4</v>
      </c>
      <c r="N672" s="2">
        <f t="shared" si="943"/>
        <v>5718240</v>
      </c>
      <c r="O672" s="2">
        <v>0</v>
      </c>
      <c r="P672" s="2">
        <v>0</v>
      </c>
      <c r="Q672" s="2">
        <v>0</v>
      </c>
      <c r="R672" s="2">
        <v>0</v>
      </c>
      <c r="S672" s="2">
        <v>0</v>
      </c>
      <c r="T672" s="2">
        <v>0</v>
      </c>
      <c r="U672" s="6">
        <f t="shared" si="937"/>
        <v>6600</v>
      </c>
      <c r="V672" s="1"/>
      <c r="W672" s="1"/>
      <c r="X672" s="1"/>
      <c r="Y672" s="1"/>
      <c r="Z672" s="1"/>
      <c r="AA672" s="1"/>
      <c r="AB672" s="3"/>
    </row>
    <row r="673" spans="1:28" ht="22.9" customHeight="1" x14ac:dyDescent="0.25">
      <c r="A673" s="39" t="s">
        <v>1697</v>
      </c>
      <c r="B673" s="20" t="s">
        <v>743</v>
      </c>
      <c r="C673" s="7">
        <f t="shared" ref="C673" si="944">D673+L673+N673+P673+R673+S673+T673</f>
        <v>5874000</v>
      </c>
      <c r="D673" s="2">
        <f t="shared" ref="D673" si="945">SUM(E673:J673)</f>
        <v>0</v>
      </c>
      <c r="E673" s="2">
        <v>0</v>
      </c>
      <c r="F673" s="2">
        <v>0</v>
      </c>
      <c r="G673" s="2">
        <v>0</v>
      </c>
      <c r="H673" s="2">
        <v>0</v>
      </c>
      <c r="I673" s="2">
        <v>0</v>
      </c>
      <c r="J673" s="2">
        <v>0</v>
      </c>
      <c r="K673" s="21">
        <v>0</v>
      </c>
      <c r="L673" s="2">
        <v>0</v>
      </c>
      <c r="M673" s="2">
        <v>890</v>
      </c>
      <c r="N673" s="2">
        <f t="shared" ref="N673" si="946">M673*6600</f>
        <v>5874000</v>
      </c>
      <c r="O673" s="2">
        <v>0</v>
      </c>
      <c r="P673" s="2">
        <v>0</v>
      </c>
      <c r="Q673" s="2">
        <v>0</v>
      </c>
      <c r="R673" s="2">
        <v>0</v>
      </c>
      <c r="S673" s="2">
        <v>0</v>
      </c>
      <c r="T673" s="2">
        <v>0</v>
      </c>
      <c r="U673" s="6">
        <f t="shared" si="937"/>
        <v>6600</v>
      </c>
      <c r="V673" s="1"/>
      <c r="W673" s="1"/>
      <c r="X673" s="1"/>
      <c r="Y673" s="1"/>
      <c r="Z673" s="1"/>
      <c r="AA673" s="1"/>
      <c r="AB673" s="3"/>
    </row>
    <row r="674" spans="1:28" ht="22.9" customHeight="1" x14ac:dyDescent="0.25">
      <c r="A674" s="39" t="s">
        <v>1698</v>
      </c>
      <c r="B674" s="9" t="s">
        <v>744</v>
      </c>
      <c r="C674" s="7">
        <f t="shared" ref="C674" si="947">D674+L674+N674+P674+R674+S674+T674</f>
        <v>3773220.0000000005</v>
      </c>
      <c r="D674" s="2">
        <f t="shared" ref="D674" si="948">SUM(E674:J674)</f>
        <v>0</v>
      </c>
      <c r="E674" s="2">
        <v>0</v>
      </c>
      <c r="F674" s="2">
        <v>0</v>
      </c>
      <c r="G674" s="2">
        <v>0</v>
      </c>
      <c r="H674" s="2">
        <v>0</v>
      </c>
      <c r="I674" s="2">
        <v>0</v>
      </c>
      <c r="J674" s="2">
        <v>0</v>
      </c>
      <c r="K674" s="21">
        <v>0</v>
      </c>
      <c r="L674" s="2">
        <v>0</v>
      </c>
      <c r="M674" s="2">
        <v>571.70000000000005</v>
      </c>
      <c r="N674" s="2">
        <f t="shared" ref="N674" si="949">M674*6600</f>
        <v>3773220.0000000005</v>
      </c>
      <c r="O674" s="2">
        <v>0</v>
      </c>
      <c r="P674" s="2">
        <v>0</v>
      </c>
      <c r="Q674" s="2">
        <v>0</v>
      </c>
      <c r="R674" s="2">
        <v>0</v>
      </c>
      <c r="S674" s="2">
        <v>0</v>
      </c>
      <c r="T674" s="2">
        <v>0</v>
      </c>
      <c r="U674" s="6">
        <f t="shared" si="937"/>
        <v>6600</v>
      </c>
      <c r="V674" s="1"/>
      <c r="W674" s="1"/>
      <c r="X674" s="1"/>
      <c r="Y674" s="1"/>
      <c r="Z674" s="1"/>
      <c r="AA674" s="1"/>
      <c r="AB674" s="3"/>
    </row>
    <row r="675" spans="1:28" ht="22.9" customHeight="1" x14ac:dyDescent="0.25">
      <c r="A675" s="39" t="s">
        <v>1699</v>
      </c>
      <c r="B675" s="9" t="s">
        <v>745</v>
      </c>
      <c r="C675" s="7">
        <f t="shared" ref="C675" si="950">D675+L675+N675+P675+R675+S675+T675</f>
        <v>6431700</v>
      </c>
      <c r="D675" s="2">
        <f t="shared" ref="D675" si="951">SUM(E675:J675)</f>
        <v>0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  <c r="J675" s="2">
        <v>0</v>
      </c>
      <c r="K675" s="21">
        <v>0</v>
      </c>
      <c r="L675" s="2">
        <v>0</v>
      </c>
      <c r="M675" s="2">
        <v>974.5</v>
      </c>
      <c r="N675" s="2">
        <f t="shared" ref="N675" si="952">M675*6600</f>
        <v>6431700</v>
      </c>
      <c r="O675" s="2">
        <v>0</v>
      </c>
      <c r="P675" s="2">
        <v>0</v>
      </c>
      <c r="Q675" s="2">
        <v>0</v>
      </c>
      <c r="R675" s="2">
        <v>0</v>
      </c>
      <c r="S675" s="2">
        <v>0</v>
      </c>
      <c r="T675" s="2">
        <v>0</v>
      </c>
      <c r="U675" s="6">
        <f t="shared" si="937"/>
        <v>6600</v>
      </c>
      <c r="V675" s="1"/>
      <c r="W675" s="1"/>
      <c r="X675" s="1"/>
      <c r="Y675" s="1"/>
      <c r="Z675" s="1"/>
      <c r="AA675" s="1"/>
      <c r="AB675" s="3"/>
    </row>
    <row r="676" spans="1:28" ht="22.9" customHeight="1" x14ac:dyDescent="0.25">
      <c r="A676" s="39" t="s">
        <v>1700</v>
      </c>
      <c r="B676" s="9" t="s">
        <v>746</v>
      </c>
      <c r="C676" s="7">
        <f t="shared" ref="C676" si="953">D676+L676+N676+P676+R676+S676+T676</f>
        <v>3664320.0000000005</v>
      </c>
      <c r="D676" s="2">
        <f t="shared" ref="D676" si="954">SUM(E676:J676)</f>
        <v>0</v>
      </c>
      <c r="E676" s="2">
        <v>0</v>
      </c>
      <c r="F676" s="2">
        <v>0</v>
      </c>
      <c r="G676" s="2">
        <v>0</v>
      </c>
      <c r="H676" s="2">
        <v>0</v>
      </c>
      <c r="I676" s="2">
        <v>0</v>
      </c>
      <c r="J676" s="2">
        <v>0</v>
      </c>
      <c r="K676" s="21">
        <v>0</v>
      </c>
      <c r="L676" s="2">
        <v>0</v>
      </c>
      <c r="M676" s="2">
        <v>555.20000000000005</v>
      </c>
      <c r="N676" s="2">
        <f t="shared" ref="N676" si="955">M676*6600</f>
        <v>3664320.0000000005</v>
      </c>
      <c r="O676" s="2">
        <v>0</v>
      </c>
      <c r="P676" s="2">
        <v>0</v>
      </c>
      <c r="Q676" s="2">
        <v>0</v>
      </c>
      <c r="R676" s="2">
        <v>0</v>
      </c>
      <c r="S676" s="2">
        <v>0</v>
      </c>
      <c r="T676" s="2">
        <v>0</v>
      </c>
      <c r="U676" s="6">
        <f t="shared" si="937"/>
        <v>6600</v>
      </c>
      <c r="V676" s="1"/>
      <c r="W676" s="1"/>
      <c r="X676" s="1"/>
      <c r="Y676" s="1"/>
      <c r="Z676" s="1"/>
      <c r="AA676" s="1"/>
      <c r="AB676" s="3"/>
    </row>
    <row r="677" spans="1:28" ht="22.9" customHeight="1" x14ac:dyDescent="0.25">
      <c r="A677" s="39" t="s">
        <v>1701</v>
      </c>
      <c r="B677" s="9" t="s">
        <v>747</v>
      </c>
      <c r="C677" s="7">
        <f t="shared" ref="C677" si="956">D677+L677+N677+P677+R677+S677+T677</f>
        <v>3669336.0000000005</v>
      </c>
      <c r="D677" s="2">
        <f t="shared" ref="D677" si="957">SUM(E677:J677)</f>
        <v>0</v>
      </c>
      <c r="E677" s="2">
        <v>0</v>
      </c>
      <c r="F677" s="2">
        <v>0</v>
      </c>
      <c r="G677" s="2">
        <v>0</v>
      </c>
      <c r="H677" s="2">
        <v>0</v>
      </c>
      <c r="I677" s="2">
        <v>0</v>
      </c>
      <c r="J677" s="2">
        <v>0</v>
      </c>
      <c r="K677" s="21">
        <v>0</v>
      </c>
      <c r="L677" s="2">
        <v>0</v>
      </c>
      <c r="M677" s="2">
        <v>555.96</v>
      </c>
      <c r="N677" s="2">
        <f t="shared" ref="N677" si="958">M677*6600</f>
        <v>3669336.0000000005</v>
      </c>
      <c r="O677" s="2">
        <v>0</v>
      </c>
      <c r="P677" s="2">
        <v>0</v>
      </c>
      <c r="Q677" s="2">
        <v>0</v>
      </c>
      <c r="R677" s="2">
        <v>0</v>
      </c>
      <c r="S677" s="2">
        <v>0</v>
      </c>
      <c r="T677" s="2">
        <v>0</v>
      </c>
      <c r="U677" s="6">
        <f t="shared" si="937"/>
        <v>6600</v>
      </c>
      <c r="V677" s="1"/>
      <c r="W677" s="1"/>
      <c r="X677" s="1"/>
      <c r="Y677" s="1"/>
      <c r="Z677" s="1"/>
      <c r="AA677" s="1"/>
      <c r="AB677" s="3"/>
    </row>
    <row r="678" spans="1:28" ht="22.9" customHeight="1" x14ac:dyDescent="0.25">
      <c r="A678" s="39" t="s">
        <v>1702</v>
      </c>
      <c r="B678" s="20" t="s">
        <v>748</v>
      </c>
      <c r="C678" s="7">
        <f t="shared" ref="C678" si="959">D678+L678+N678+P678+R678+S678+T678</f>
        <v>3631979.9999999995</v>
      </c>
      <c r="D678" s="2">
        <f t="shared" ref="D678" si="960">SUM(E678:J678)</f>
        <v>0</v>
      </c>
      <c r="E678" s="2">
        <v>0</v>
      </c>
      <c r="F678" s="2">
        <v>0</v>
      </c>
      <c r="G678" s="2">
        <v>0</v>
      </c>
      <c r="H678" s="2">
        <v>0</v>
      </c>
      <c r="I678" s="2">
        <v>0</v>
      </c>
      <c r="J678" s="2">
        <v>0</v>
      </c>
      <c r="K678" s="21">
        <v>0</v>
      </c>
      <c r="L678" s="2">
        <v>0</v>
      </c>
      <c r="M678" s="2">
        <v>550.29999999999995</v>
      </c>
      <c r="N678" s="2">
        <f t="shared" ref="N678" si="961">M678*6600</f>
        <v>3631979.9999999995</v>
      </c>
      <c r="O678" s="2">
        <v>0</v>
      </c>
      <c r="P678" s="2">
        <v>0</v>
      </c>
      <c r="Q678" s="2">
        <v>0</v>
      </c>
      <c r="R678" s="2">
        <v>0</v>
      </c>
      <c r="S678" s="2">
        <v>0</v>
      </c>
      <c r="T678" s="2">
        <v>0</v>
      </c>
      <c r="U678" s="6">
        <f t="shared" si="937"/>
        <v>6600</v>
      </c>
      <c r="V678" s="1"/>
      <c r="W678" s="1"/>
      <c r="X678" s="1"/>
      <c r="Y678" s="1"/>
      <c r="Z678" s="1"/>
      <c r="AA678" s="1"/>
      <c r="AB678" s="3"/>
    </row>
    <row r="679" spans="1:28" ht="22.9" customHeight="1" x14ac:dyDescent="0.25">
      <c r="A679" s="39" t="s">
        <v>1703</v>
      </c>
      <c r="B679" s="20" t="s">
        <v>749</v>
      </c>
      <c r="C679" s="7">
        <f t="shared" ref="C679" si="962">D679+L679+N679+P679+R679+S679+T679</f>
        <v>3689400</v>
      </c>
      <c r="D679" s="2">
        <f t="shared" ref="D679" si="963">SUM(E679:J679)</f>
        <v>0</v>
      </c>
      <c r="E679" s="2">
        <v>0</v>
      </c>
      <c r="F679" s="2">
        <v>0</v>
      </c>
      <c r="G679" s="2">
        <v>0</v>
      </c>
      <c r="H679" s="2">
        <v>0</v>
      </c>
      <c r="I679" s="2">
        <v>0</v>
      </c>
      <c r="J679" s="2">
        <v>0</v>
      </c>
      <c r="K679" s="21">
        <v>0</v>
      </c>
      <c r="L679" s="2">
        <v>0</v>
      </c>
      <c r="M679" s="2">
        <v>559</v>
      </c>
      <c r="N679" s="2">
        <f t="shared" ref="N679:N714" si="964">M679*6600</f>
        <v>3689400</v>
      </c>
      <c r="O679" s="2">
        <v>0</v>
      </c>
      <c r="P679" s="2">
        <v>0</v>
      </c>
      <c r="Q679" s="2">
        <v>0</v>
      </c>
      <c r="R679" s="2">
        <v>0</v>
      </c>
      <c r="S679" s="2">
        <v>0</v>
      </c>
      <c r="T679" s="2">
        <v>0</v>
      </c>
      <c r="U679" s="6">
        <f t="shared" si="937"/>
        <v>6600</v>
      </c>
      <c r="V679" s="1"/>
      <c r="W679" s="1"/>
      <c r="X679" s="1"/>
      <c r="Y679" s="1"/>
      <c r="Z679" s="1"/>
      <c r="AA679" s="1"/>
      <c r="AB679" s="3"/>
    </row>
    <row r="680" spans="1:28" ht="22.9" customHeight="1" x14ac:dyDescent="0.25">
      <c r="A680" s="39" t="s">
        <v>1704</v>
      </c>
      <c r="B680" s="9" t="s">
        <v>750</v>
      </c>
      <c r="C680" s="7">
        <f t="shared" ref="C680:C688" si="965">D680+L680+N680+P680+R680+S680+T680</f>
        <v>3655871.9999999995</v>
      </c>
      <c r="D680" s="2">
        <f t="shared" ref="D680" si="966">SUM(E680:J680)</f>
        <v>0</v>
      </c>
      <c r="E680" s="2">
        <v>0</v>
      </c>
      <c r="F680" s="2">
        <v>0</v>
      </c>
      <c r="G680" s="2">
        <v>0</v>
      </c>
      <c r="H680" s="2">
        <v>0</v>
      </c>
      <c r="I680" s="2">
        <v>0</v>
      </c>
      <c r="J680" s="2">
        <v>0</v>
      </c>
      <c r="K680" s="21">
        <v>0</v>
      </c>
      <c r="L680" s="2">
        <v>0</v>
      </c>
      <c r="M680" s="2">
        <v>553.91999999999996</v>
      </c>
      <c r="N680" s="2">
        <f t="shared" si="964"/>
        <v>3655871.9999999995</v>
      </c>
      <c r="O680" s="2">
        <v>0</v>
      </c>
      <c r="P680" s="2">
        <v>0</v>
      </c>
      <c r="Q680" s="2">
        <v>0</v>
      </c>
      <c r="R680" s="2">
        <v>0</v>
      </c>
      <c r="S680" s="2">
        <v>0</v>
      </c>
      <c r="T680" s="2">
        <v>0</v>
      </c>
      <c r="U680" s="6">
        <f t="shared" si="937"/>
        <v>6600</v>
      </c>
      <c r="V680" s="1"/>
      <c r="W680" s="1"/>
      <c r="X680" s="1"/>
      <c r="Y680" s="1"/>
      <c r="Z680" s="1"/>
      <c r="AA680" s="1"/>
      <c r="AB680" s="3"/>
    </row>
    <row r="681" spans="1:28" ht="22.9" customHeight="1" x14ac:dyDescent="0.25">
      <c r="A681" s="39" t="s">
        <v>1705</v>
      </c>
      <c r="B681" s="9" t="s">
        <v>751</v>
      </c>
      <c r="C681" s="7">
        <f t="shared" si="965"/>
        <v>1617000</v>
      </c>
      <c r="D681" s="2">
        <f t="shared" ref="D681" si="967">SUM(E681:J681)</f>
        <v>0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  <c r="J681" s="2">
        <v>0</v>
      </c>
      <c r="K681" s="21">
        <v>0</v>
      </c>
      <c r="L681" s="2">
        <v>0</v>
      </c>
      <c r="M681" s="2">
        <v>245</v>
      </c>
      <c r="N681" s="2">
        <f t="shared" si="964"/>
        <v>1617000</v>
      </c>
      <c r="O681" s="2">
        <v>0</v>
      </c>
      <c r="P681" s="2">
        <v>0</v>
      </c>
      <c r="Q681" s="2">
        <v>0</v>
      </c>
      <c r="R681" s="2">
        <v>0</v>
      </c>
      <c r="S681" s="2">
        <v>0</v>
      </c>
      <c r="T681" s="2">
        <v>0</v>
      </c>
      <c r="U681" s="6">
        <f t="shared" si="937"/>
        <v>6600</v>
      </c>
      <c r="V681" s="1"/>
      <c r="W681" s="1"/>
      <c r="X681" s="1"/>
      <c r="Y681" s="1"/>
      <c r="Z681" s="1"/>
      <c r="AA681" s="1"/>
      <c r="AB681" s="3"/>
    </row>
    <row r="682" spans="1:28" ht="22.9" customHeight="1" x14ac:dyDescent="0.25">
      <c r="A682" s="39" t="s">
        <v>1706</v>
      </c>
      <c r="B682" s="9" t="s">
        <v>752</v>
      </c>
      <c r="C682" s="7">
        <f t="shared" si="965"/>
        <v>2402400</v>
      </c>
      <c r="D682" s="2">
        <f t="shared" ref="D682" si="968">SUM(E682:J682)</f>
        <v>0</v>
      </c>
      <c r="E682" s="2">
        <v>0</v>
      </c>
      <c r="F682" s="2">
        <v>0</v>
      </c>
      <c r="G682" s="2">
        <v>0</v>
      </c>
      <c r="H682" s="2">
        <v>0</v>
      </c>
      <c r="I682" s="2">
        <v>0</v>
      </c>
      <c r="J682" s="2">
        <v>0</v>
      </c>
      <c r="K682" s="21">
        <v>0</v>
      </c>
      <c r="L682" s="2">
        <v>0</v>
      </c>
      <c r="M682" s="2">
        <v>364</v>
      </c>
      <c r="N682" s="2">
        <f t="shared" si="964"/>
        <v>2402400</v>
      </c>
      <c r="O682" s="2">
        <v>0</v>
      </c>
      <c r="P682" s="2">
        <v>0</v>
      </c>
      <c r="Q682" s="2">
        <v>0</v>
      </c>
      <c r="R682" s="2">
        <v>0</v>
      </c>
      <c r="S682" s="2">
        <v>0</v>
      </c>
      <c r="T682" s="2">
        <v>0</v>
      </c>
      <c r="U682" s="6">
        <f t="shared" si="937"/>
        <v>6600</v>
      </c>
      <c r="V682" s="1"/>
      <c r="W682" s="1"/>
      <c r="X682" s="1"/>
      <c r="Y682" s="1"/>
      <c r="Z682" s="1"/>
      <c r="AA682" s="1"/>
      <c r="AB682" s="3"/>
    </row>
    <row r="683" spans="1:28" ht="22.9" customHeight="1" x14ac:dyDescent="0.25">
      <c r="A683" s="39" t="s">
        <v>1707</v>
      </c>
      <c r="B683" s="9" t="s">
        <v>753</v>
      </c>
      <c r="C683" s="7">
        <f t="shared" si="965"/>
        <v>2381280</v>
      </c>
      <c r="D683" s="2">
        <f t="shared" ref="D683" si="969">SUM(E683:J683)</f>
        <v>0</v>
      </c>
      <c r="E683" s="2">
        <v>0</v>
      </c>
      <c r="F683" s="2">
        <v>0</v>
      </c>
      <c r="G683" s="2">
        <v>0</v>
      </c>
      <c r="H683" s="2">
        <v>0</v>
      </c>
      <c r="I683" s="2">
        <v>0</v>
      </c>
      <c r="J683" s="2">
        <v>0</v>
      </c>
      <c r="K683" s="21">
        <v>0</v>
      </c>
      <c r="L683" s="2">
        <v>0</v>
      </c>
      <c r="M683" s="2">
        <v>360.8</v>
      </c>
      <c r="N683" s="2">
        <f t="shared" si="964"/>
        <v>2381280</v>
      </c>
      <c r="O683" s="2">
        <v>0</v>
      </c>
      <c r="P683" s="2">
        <v>0</v>
      </c>
      <c r="Q683" s="2">
        <v>0</v>
      </c>
      <c r="R683" s="2">
        <v>0</v>
      </c>
      <c r="S683" s="2">
        <v>0</v>
      </c>
      <c r="T683" s="2">
        <v>0</v>
      </c>
      <c r="U683" s="6">
        <f t="shared" si="937"/>
        <v>6600</v>
      </c>
      <c r="V683" s="1"/>
      <c r="W683" s="1"/>
      <c r="X683" s="1"/>
      <c r="Y683" s="1"/>
      <c r="Z683" s="1"/>
      <c r="AA683" s="1"/>
      <c r="AB683" s="3"/>
    </row>
    <row r="684" spans="1:28" ht="22.9" customHeight="1" x14ac:dyDescent="0.25">
      <c r="A684" s="39" t="s">
        <v>1708</v>
      </c>
      <c r="B684" s="9" t="s">
        <v>754</v>
      </c>
      <c r="C684" s="7">
        <f t="shared" si="965"/>
        <v>1828860.0000000002</v>
      </c>
      <c r="D684" s="2">
        <f t="shared" ref="D684" si="970">SUM(E684:J684)</f>
        <v>0</v>
      </c>
      <c r="E684" s="2">
        <v>0</v>
      </c>
      <c r="F684" s="2">
        <v>0</v>
      </c>
      <c r="G684" s="2">
        <v>0</v>
      </c>
      <c r="H684" s="2">
        <v>0</v>
      </c>
      <c r="I684" s="2">
        <v>0</v>
      </c>
      <c r="J684" s="2">
        <v>0</v>
      </c>
      <c r="K684" s="21">
        <v>0</v>
      </c>
      <c r="L684" s="2">
        <v>0</v>
      </c>
      <c r="M684" s="2">
        <v>277.10000000000002</v>
      </c>
      <c r="N684" s="2">
        <f t="shared" si="964"/>
        <v>1828860.0000000002</v>
      </c>
      <c r="O684" s="2">
        <v>0</v>
      </c>
      <c r="P684" s="2">
        <v>0</v>
      </c>
      <c r="Q684" s="2">
        <v>0</v>
      </c>
      <c r="R684" s="2">
        <v>0</v>
      </c>
      <c r="S684" s="2">
        <v>0</v>
      </c>
      <c r="T684" s="2">
        <v>0</v>
      </c>
      <c r="U684" s="6">
        <f t="shared" si="937"/>
        <v>6600</v>
      </c>
      <c r="V684" s="1"/>
      <c r="W684" s="1"/>
      <c r="X684" s="1"/>
      <c r="Y684" s="1"/>
      <c r="Z684" s="1"/>
      <c r="AA684" s="1"/>
      <c r="AB684" s="3"/>
    </row>
    <row r="685" spans="1:28" ht="22.9" customHeight="1" x14ac:dyDescent="0.25">
      <c r="A685" s="39" t="s">
        <v>1709</v>
      </c>
      <c r="B685" s="20" t="s">
        <v>755</v>
      </c>
      <c r="C685" s="7">
        <f t="shared" si="965"/>
        <v>3121140</v>
      </c>
      <c r="D685" s="2">
        <f t="shared" ref="D685" si="971">SUM(E685:J685)</f>
        <v>0</v>
      </c>
      <c r="E685" s="2">
        <v>0</v>
      </c>
      <c r="F685" s="2">
        <v>0</v>
      </c>
      <c r="G685" s="2">
        <v>0</v>
      </c>
      <c r="H685" s="2">
        <v>0</v>
      </c>
      <c r="I685" s="2">
        <v>0</v>
      </c>
      <c r="J685" s="2">
        <v>0</v>
      </c>
      <c r="K685" s="21">
        <v>0</v>
      </c>
      <c r="L685" s="2">
        <v>0</v>
      </c>
      <c r="M685" s="2">
        <v>472.9</v>
      </c>
      <c r="N685" s="2">
        <f t="shared" si="964"/>
        <v>3121140</v>
      </c>
      <c r="O685" s="2">
        <v>0</v>
      </c>
      <c r="P685" s="2">
        <v>0</v>
      </c>
      <c r="Q685" s="2">
        <v>0</v>
      </c>
      <c r="R685" s="2">
        <v>0</v>
      </c>
      <c r="S685" s="2">
        <v>0</v>
      </c>
      <c r="T685" s="2">
        <v>0</v>
      </c>
      <c r="U685" s="6">
        <f t="shared" si="937"/>
        <v>6600</v>
      </c>
      <c r="V685" s="1"/>
      <c r="W685" s="1"/>
      <c r="X685" s="1"/>
      <c r="Y685" s="1"/>
      <c r="Z685" s="1"/>
      <c r="AA685" s="1"/>
      <c r="AB685" s="3"/>
    </row>
    <row r="686" spans="1:28" ht="22.9" customHeight="1" x14ac:dyDescent="0.25">
      <c r="A686" s="39" t="s">
        <v>1710</v>
      </c>
      <c r="B686" s="20" t="s">
        <v>756</v>
      </c>
      <c r="C686" s="7">
        <f t="shared" si="965"/>
        <v>3781140</v>
      </c>
      <c r="D686" s="2">
        <f t="shared" ref="D686" si="972">SUM(E686:J686)</f>
        <v>0</v>
      </c>
      <c r="E686" s="2">
        <v>0</v>
      </c>
      <c r="F686" s="2">
        <v>0</v>
      </c>
      <c r="G686" s="2">
        <v>0</v>
      </c>
      <c r="H686" s="2">
        <v>0</v>
      </c>
      <c r="I686" s="2">
        <v>0</v>
      </c>
      <c r="J686" s="2">
        <v>0</v>
      </c>
      <c r="K686" s="21">
        <v>0</v>
      </c>
      <c r="L686" s="2">
        <v>0</v>
      </c>
      <c r="M686" s="2">
        <v>572.9</v>
      </c>
      <c r="N686" s="2">
        <f t="shared" si="964"/>
        <v>3781140</v>
      </c>
      <c r="O686" s="2">
        <v>0</v>
      </c>
      <c r="P686" s="2">
        <v>0</v>
      </c>
      <c r="Q686" s="2">
        <v>0</v>
      </c>
      <c r="R686" s="2">
        <v>0</v>
      </c>
      <c r="S686" s="2">
        <v>0</v>
      </c>
      <c r="T686" s="2">
        <v>0</v>
      </c>
      <c r="U686" s="6">
        <f t="shared" si="937"/>
        <v>6600</v>
      </c>
      <c r="V686" s="1"/>
      <c r="W686" s="1"/>
      <c r="X686" s="1"/>
      <c r="Y686" s="1"/>
      <c r="Z686" s="1"/>
      <c r="AA686" s="1"/>
      <c r="AB686" s="3"/>
    </row>
    <row r="687" spans="1:28" ht="22.9" customHeight="1" x14ac:dyDescent="0.25">
      <c r="A687" s="39" t="s">
        <v>1711</v>
      </c>
      <c r="B687" s="9" t="s">
        <v>757</v>
      </c>
      <c r="C687" s="7">
        <f t="shared" si="965"/>
        <v>2585880</v>
      </c>
      <c r="D687" s="2">
        <f t="shared" ref="D687" si="973">SUM(E687:J687)</f>
        <v>0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  <c r="J687" s="2">
        <v>0</v>
      </c>
      <c r="K687" s="21">
        <v>0</v>
      </c>
      <c r="L687" s="2">
        <v>0</v>
      </c>
      <c r="M687" s="2">
        <v>391.8</v>
      </c>
      <c r="N687" s="2">
        <f t="shared" si="964"/>
        <v>2585880</v>
      </c>
      <c r="O687" s="2">
        <v>0</v>
      </c>
      <c r="P687" s="2">
        <v>0</v>
      </c>
      <c r="Q687" s="2">
        <v>0</v>
      </c>
      <c r="R687" s="2">
        <v>0</v>
      </c>
      <c r="S687" s="2">
        <v>0</v>
      </c>
      <c r="T687" s="2">
        <v>0</v>
      </c>
      <c r="U687" s="6">
        <f t="shared" si="937"/>
        <v>6600</v>
      </c>
      <c r="V687" s="1"/>
      <c r="W687" s="1"/>
      <c r="X687" s="1"/>
      <c r="Y687" s="1"/>
      <c r="Z687" s="1"/>
      <c r="AA687" s="1"/>
      <c r="AB687" s="3"/>
    </row>
    <row r="688" spans="1:28" ht="22.9" customHeight="1" x14ac:dyDescent="0.25">
      <c r="A688" s="39" t="s">
        <v>1712</v>
      </c>
      <c r="B688" s="9" t="s">
        <v>758</v>
      </c>
      <c r="C688" s="7">
        <f t="shared" si="965"/>
        <v>3282180</v>
      </c>
      <c r="D688" s="2">
        <f t="shared" ref="D688:D689" si="974">SUM(E688:J688)</f>
        <v>0</v>
      </c>
      <c r="E688" s="2">
        <v>0</v>
      </c>
      <c r="F688" s="2">
        <v>0</v>
      </c>
      <c r="G688" s="2">
        <v>0</v>
      </c>
      <c r="H688" s="2">
        <v>0</v>
      </c>
      <c r="I688" s="2">
        <v>0</v>
      </c>
      <c r="J688" s="2">
        <v>0</v>
      </c>
      <c r="K688" s="21">
        <v>0</v>
      </c>
      <c r="L688" s="2">
        <v>0</v>
      </c>
      <c r="M688" s="2">
        <v>497.3</v>
      </c>
      <c r="N688" s="2">
        <f t="shared" si="964"/>
        <v>3282180</v>
      </c>
      <c r="O688" s="2">
        <v>0</v>
      </c>
      <c r="P688" s="2">
        <v>0</v>
      </c>
      <c r="Q688" s="2">
        <v>0</v>
      </c>
      <c r="R688" s="2">
        <v>0</v>
      </c>
      <c r="S688" s="2">
        <v>0</v>
      </c>
      <c r="T688" s="2">
        <v>0</v>
      </c>
      <c r="U688" s="6">
        <f t="shared" si="937"/>
        <v>6600</v>
      </c>
      <c r="V688" s="1"/>
      <c r="W688" s="1"/>
      <c r="X688" s="1"/>
      <c r="Y688" s="1"/>
      <c r="Z688" s="1"/>
      <c r="AA688" s="1"/>
      <c r="AB688" s="3"/>
    </row>
    <row r="689" spans="1:28" ht="22.9" customHeight="1" x14ac:dyDescent="0.25">
      <c r="A689" s="39" t="s">
        <v>1713</v>
      </c>
      <c r="B689" s="9" t="s">
        <v>759</v>
      </c>
      <c r="C689" s="7">
        <f t="shared" ref="C689" si="975">D689+L689+N689+P689+R689+S689+T689</f>
        <v>22464210</v>
      </c>
      <c r="D689" s="2">
        <f t="shared" si="974"/>
        <v>10623210</v>
      </c>
      <c r="E689" s="2">
        <f>700*3541.07</f>
        <v>2478749</v>
      </c>
      <c r="F689" s="2">
        <f>1300*3541.07</f>
        <v>4603391</v>
      </c>
      <c r="G689" s="2">
        <f>300*3541.07</f>
        <v>1062321</v>
      </c>
      <c r="H689" s="2">
        <f>400*3541.07</f>
        <v>1416428</v>
      </c>
      <c r="I689" s="2">
        <f>300*3541.07</f>
        <v>1062321</v>
      </c>
      <c r="J689" s="2">
        <v>0</v>
      </c>
      <c r="K689" s="21">
        <v>0</v>
      </c>
      <c r="L689" s="2">
        <v>0</v>
      </c>
      <c r="M689" s="2">
        <v>785</v>
      </c>
      <c r="N689" s="2">
        <f t="shared" si="964"/>
        <v>5181000</v>
      </c>
      <c r="O689" s="2">
        <v>0</v>
      </c>
      <c r="P689" s="2">
        <v>0</v>
      </c>
      <c r="Q689" s="2">
        <v>2050</v>
      </c>
      <c r="R689" s="2">
        <f>Q689*3200</f>
        <v>6560000</v>
      </c>
      <c r="S689" s="8">
        <v>0</v>
      </c>
      <c r="T689" s="2">
        <v>100000</v>
      </c>
      <c r="U689" s="6">
        <f t="shared" si="937"/>
        <v>6600</v>
      </c>
      <c r="V689" s="1"/>
      <c r="W689" s="1"/>
      <c r="X689" s="1"/>
      <c r="Y689" s="1"/>
      <c r="Z689" s="1"/>
      <c r="AA689" s="1"/>
      <c r="AB689" s="3"/>
    </row>
    <row r="690" spans="1:28" ht="22.9" customHeight="1" x14ac:dyDescent="0.25">
      <c r="A690" s="39" t="s">
        <v>1714</v>
      </c>
      <c r="B690" s="9" t="s">
        <v>760</v>
      </c>
      <c r="C690" s="7">
        <f>D690+L690+N690+P690+R690+S690+T690</f>
        <v>5641680</v>
      </c>
      <c r="D690" s="2">
        <f t="shared" ref="D690" si="976">SUM(E690:J690)</f>
        <v>0</v>
      </c>
      <c r="E690" s="2">
        <v>0</v>
      </c>
      <c r="F690" s="2">
        <v>0</v>
      </c>
      <c r="G690" s="2">
        <v>0</v>
      </c>
      <c r="H690" s="2">
        <v>0</v>
      </c>
      <c r="I690" s="2">
        <v>0</v>
      </c>
      <c r="J690" s="2">
        <v>0</v>
      </c>
      <c r="K690" s="21">
        <v>0</v>
      </c>
      <c r="L690" s="2">
        <v>0</v>
      </c>
      <c r="M690" s="2">
        <v>854.8</v>
      </c>
      <c r="N690" s="2">
        <f t="shared" si="964"/>
        <v>5641680</v>
      </c>
      <c r="O690" s="2">
        <v>0</v>
      </c>
      <c r="P690" s="2">
        <v>0</v>
      </c>
      <c r="Q690" s="2">
        <v>0</v>
      </c>
      <c r="R690" s="2">
        <v>0</v>
      </c>
      <c r="S690" s="2">
        <v>0</v>
      </c>
      <c r="T690" s="2">
        <v>0</v>
      </c>
      <c r="U690" s="6">
        <f t="shared" si="937"/>
        <v>6600</v>
      </c>
      <c r="V690" s="1"/>
      <c r="W690" s="1"/>
      <c r="X690" s="1"/>
      <c r="Y690" s="1"/>
      <c r="Z690" s="1"/>
      <c r="AA690" s="1"/>
      <c r="AB690" s="3"/>
    </row>
    <row r="691" spans="1:28" ht="22.9" customHeight="1" x14ac:dyDescent="0.25">
      <c r="A691" s="39" t="s">
        <v>1715</v>
      </c>
      <c r="B691" s="9" t="s">
        <v>761</v>
      </c>
      <c r="C691" s="7">
        <f>D691+L691+N691+P691+R691+S691+T691</f>
        <v>5677320</v>
      </c>
      <c r="D691" s="2">
        <f t="shared" ref="D691" si="977">SUM(E691:J691)</f>
        <v>0</v>
      </c>
      <c r="E691" s="2">
        <v>0</v>
      </c>
      <c r="F691" s="2">
        <v>0</v>
      </c>
      <c r="G691" s="2">
        <v>0</v>
      </c>
      <c r="H691" s="2">
        <v>0</v>
      </c>
      <c r="I691" s="2">
        <v>0</v>
      </c>
      <c r="J691" s="2">
        <v>0</v>
      </c>
      <c r="K691" s="21">
        <v>0</v>
      </c>
      <c r="L691" s="2">
        <v>0</v>
      </c>
      <c r="M691" s="2">
        <v>860.2</v>
      </c>
      <c r="N691" s="2">
        <f t="shared" si="964"/>
        <v>5677320</v>
      </c>
      <c r="O691" s="2">
        <v>0</v>
      </c>
      <c r="P691" s="2">
        <v>0</v>
      </c>
      <c r="Q691" s="2">
        <v>0</v>
      </c>
      <c r="R691" s="2">
        <v>0</v>
      </c>
      <c r="S691" s="2">
        <v>0</v>
      </c>
      <c r="T691" s="2">
        <v>0</v>
      </c>
      <c r="U691" s="6">
        <f t="shared" si="937"/>
        <v>6600</v>
      </c>
      <c r="V691" s="1"/>
      <c r="W691" s="1"/>
      <c r="X691" s="1"/>
      <c r="Y691" s="1"/>
      <c r="Z691" s="1"/>
      <c r="AA691" s="1"/>
      <c r="AB691" s="3"/>
    </row>
    <row r="692" spans="1:28" ht="22.9" customHeight="1" x14ac:dyDescent="0.25">
      <c r="A692" s="39" t="s">
        <v>1716</v>
      </c>
      <c r="B692" s="9" t="s">
        <v>762</v>
      </c>
      <c r="C692" s="7">
        <f>D692+L692+N692+P692+R692+S692+T692</f>
        <v>5677320</v>
      </c>
      <c r="D692" s="2">
        <f t="shared" ref="D692:D693" si="978">SUM(E692:J692)</f>
        <v>0</v>
      </c>
      <c r="E692" s="2">
        <v>0</v>
      </c>
      <c r="F692" s="2">
        <v>0</v>
      </c>
      <c r="G692" s="2">
        <v>0</v>
      </c>
      <c r="H692" s="2">
        <v>0</v>
      </c>
      <c r="I692" s="2">
        <v>0</v>
      </c>
      <c r="J692" s="2">
        <v>0</v>
      </c>
      <c r="K692" s="21">
        <v>0</v>
      </c>
      <c r="L692" s="2">
        <v>0</v>
      </c>
      <c r="M692" s="2">
        <v>860.2</v>
      </c>
      <c r="N692" s="2">
        <f t="shared" si="964"/>
        <v>5677320</v>
      </c>
      <c r="O692" s="2">
        <v>0</v>
      </c>
      <c r="P692" s="2">
        <v>0</v>
      </c>
      <c r="Q692" s="2">
        <v>0</v>
      </c>
      <c r="R692" s="2">
        <v>0</v>
      </c>
      <c r="S692" s="2">
        <v>0</v>
      </c>
      <c r="T692" s="2">
        <v>0</v>
      </c>
      <c r="U692" s="6">
        <f t="shared" si="937"/>
        <v>6600</v>
      </c>
      <c r="V692" s="1"/>
      <c r="W692" s="1"/>
      <c r="X692" s="1"/>
      <c r="Y692" s="1"/>
      <c r="Z692" s="1"/>
      <c r="AA692" s="1"/>
      <c r="AB692" s="3"/>
    </row>
    <row r="693" spans="1:28" ht="22.9" customHeight="1" x14ac:dyDescent="0.25">
      <c r="A693" s="39" t="s">
        <v>1717</v>
      </c>
      <c r="B693" s="9" t="s">
        <v>763</v>
      </c>
      <c r="C693" s="7">
        <f t="shared" ref="C693" si="979">D693+L693+N693+P693+R693+S693+T693</f>
        <v>19457490</v>
      </c>
      <c r="D693" s="2">
        <f t="shared" si="978"/>
        <v>7616490</v>
      </c>
      <c r="E693" s="2">
        <f>700*2538.83</f>
        <v>1777181</v>
      </c>
      <c r="F693" s="2">
        <f>1300*2538.83</f>
        <v>3300479</v>
      </c>
      <c r="G693" s="2">
        <f>300*2538.83</f>
        <v>761649</v>
      </c>
      <c r="H693" s="2">
        <f>400*2538.83</f>
        <v>1015532</v>
      </c>
      <c r="I693" s="2">
        <f>300*2538.83</f>
        <v>761649</v>
      </c>
      <c r="J693" s="2">
        <v>0</v>
      </c>
      <c r="K693" s="21">
        <v>0</v>
      </c>
      <c r="L693" s="2">
        <v>0</v>
      </c>
      <c r="M693" s="2">
        <v>785</v>
      </c>
      <c r="N693" s="2">
        <f t="shared" si="964"/>
        <v>5181000</v>
      </c>
      <c r="O693" s="2">
        <v>0</v>
      </c>
      <c r="P693" s="2">
        <v>0</v>
      </c>
      <c r="Q693" s="2">
        <v>2050</v>
      </c>
      <c r="R693" s="2">
        <f>Q693*3200</f>
        <v>6560000</v>
      </c>
      <c r="S693" s="8">
        <v>0</v>
      </c>
      <c r="T693" s="2">
        <v>100000</v>
      </c>
      <c r="U693" s="6">
        <f t="shared" si="937"/>
        <v>6600</v>
      </c>
      <c r="V693" s="1"/>
      <c r="W693" s="1"/>
      <c r="X693" s="1"/>
      <c r="Y693" s="1"/>
      <c r="Z693" s="1"/>
      <c r="AA693" s="1"/>
      <c r="AB693" s="3"/>
    </row>
    <row r="694" spans="1:28" ht="22.9" customHeight="1" x14ac:dyDescent="0.25">
      <c r="A694" s="39" t="s">
        <v>1718</v>
      </c>
      <c r="B694" s="20" t="s">
        <v>764</v>
      </c>
      <c r="C694" s="7">
        <f t="shared" ref="C694:C714" si="980">D694+L694+N694+P694+R694+S694+T694</f>
        <v>3798300</v>
      </c>
      <c r="D694" s="2">
        <f t="shared" ref="D694" si="981">SUM(E694:J694)</f>
        <v>0</v>
      </c>
      <c r="E694" s="2">
        <v>0</v>
      </c>
      <c r="F694" s="2">
        <v>0</v>
      </c>
      <c r="G694" s="2">
        <v>0</v>
      </c>
      <c r="H694" s="2">
        <v>0</v>
      </c>
      <c r="I694" s="2">
        <v>0</v>
      </c>
      <c r="J694" s="2">
        <v>0</v>
      </c>
      <c r="K694" s="21">
        <v>0</v>
      </c>
      <c r="L694" s="2">
        <v>0</v>
      </c>
      <c r="M694" s="2">
        <v>575.5</v>
      </c>
      <c r="N694" s="2">
        <f t="shared" si="964"/>
        <v>3798300</v>
      </c>
      <c r="O694" s="2">
        <v>0</v>
      </c>
      <c r="P694" s="2">
        <v>0</v>
      </c>
      <c r="Q694" s="2">
        <v>0</v>
      </c>
      <c r="R694" s="2">
        <v>0</v>
      </c>
      <c r="S694" s="2">
        <v>0</v>
      </c>
      <c r="T694" s="2">
        <v>0</v>
      </c>
      <c r="U694" s="6">
        <f t="shared" si="937"/>
        <v>6600</v>
      </c>
      <c r="V694" s="1"/>
      <c r="W694" s="1"/>
      <c r="X694" s="1"/>
      <c r="Y694" s="1"/>
      <c r="Z694" s="1"/>
      <c r="AA694" s="1"/>
      <c r="AB694" s="3"/>
    </row>
    <row r="695" spans="1:28" ht="22.9" customHeight="1" x14ac:dyDescent="0.25">
      <c r="A695" s="39" t="s">
        <v>1719</v>
      </c>
      <c r="B695" s="9" t="s">
        <v>765</v>
      </c>
      <c r="C695" s="7">
        <f t="shared" si="980"/>
        <v>4290000</v>
      </c>
      <c r="D695" s="2">
        <f t="shared" ref="D695" si="982">SUM(E695:J695)</f>
        <v>0</v>
      </c>
      <c r="E695" s="2">
        <v>0</v>
      </c>
      <c r="F695" s="2">
        <v>0</v>
      </c>
      <c r="G695" s="2">
        <v>0</v>
      </c>
      <c r="H695" s="2">
        <v>0</v>
      </c>
      <c r="I695" s="2">
        <v>0</v>
      </c>
      <c r="J695" s="2">
        <v>0</v>
      </c>
      <c r="K695" s="21">
        <v>0</v>
      </c>
      <c r="L695" s="2">
        <v>0</v>
      </c>
      <c r="M695" s="2">
        <v>650</v>
      </c>
      <c r="N695" s="2">
        <f t="shared" si="964"/>
        <v>4290000</v>
      </c>
      <c r="O695" s="2">
        <v>0</v>
      </c>
      <c r="P695" s="2">
        <v>0</v>
      </c>
      <c r="Q695" s="2">
        <v>0</v>
      </c>
      <c r="R695" s="2">
        <v>0</v>
      </c>
      <c r="S695" s="2">
        <v>0</v>
      </c>
      <c r="T695" s="2">
        <v>0</v>
      </c>
      <c r="U695" s="6">
        <f t="shared" si="937"/>
        <v>6600</v>
      </c>
      <c r="V695" s="1"/>
      <c r="W695" s="1"/>
      <c r="X695" s="1"/>
      <c r="Y695" s="1"/>
      <c r="Z695" s="1"/>
      <c r="AA695" s="1"/>
      <c r="AB695" s="3"/>
    </row>
    <row r="696" spans="1:28" ht="22.9" customHeight="1" x14ac:dyDescent="0.25">
      <c r="A696" s="39" t="s">
        <v>1720</v>
      </c>
      <c r="B696" s="20" t="s">
        <v>766</v>
      </c>
      <c r="C696" s="7">
        <f t="shared" si="980"/>
        <v>6369000</v>
      </c>
      <c r="D696" s="2">
        <f t="shared" ref="D696" si="983">SUM(E696:J696)</f>
        <v>0</v>
      </c>
      <c r="E696" s="2">
        <v>0</v>
      </c>
      <c r="F696" s="2">
        <v>0</v>
      </c>
      <c r="G696" s="2">
        <v>0</v>
      </c>
      <c r="H696" s="2">
        <v>0</v>
      </c>
      <c r="I696" s="2">
        <v>0</v>
      </c>
      <c r="J696" s="2">
        <v>0</v>
      </c>
      <c r="K696" s="21">
        <v>0</v>
      </c>
      <c r="L696" s="2">
        <v>0</v>
      </c>
      <c r="M696" s="2">
        <v>965</v>
      </c>
      <c r="N696" s="2">
        <f t="shared" si="964"/>
        <v>6369000</v>
      </c>
      <c r="O696" s="2">
        <v>0</v>
      </c>
      <c r="P696" s="2">
        <v>0</v>
      </c>
      <c r="Q696" s="2">
        <v>0</v>
      </c>
      <c r="R696" s="2">
        <v>0</v>
      </c>
      <c r="S696" s="2">
        <v>0</v>
      </c>
      <c r="T696" s="2">
        <v>0</v>
      </c>
      <c r="U696" s="6">
        <f t="shared" si="937"/>
        <v>6600</v>
      </c>
      <c r="V696" s="1"/>
      <c r="W696" s="1"/>
      <c r="X696" s="1"/>
      <c r="Y696" s="1"/>
      <c r="Z696" s="1"/>
      <c r="AA696" s="1"/>
      <c r="AB696" s="3"/>
    </row>
    <row r="697" spans="1:28" ht="22.9" customHeight="1" x14ac:dyDescent="0.25">
      <c r="A697" s="39" t="s">
        <v>1721</v>
      </c>
      <c r="B697" s="20" t="s">
        <v>767</v>
      </c>
      <c r="C697" s="7">
        <f t="shared" si="980"/>
        <v>6698610</v>
      </c>
      <c r="D697" s="2">
        <f t="shared" ref="D697:D698" si="984">SUM(E697:J697)</f>
        <v>1641750</v>
      </c>
      <c r="E697" s="2">
        <f>700*547.25</f>
        <v>383075</v>
      </c>
      <c r="F697" s="2">
        <f>1300*547.25</f>
        <v>711425</v>
      </c>
      <c r="G697" s="2">
        <f>300*547.25</f>
        <v>164175</v>
      </c>
      <c r="H697" s="2">
        <f>400*547.25</f>
        <v>218900</v>
      </c>
      <c r="I697" s="2">
        <f>300*547.25</f>
        <v>164175</v>
      </c>
      <c r="J697" s="2">
        <v>0</v>
      </c>
      <c r="K697" s="21">
        <v>0</v>
      </c>
      <c r="L697" s="2">
        <v>0</v>
      </c>
      <c r="M697" s="8">
        <v>493.1</v>
      </c>
      <c r="N697" s="2">
        <f t="shared" si="964"/>
        <v>3254460</v>
      </c>
      <c r="O697" s="2">
        <v>0</v>
      </c>
      <c r="P697" s="2">
        <v>0</v>
      </c>
      <c r="Q697" s="2">
        <v>532</v>
      </c>
      <c r="R697" s="2">
        <f>Q697*3200</f>
        <v>1702400</v>
      </c>
      <c r="S697" s="8">
        <v>0</v>
      </c>
      <c r="T697" s="2">
        <v>100000</v>
      </c>
      <c r="U697" s="6">
        <f t="shared" si="937"/>
        <v>6600</v>
      </c>
      <c r="V697" s="1"/>
      <c r="W697" s="1"/>
      <c r="X697" s="1"/>
      <c r="Y697" s="1"/>
      <c r="Z697" s="1"/>
      <c r="AA697" s="1"/>
      <c r="AB697" s="3"/>
    </row>
    <row r="698" spans="1:28" ht="22.9" customHeight="1" x14ac:dyDescent="0.25">
      <c r="A698" s="39" t="s">
        <v>1722</v>
      </c>
      <c r="B698" s="20" t="s">
        <v>768</v>
      </c>
      <c r="C698" s="7">
        <f t="shared" si="980"/>
        <v>3260400</v>
      </c>
      <c r="D698" s="2">
        <f t="shared" si="984"/>
        <v>0</v>
      </c>
      <c r="E698" s="2">
        <v>0</v>
      </c>
      <c r="F698" s="2">
        <v>0</v>
      </c>
      <c r="G698" s="2">
        <v>0</v>
      </c>
      <c r="H698" s="2">
        <v>0</v>
      </c>
      <c r="I698" s="2">
        <v>0</v>
      </c>
      <c r="J698" s="2">
        <v>0</v>
      </c>
      <c r="K698" s="21">
        <v>0</v>
      </c>
      <c r="L698" s="2">
        <v>0</v>
      </c>
      <c r="M698" s="2">
        <v>494</v>
      </c>
      <c r="N698" s="2">
        <f t="shared" si="964"/>
        <v>3260400</v>
      </c>
      <c r="O698" s="2">
        <v>0</v>
      </c>
      <c r="P698" s="2">
        <v>0</v>
      </c>
      <c r="Q698" s="2">
        <v>0</v>
      </c>
      <c r="R698" s="2">
        <v>0</v>
      </c>
      <c r="S698" s="2">
        <v>0</v>
      </c>
      <c r="T698" s="2">
        <v>0</v>
      </c>
      <c r="U698" s="6">
        <f t="shared" si="937"/>
        <v>6600</v>
      </c>
      <c r="V698" s="1"/>
      <c r="W698" s="1"/>
      <c r="X698" s="1"/>
      <c r="Y698" s="1"/>
      <c r="Z698" s="1"/>
      <c r="AA698" s="1"/>
      <c r="AB698" s="3"/>
    </row>
    <row r="699" spans="1:28" ht="22.9" customHeight="1" x14ac:dyDescent="0.25">
      <c r="A699" s="39" t="s">
        <v>1723</v>
      </c>
      <c r="B699" s="20" t="s">
        <v>769</v>
      </c>
      <c r="C699" s="7">
        <f t="shared" si="980"/>
        <v>4271520</v>
      </c>
      <c r="D699" s="2">
        <f t="shared" ref="D699:D700" si="985">SUM(E699:J699)</f>
        <v>0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  <c r="J699" s="2">
        <v>0</v>
      </c>
      <c r="K699" s="21">
        <v>0</v>
      </c>
      <c r="L699" s="2">
        <v>0</v>
      </c>
      <c r="M699" s="2">
        <v>647.20000000000005</v>
      </c>
      <c r="N699" s="2">
        <f t="shared" si="964"/>
        <v>4271520</v>
      </c>
      <c r="O699" s="2">
        <v>0</v>
      </c>
      <c r="P699" s="2">
        <v>0</v>
      </c>
      <c r="Q699" s="2">
        <v>0</v>
      </c>
      <c r="R699" s="2">
        <v>0</v>
      </c>
      <c r="S699" s="2">
        <v>0</v>
      </c>
      <c r="T699" s="2">
        <v>0</v>
      </c>
      <c r="U699" s="6">
        <f t="shared" si="937"/>
        <v>6599.9999999999991</v>
      </c>
      <c r="V699" s="1"/>
      <c r="W699" s="1"/>
      <c r="X699" s="1"/>
      <c r="Y699" s="1"/>
      <c r="Z699" s="1"/>
      <c r="AA699" s="1"/>
      <c r="AB699" s="3"/>
    </row>
    <row r="700" spans="1:28" ht="22.9" customHeight="1" x14ac:dyDescent="0.25">
      <c r="A700" s="39" t="s">
        <v>1724</v>
      </c>
      <c r="B700" s="9" t="s">
        <v>770</v>
      </c>
      <c r="C700" s="7">
        <f t="shared" si="980"/>
        <v>10128540</v>
      </c>
      <c r="D700" s="2">
        <f t="shared" si="985"/>
        <v>4788540</v>
      </c>
      <c r="E700" s="2">
        <f>700*1596.18</f>
        <v>1117326</v>
      </c>
      <c r="F700" s="2">
        <f>1300*1596.18</f>
        <v>2075034</v>
      </c>
      <c r="G700" s="2">
        <f>300*1596.18</f>
        <v>478854</v>
      </c>
      <c r="H700" s="2">
        <f>400*1596.18</f>
        <v>638472</v>
      </c>
      <c r="I700" s="2">
        <f>300*1596.18</f>
        <v>478854</v>
      </c>
      <c r="J700" s="2">
        <v>0</v>
      </c>
      <c r="K700" s="21">
        <v>0</v>
      </c>
      <c r="L700" s="2">
        <v>0</v>
      </c>
      <c r="M700" s="8">
        <v>440</v>
      </c>
      <c r="N700" s="2">
        <f t="shared" si="964"/>
        <v>2904000</v>
      </c>
      <c r="O700" s="2">
        <v>0</v>
      </c>
      <c r="P700" s="2">
        <v>0</v>
      </c>
      <c r="Q700" s="2">
        <v>730</v>
      </c>
      <c r="R700" s="2">
        <f>Q700*3200</f>
        <v>2336000</v>
      </c>
      <c r="S700" s="8">
        <v>0</v>
      </c>
      <c r="T700" s="2">
        <v>100000</v>
      </c>
      <c r="U700" s="6">
        <f t="shared" si="937"/>
        <v>6600</v>
      </c>
      <c r="V700" s="1"/>
      <c r="W700" s="1"/>
      <c r="X700" s="1"/>
      <c r="Y700" s="1"/>
      <c r="Z700" s="1"/>
      <c r="AA700" s="1"/>
      <c r="AB700" s="3"/>
    </row>
    <row r="701" spans="1:28" ht="22.9" customHeight="1" x14ac:dyDescent="0.25">
      <c r="A701" s="39" t="s">
        <v>1725</v>
      </c>
      <c r="B701" s="9" t="s">
        <v>771</v>
      </c>
      <c r="C701" s="7">
        <f t="shared" si="980"/>
        <v>3736920.0000000005</v>
      </c>
      <c r="D701" s="2">
        <f t="shared" ref="D701" si="986">SUM(E701:J701)</f>
        <v>0</v>
      </c>
      <c r="E701" s="2">
        <v>0</v>
      </c>
      <c r="F701" s="2">
        <v>0</v>
      </c>
      <c r="G701" s="2">
        <v>0</v>
      </c>
      <c r="H701" s="2">
        <v>0</v>
      </c>
      <c r="I701" s="2">
        <v>0</v>
      </c>
      <c r="J701" s="2">
        <v>0</v>
      </c>
      <c r="K701" s="21">
        <v>0</v>
      </c>
      <c r="L701" s="2">
        <v>0</v>
      </c>
      <c r="M701" s="2">
        <v>566.20000000000005</v>
      </c>
      <c r="N701" s="2">
        <f t="shared" si="964"/>
        <v>3736920.0000000005</v>
      </c>
      <c r="O701" s="2">
        <v>0</v>
      </c>
      <c r="P701" s="2">
        <v>0</v>
      </c>
      <c r="Q701" s="2">
        <v>0</v>
      </c>
      <c r="R701" s="2">
        <v>0</v>
      </c>
      <c r="S701" s="2">
        <v>0</v>
      </c>
      <c r="T701" s="2">
        <v>0</v>
      </c>
      <c r="U701" s="6">
        <f t="shared" si="937"/>
        <v>6600</v>
      </c>
      <c r="V701" s="1"/>
      <c r="W701" s="1"/>
      <c r="X701" s="1"/>
      <c r="Y701" s="1"/>
      <c r="Z701" s="1"/>
      <c r="AA701" s="1"/>
      <c r="AB701" s="3"/>
    </row>
    <row r="702" spans="1:28" ht="22.9" customHeight="1" x14ac:dyDescent="0.25">
      <c r="A702" s="39" t="s">
        <v>1726</v>
      </c>
      <c r="B702" s="9" t="s">
        <v>772</v>
      </c>
      <c r="C702" s="7">
        <f t="shared" si="980"/>
        <v>5596800</v>
      </c>
      <c r="D702" s="2">
        <f t="shared" ref="D702" si="987">SUM(E702:J702)</f>
        <v>0</v>
      </c>
      <c r="E702" s="2">
        <v>0</v>
      </c>
      <c r="F702" s="2">
        <v>0</v>
      </c>
      <c r="G702" s="2">
        <v>0</v>
      </c>
      <c r="H702" s="2">
        <v>0</v>
      </c>
      <c r="I702" s="2">
        <v>0</v>
      </c>
      <c r="J702" s="2">
        <v>0</v>
      </c>
      <c r="K702" s="21">
        <v>0</v>
      </c>
      <c r="L702" s="2">
        <v>0</v>
      </c>
      <c r="M702" s="2">
        <v>848</v>
      </c>
      <c r="N702" s="2">
        <f t="shared" si="964"/>
        <v>5596800</v>
      </c>
      <c r="O702" s="2">
        <v>0</v>
      </c>
      <c r="P702" s="2">
        <v>0</v>
      </c>
      <c r="Q702" s="2">
        <v>0</v>
      </c>
      <c r="R702" s="2">
        <v>0</v>
      </c>
      <c r="S702" s="2">
        <v>0</v>
      </c>
      <c r="T702" s="2">
        <v>0</v>
      </c>
      <c r="U702" s="6">
        <f t="shared" si="937"/>
        <v>6600</v>
      </c>
      <c r="V702" s="1"/>
      <c r="W702" s="1"/>
      <c r="X702" s="1"/>
      <c r="Y702" s="1"/>
      <c r="Z702" s="1"/>
      <c r="AA702" s="1"/>
      <c r="AB702" s="3"/>
    </row>
    <row r="703" spans="1:28" ht="22.9" customHeight="1" x14ac:dyDescent="0.25">
      <c r="A703" s="39" t="s">
        <v>1727</v>
      </c>
      <c r="B703" s="9" t="s">
        <v>773</v>
      </c>
      <c r="C703" s="7">
        <f t="shared" si="980"/>
        <v>7180800</v>
      </c>
      <c r="D703" s="2">
        <f t="shared" ref="D703:D704" si="988">SUM(E703:J703)</f>
        <v>0</v>
      </c>
      <c r="E703" s="2">
        <v>0</v>
      </c>
      <c r="F703" s="2">
        <v>0</v>
      </c>
      <c r="G703" s="2">
        <v>0</v>
      </c>
      <c r="H703" s="2">
        <v>0</v>
      </c>
      <c r="I703" s="2">
        <v>0</v>
      </c>
      <c r="J703" s="2">
        <v>0</v>
      </c>
      <c r="K703" s="21">
        <v>0</v>
      </c>
      <c r="L703" s="2">
        <v>0</v>
      </c>
      <c r="M703" s="2">
        <v>1088</v>
      </c>
      <c r="N703" s="2">
        <f t="shared" si="964"/>
        <v>7180800</v>
      </c>
      <c r="O703" s="2">
        <v>0</v>
      </c>
      <c r="P703" s="2">
        <v>0</v>
      </c>
      <c r="Q703" s="2">
        <v>0</v>
      </c>
      <c r="R703" s="2">
        <v>0</v>
      </c>
      <c r="S703" s="2">
        <v>0</v>
      </c>
      <c r="T703" s="2">
        <v>0</v>
      </c>
      <c r="U703" s="6">
        <f t="shared" si="937"/>
        <v>6600</v>
      </c>
      <c r="V703" s="1"/>
      <c r="W703" s="1"/>
      <c r="X703" s="1"/>
      <c r="Y703" s="1"/>
      <c r="Z703" s="1"/>
      <c r="AA703" s="1"/>
      <c r="AB703" s="3"/>
    </row>
    <row r="704" spans="1:28" ht="22.9" customHeight="1" x14ac:dyDescent="0.25">
      <c r="A704" s="39" t="s">
        <v>1728</v>
      </c>
      <c r="B704" s="9" t="s">
        <v>774</v>
      </c>
      <c r="C704" s="7">
        <f t="shared" si="980"/>
        <v>2490100</v>
      </c>
      <c r="D704" s="2">
        <f t="shared" si="988"/>
        <v>483900.00000000006</v>
      </c>
      <c r="E704" s="2">
        <f>700*161.3</f>
        <v>112910.00000000001</v>
      </c>
      <c r="F704" s="2">
        <f>1300*161.3</f>
        <v>209690.00000000003</v>
      </c>
      <c r="G704" s="2">
        <f>300*161.3</f>
        <v>48390</v>
      </c>
      <c r="H704" s="2">
        <f>400*161.3</f>
        <v>64520.000000000007</v>
      </c>
      <c r="I704" s="2">
        <f>300*161.3</f>
        <v>48390</v>
      </c>
      <c r="J704" s="2">
        <v>0</v>
      </c>
      <c r="K704" s="21">
        <v>0</v>
      </c>
      <c r="L704" s="2">
        <v>0</v>
      </c>
      <c r="M704" s="8">
        <v>257</v>
      </c>
      <c r="N704" s="2">
        <f t="shared" si="964"/>
        <v>1696200</v>
      </c>
      <c r="O704" s="2">
        <v>50</v>
      </c>
      <c r="P704" s="2">
        <f>O704*1200</f>
        <v>60000</v>
      </c>
      <c r="Q704" s="2">
        <v>0</v>
      </c>
      <c r="R704" s="2">
        <v>0</v>
      </c>
      <c r="S704" s="8">
        <v>150000</v>
      </c>
      <c r="T704" s="2">
        <v>100000</v>
      </c>
      <c r="U704" s="6">
        <f t="shared" si="937"/>
        <v>6600</v>
      </c>
      <c r="V704" s="1"/>
      <c r="W704" s="1"/>
      <c r="X704" s="1"/>
      <c r="Y704" s="1"/>
      <c r="Z704" s="1"/>
      <c r="AA704" s="1"/>
      <c r="AB704" s="3"/>
    </row>
    <row r="705" spans="1:28" ht="22.9" customHeight="1" x14ac:dyDescent="0.25">
      <c r="A705" s="39" t="s">
        <v>1729</v>
      </c>
      <c r="B705" s="9" t="s">
        <v>775</v>
      </c>
      <c r="C705" s="7">
        <f t="shared" si="980"/>
        <v>1848000</v>
      </c>
      <c r="D705" s="2">
        <f t="shared" ref="D705" si="989">SUM(E705:J705)</f>
        <v>0</v>
      </c>
      <c r="E705" s="2">
        <v>0</v>
      </c>
      <c r="F705" s="2">
        <v>0</v>
      </c>
      <c r="G705" s="2">
        <v>0</v>
      </c>
      <c r="H705" s="2">
        <v>0</v>
      </c>
      <c r="I705" s="2">
        <v>0</v>
      </c>
      <c r="J705" s="2">
        <v>0</v>
      </c>
      <c r="K705" s="21">
        <v>0</v>
      </c>
      <c r="L705" s="2">
        <v>0</v>
      </c>
      <c r="M705" s="2">
        <v>280</v>
      </c>
      <c r="N705" s="2">
        <f t="shared" si="964"/>
        <v>1848000</v>
      </c>
      <c r="O705" s="2">
        <v>0</v>
      </c>
      <c r="P705" s="2">
        <v>0</v>
      </c>
      <c r="Q705" s="2">
        <v>0</v>
      </c>
      <c r="R705" s="2">
        <v>0</v>
      </c>
      <c r="S705" s="2">
        <v>0</v>
      </c>
      <c r="T705" s="2">
        <v>0</v>
      </c>
      <c r="U705" s="6">
        <f t="shared" si="937"/>
        <v>6600</v>
      </c>
      <c r="V705" s="1"/>
      <c r="W705" s="1"/>
      <c r="X705" s="1"/>
      <c r="Y705" s="1"/>
      <c r="Z705" s="1"/>
      <c r="AA705" s="1"/>
      <c r="AB705" s="3"/>
    </row>
    <row r="706" spans="1:28" ht="22.9" customHeight="1" x14ac:dyDescent="0.25">
      <c r="A706" s="39" t="s">
        <v>1730</v>
      </c>
      <c r="B706" s="9" t="s">
        <v>776</v>
      </c>
      <c r="C706" s="7">
        <f t="shared" si="980"/>
        <v>6200040</v>
      </c>
      <c r="D706" s="2">
        <f t="shared" ref="D706" si="990">SUM(E706:J706)</f>
        <v>0</v>
      </c>
      <c r="E706" s="2">
        <v>0</v>
      </c>
      <c r="F706" s="2">
        <v>0</v>
      </c>
      <c r="G706" s="2">
        <v>0</v>
      </c>
      <c r="H706" s="2">
        <v>0</v>
      </c>
      <c r="I706" s="2">
        <v>0</v>
      </c>
      <c r="J706" s="2">
        <v>0</v>
      </c>
      <c r="K706" s="21">
        <v>0</v>
      </c>
      <c r="L706" s="2">
        <v>0</v>
      </c>
      <c r="M706" s="2">
        <v>939.4</v>
      </c>
      <c r="N706" s="2">
        <f t="shared" si="964"/>
        <v>6200040</v>
      </c>
      <c r="O706" s="2">
        <v>0</v>
      </c>
      <c r="P706" s="2">
        <v>0</v>
      </c>
      <c r="Q706" s="2">
        <v>0</v>
      </c>
      <c r="R706" s="2">
        <v>0</v>
      </c>
      <c r="S706" s="2">
        <v>0</v>
      </c>
      <c r="T706" s="2">
        <v>0</v>
      </c>
      <c r="U706" s="6">
        <f t="shared" si="937"/>
        <v>6600</v>
      </c>
      <c r="V706" s="1"/>
      <c r="W706" s="1"/>
      <c r="X706" s="1"/>
      <c r="Y706" s="1"/>
      <c r="Z706" s="1"/>
      <c r="AA706" s="1"/>
      <c r="AB706" s="3"/>
    </row>
    <row r="707" spans="1:28" ht="22.9" customHeight="1" x14ac:dyDescent="0.25">
      <c r="A707" s="39" t="s">
        <v>1731</v>
      </c>
      <c r="B707" s="9" t="s">
        <v>777</v>
      </c>
      <c r="C707" s="7">
        <f t="shared" si="980"/>
        <v>4859580</v>
      </c>
      <c r="D707" s="2">
        <f t="shared" ref="D707" si="991">SUM(E707:J707)</f>
        <v>0</v>
      </c>
      <c r="E707" s="2">
        <v>0</v>
      </c>
      <c r="F707" s="2">
        <v>0</v>
      </c>
      <c r="G707" s="2">
        <v>0</v>
      </c>
      <c r="H707" s="2">
        <v>0</v>
      </c>
      <c r="I707" s="2">
        <v>0</v>
      </c>
      <c r="J707" s="2">
        <v>0</v>
      </c>
      <c r="K707" s="21">
        <v>0</v>
      </c>
      <c r="L707" s="2">
        <v>0</v>
      </c>
      <c r="M707" s="2">
        <v>736.3</v>
      </c>
      <c r="N707" s="2">
        <f t="shared" si="964"/>
        <v>4859580</v>
      </c>
      <c r="O707" s="2">
        <v>0</v>
      </c>
      <c r="P707" s="2">
        <v>0</v>
      </c>
      <c r="Q707" s="2">
        <v>0</v>
      </c>
      <c r="R707" s="2">
        <v>0</v>
      </c>
      <c r="S707" s="2">
        <v>0</v>
      </c>
      <c r="T707" s="2">
        <v>0</v>
      </c>
      <c r="U707" s="6">
        <f t="shared" si="937"/>
        <v>6600</v>
      </c>
      <c r="V707" s="1"/>
      <c r="W707" s="1"/>
      <c r="X707" s="1"/>
      <c r="Y707" s="1"/>
      <c r="Z707" s="1"/>
      <c r="AA707" s="1"/>
      <c r="AB707" s="3"/>
    </row>
    <row r="708" spans="1:28" ht="22.9" customHeight="1" x14ac:dyDescent="0.25">
      <c r="A708" s="39" t="s">
        <v>1732</v>
      </c>
      <c r="B708" s="9" t="s">
        <v>778</v>
      </c>
      <c r="C708" s="7">
        <f t="shared" si="980"/>
        <v>8184000</v>
      </c>
      <c r="D708" s="2">
        <f t="shared" ref="D708" si="992">SUM(E708:J708)</f>
        <v>0</v>
      </c>
      <c r="E708" s="2">
        <v>0</v>
      </c>
      <c r="F708" s="2">
        <v>0</v>
      </c>
      <c r="G708" s="2">
        <v>0</v>
      </c>
      <c r="H708" s="2">
        <v>0</v>
      </c>
      <c r="I708" s="2">
        <v>0</v>
      </c>
      <c r="J708" s="2">
        <v>0</v>
      </c>
      <c r="K708" s="21">
        <v>0</v>
      </c>
      <c r="L708" s="2">
        <v>0</v>
      </c>
      <c r="M708" s="2">
        <v>1240</v>
      </c>
      <c r="N708" s="2">
        <f t="shared" si="964"/>
        <v>8184000</v>
      </c>
      <c r="O708" s="2">
        <v>0</v>
      </c>
      <c r="P708" s="2">
        <v>0</v>
      </c>
      <c r="Q708" s="2">
        <v>0</v>
      </c>
      <c r="R708" s="2">
        <v>0</v>
      </c>
      <c r="S708" s="2">
        <v>0</v>
      </c>
      <c r="T708" s="2">
        <v>0</v>
      </c>
      <c r="U708" s="6">
        <f t="shared" si="937"/>
        <v>6600</v>
      </c>
      <c r="V708" s="1"/>
      <c r="W708" s="1"/>
      <c r="X708" s="1"/>
      <c r="Y708" s="1"/>
      <c r="Z708" s="1"/>
      <c r="AA708" s="1"/>
      <c r="AB708" s="3"/>
    </row>
    <row r="709" spans="1:28" ht="22.9" customHeight="1" x14ac:dyDescent="0.25">
      <c r="A709" s="39" t="s">
        <v>1733</v>
      </c>
      <c r="B709" s="9" t="s">
        <v>779</v>
      </c>
      <c r="C709" s="7">
        <f t="shared" si="980"/>
        <v>6819120</v>
      </c>
      <c r="D709" s="2">
        <f t="shared" ref="D709" si="993">SUM(E709:J709)</f>
        <v>0</v>
      </c>
      <c r="E709" s="2">
        <v>0</v>
      </c>
      <c r="F709" s="2">
        <v>0</v>
      </c>
      <c r="G709" s="2">
        <v>0</v>
      </c>
      <c r="H709" s="2">
        <v>0</v>
      </c>
      <c r="I709" s="2">
        <v>0</v>
      </c>
      <c r="J709" s="2">
        <v>0</v>
      </c>
      <c r="K709" s="21">
        <v>0</v>
      </c>
      <c r="L709" s="2">
        <v>0</v>
      </c>
      <c r="M709" s="2">
        <v>1033.2</v>
      </c>
      <c r="N709" s="2">
        <f t="shared" si="964"/>
        <v>6819120</v>
      </c>
      <c r="O709" s="2">
        <v>0</v>
      </c>
      <c r="P709" s="2">
        <v>0</v>
      </c>
      <c r="Q709" s="2">
        <v>0</v>
      </c>
      <c r="R709" s="2">
        <v>0</v>
      </c>
      <c r="S709" s="2">
        <v>0</v>
      </c>
      <c r="T709" s="2">
        <v>0</v>
      </c>
      <c r="U709" s="6">
        <f t="shared" si="937"/>
        <v>6600</v>
      </c>
      <c r="V709" s="1"/>
      <c r="W709" s="1"/>
      <c r="X709" s="1"/>
      <c r="Y709" s="1"/>
      <c r="Z709" s="1"/>
      <c r="AA709" s="1"/>
      <c r="AB709" s="3"/>
    </row>
    <row r="710" spans="1:28" ht="22.9" customHeight="1" x14ac:dyDescent="0.25">
      <c r="A710" s="39" t="s">
        <v>1734</v>
      </c>
      <c r="B710" s="9" t="s">
        <v>780</v>
      </c>
      <c r="C710" s="7">
        <f t="shared" si="980"/>
        <v>8197200</v>
      </c>
      <c r="D710" s="2">
        <f t="shared" ref="D710" si="994">SUM(E710:J710)</f>
        <v>0</v>
      </c>
      <c r="E710" s="2">
        <v>0</v>
      </c>
      <c r="F710" s="2">
        <v>0</v>
      </c>
      <c r="G710" s="2">
        <v>0</v>
      </c>
      <c r="H710" s="2">
        <v>0</v>
      </c>
      <c r="I710" s="2">
        <v>0</v>
      </c>
      <c r="J710" s="2">
        <v>0</v>
      </c>
      <c r="K710" s="21">
        <v>0</v>
      </c>
      <c r="L710" s="2">
        <v>0</v>
      </c>
      <c r="M710" s="2">
        <v>1242</v>
      </c>
      <c r="N710" s="2">
        <f t="shared" si="964"/>
        <v>8197200</v>
      </c>
      <c r="O710" s="2">
        <v>0</v>
      </c>
      <c r="P710" s="2">
        <v>0</v>
      </c>
      <c r="Q710" s="2">
        <v>0</v>
      </c>
      <c r="R710" s="2">
        <v>0</v>
      </c>
      <c r="S710" s="2">
        <v>0</v>
      </c>
      <c r="T710" s="2">
        <v>0</v>
      </c>
      <c r="U710" s="6">
        <f t="shared" si="937"/>
        <v>6600</v>
      </c>
      <c r="V710" s="1"/>
      <c r="W710" s="1"/>
      <c r="X710" s="1"/>
      <c r="Y710" s="1"/>
      <c r="Z710" s="1"/>
      <c r="AA710" s="1"/>
      <c r="AB710" s="3"/>
    </row>
    <row r="711" spans="1:28" ht="22.9" customHeight="1" x14ac:dyDescent="0.25">
      <c r="A711" s="39" t="s">
        <v>1735</v>
      </c>
      <c r="B711" s="9" t="s">
        <v>781</v>
      </c>
      <c r="C711" s="7">
        <f t="shared" si="980"/>
        <v>8118000</v>
      </c>
      <c r="D711" s="2">
        <f t="shared" ref="D711" si="995">SUM(E711:J711)</f>
        <v>0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  <c r="J711" s="2">
        <v>0</v>
      </c>
      <c r="K711" s="21">
        <v>0</v>
      </c>
      <c r="L711" s="2">
        <v>0</v>
      </c>
      <c r="M711" s="2">
        <v>1230</v>
      </c>
      <c r="N711" s="2">
        <f t="shared" si="964"/>
        <v>8118000</v>
      </c>
      <c r="O711" s="2">
        <v>0</v>
      </c>
      <c r="P711" s="2">
        <v>0</v>
      </c>
      <c r="Q711" s="2">
        <v>0</v>
      </c>
      <c r="R711" s="2">
        <v>0</v>
      </c>
      <c r="S711" s="2">
        <v>0</v>
      </c>
      <c r="T711" s="2">
        <v>0</v>
      </c>
      <c r="U711" s="6">
        <f t="shared" si="937"/>
        <v>6600</v>
      </c>
      <c r="V711" s="1"/>
      <c r="W711" s="1"/>
      <c r="X711" s="1"/>
      <c r="Y711" s="1"/>
      <c r="Z711" s="1"/>
      <c r="AA711" s="1"/>
      <c r="AB711" s="3"/>
    </row>
    <row r="712" spans="1:28" ht="22.9" customHeight="1" x14ac:dyDescent="0.25">
      <c r="A712" s="39" t="s">
        <v>1736</v>
      </c>
      <c r="B712" s="9" t="s">
        <v>782</v>
      </c>
      <c r="C712" s="7">
        <f t="shared" si="980"/>
        <v>4171860</v>
      </c>
      <c r="D712" s="2">
        <f t="shared" ref="D712" si="996">SUM(E712:J712)</f>
        <v>0</v>
      </c>
      <c r="E712" s="2">
        <v>0</v>
      </c>
      <c r="F712" s="2">
        <v>0</v>
      </c>
      <c r="G712" s="2">
        <v>0</v>
      </c>
      <c r="H712" s="2">
        <v>0</v>
      </c>
      <c r="I712" s="2">
        <v>0</v>
      </c>
      <c r="J712" s="2">
        <v>0</v>
      </c>
      <c r="K712" s="21">
        <v>0</v>
      </c>
      <c r="L712" s="2">
        <v>0</v>
      </c>
      <c r="M712" s="2">
        <v>632.1</v>
      </c>
      <c r="N712" s="2">
        <f t="shared" si="964"/>
        <v>4171860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2">
        <v>0</v>
      </c>
      <c r="U712" s="6">
        <f t="shared" si="937"/>
        <v>6600</v>
      </c>
      <c r="V712" s="1"/>
      <c r="W712" s="1"/>
      <c r="X712" s="1"/>
      <c r="Y712" s="1"/>
      <c r="Z712" s="1"/>
      <c r="AA712" s="1"/>
      <c r="AB712" s="3"/>
    </row>
    <row r="713" spans="1:28" ht="22.9" customHeight="1" x14ac:dyDescent="0.25">
      <c r="A713" s="39" t="s">
        <v>1737</v>
      </c>
      <c r="B713" s="9" t="s">
        <v>784</v>
      </c>
      <c r="C713" s="7">
        <f t="shared" si="980"/>
        <v>4497900</v>
      </c>
      <c r="D713" s="2">
        <f t="shared" ref="D713" si="997">SUM(E713:J713)</f>
        <v>0</v>
      </c>
      <c r="E713" s="2">
        <v>0</v>
      </c>
      <c r="F713" s="2">
        <v>0</v>
      </c>
      <c r="G713" s="2">
        <v>0</v>
      </c>
      <c r="H713" s="2">
        <v>0</v>
      </c>
      <c r="I713" s="2">
        <v>0</v>
      </c>
      <c r="J713" s="2">
        <v>0</v>
      </c>
      <c r="K713" s="21">
        <v>0</v>
      </c>
      <c r="L713" s="2">
        <v>0</v>
      </c>
      <c r="M713" s="2">
        <v>681.5</v>
      </c>
      <c r="N713" s="2">
        <f t="shared" si="964"/>
        <v>4497900</v>
      </c>
      <c r="O713" s="2">
        <v>0</v>
      </c>
      <c r="P713" s="2">
        <v>0</v>
      </c>
      <c r="Q713" s="2">
        <v>0</v>
      </c>
      <c r="R713" s="2">
        <v>0</v>
      </c>
      <c r="S713" s="2">
        <v>0</v>
      </c>
      <c r="T713" s="2">
        <v>0</v>
      </c>
      <c r="U713" s="6">
        <f t="shared" si="937"/>
        <v>6600</v>
      </c>
      <c r="V713" s="1"/>
      <c r="W713" s="1"/>
      <c r="X713" s="1"/>
      <c r="Y713" s="1"/>
      <c r="Z713" s="1"/>
      <c r="AA713" s="1"/>
      <c r="AB713" s="3"/>
    </row>
    <row r="714" spans="1:28" ht="22.9" customHeight="1" x14ac:dyDescent="0.25">
      <c r="A714" s="39" t="s">
        <v>1738</v>
      </c>
      <c r="B714" s="9" t="s">
        <v>785</v>
      </c>
      <c r="C714" s="7">
        <f t="shared" si="980"/>
        <v>6230400</v>
      </c>
      <c r="D714" s="2">
        <f t="shared" ref="D714" si="998">SUM(E714:J714)</f>
        <v>0</v>
      </c>
      <c r="E714" s="2">
        <v>0</v>
      </c>
      <c r="F714" s="2">
        <v>0</v>
      </c>
      <c r="G714" s="2">
        <v>0</v>
      </c>
      <c r="H714" s="2">
        <v>0</v>
      </c>
      <c r="I714" s="2">
        <v>0</v>
      </c>
      <c r="J714" s="2">
        <v>0</v>
      </c>
      <c r="K714" s="21">
        <v>0</v>
      </c>
      <c r="L714" s="2">
        <v>0</v>
      </c>
      <c r="M714" s="2">
        <v>944</v>
      </c>
      <c r="N714" s="2">
        <f t="shared" si="964"/>
        <v>6230400</v>
      </c>
      <c r="O714" s="2">
        <v>0</v>
      </c>
      <c r="P714" s="2">
        <v>0</v>
      </c>
      <c r="Q714" s="2">
        <v>0</v>
      </c>
      <c r="R714" s="2">
        <v>0</v>
      </c>
      <c r="S714" s="2">
        <v>0</v>
      </c>
      <c r="T714" s="2">
        <v>0</v>
      </c>
      <c r="U714" s="6">
        <f t="shared" si="937"/>
        <v>6600</v>
      </c>
      <c r="V714" s="1"/>
      <c r="W714" s="1"/>
      <c r="X714" s="1"/>
      <c r="Y714" s="1"/>
      <c r="Z714" s="1"/>
      <c r="AA714" s="1"/>
      <c r="AB714" s="3"/>
    </row>
    <row r="715" spans="1:28" ht="22.9" customHeight="1" x14ac:dyDescent="0.25">
      <c r="A715" s="39" t="s">
        <v>1402</v>
      </c>
      <c r="B715" s="9" t="s">
        <v>786</v>
      </c>
      <c r="C715" s="7">
        <f t="shared" ref="C715:C716" si="999">D715+L715+N715+P715+R715+S715+T715</f>
        <v>4200800</v>
      </c>
      <c r="D715" s="2">
        <f t="shared" ref="D715:D716" si="1000">SUM(E715:J715)</f>
        <v>0</v>
      </c>
      <c r="E715" s="2">
        <v>0</v>
      </c>
      <c r="F715" s="2">
        <v>0</v>
      </c>
      <c r="G715" s="2">
        <v>0</v>
      </c>
      <c r="H715" s="2">
        <v>0</v>
      </c>
      <c r="I715" s="2">
        <v>0</v>
      </c>
      <c r="J715" s="2">
        <v>0</v>
      </c>
      <c r="K715" s="21">
        <v>0</v>
      </c>
      <c r="L715" s="2">
        <v>0</v>
      </c>
      <c r="M715" s="2">
        <v>944</v>
      </c>
      <c r="N715" s="2">
        <f t="shared" ref="N715:N720" si="1001">M715*4450</f>
        <v>4200800</v>
      </c>
      <c r="O715" s="2">
        <v>0</v>
      </c>
      <c r="P715" s="2">
        <v>0</v>
      </c>
      <c r="Q715" s="2">
        <v>0</v>
      </c>
      <c r="R715" s="2">
        <v>0</v>
      </c>
      <c r="S715" s="2">
        <v>0</v>
      </c>
      <c r="T715" s="2">
        <v>0</v>
      </c>
      <c r="U715" s="6">
        <f t="shared" si="937"/>
        <v>4450</v>
      </c>
      <c r="V715" s="1"/>
      <c r="W715" s="1"/>
      <c r="X715" s="1"/>
      <c r="Y715" s="1"/>
      <c r="Z715" s="1"/>
      <c r="AA715" s="1"/>
      <c r="AB715" s="3"/>
    </row>
    <row r="716" spans="1:28" ht="22.9" customHeight="1" x14ac:dyDescent="0.25">
      <c r="A716" s="39" t="s">
        <v>1739</v>
      </c>
      <c r="B716" s="9" t="s">
        <v>787</v>
      </c>
      <c r="C716" s="7">
        <f t="shared" si="999"/>
        <v>3417600</v>
      </c>
      <c r="D716" s="2">
        <f t="shared" si="1000"/>
        <v>0</v>
      </c>
      <c r="E716" s="2">
        <v>0</v>
      </c>
      <c r="F716" s="2">
        <v>0</v>
      </c>
      <c r="G716" s="2">
        <v>0</v>
      </c>
      <c r="H716" s="2">
        <v>0</v>
      </c>
      <c r="I716" s="2">
        <v>0</v>
      </c>
      <c r="J716" s="2">
        <v>0</v>
      </c>
      <c r="K716" s="21">
        <v>0</v>
      </c>
      <c r="L716" s="2">
        <v>0</v>
      </c>
      <c r="M716" s="2">
        <v>768</v>
      </c>
      <c r="N716" s="2">
        <f t="shared" si="1001"/>
        <v>3417600</v>
      </c>
      <c r="O716" s="2">
        <v>0</v>
      </c>
      <c r="P716" s="2">
        <v>0</v>
      </c>
      <c r="Q716" s="2">
        <v>0</v>
      </c>
      <c r="R716" s="2">
        <v>0</v>
      </c>
      <c r="S716" s="2">
        <v>0</v>
      </c>
      <c r="T716" s="2">
        <v>0</v>
      </c>
      <c r="U716" s="6">
        <f t="shared" si="937"/>
        <v>4450</v>
      </c>
      <c r="V716" s="1"/>
      <c r="W716" s="1"/>
      <c r="X716" s="1"/>
      <c r="Y716" s="1"/>
      <c r="Z716" s="1"/>
      <c r="AA716" s="1"/>
      <c r="AB716" s="3"/>
    </row>
    <row r="717" spans="1:28" ht="22.9" customHeight="1" x14ac:dyDescent="0.25">
      <c r="A717" s="39" t="s">
        <v>1740</v>
      </c>
      <c r="B717" s="9" t="s">
        <v>788</v>
      </c>
      <c r="C717" s="7">
        <f t="shared" ref="C717" si="1002">D717+L717+N717+P717+R717+S717+T717</f>
        <v>4218600</v>
      </c>
      <c r="D717" s="2">
        <f t="shared" ref="D717" si="1003">SUM(E717:J717)</f>
        <v>0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  <c r="J717" s="2">
        <v>0</v>
      </c>
      <c r="K717" s="21">
        <v>0</v>
      </c>
      <c r="L717" s="2">
        <v>0</v>
      </c>
      <c r="M717" s="2">
        <v>948</v>
      </c>
      <c r="N717" s="2">
        <f t="shared" si="1001"/>
        <v>4218600</v>
      </c>
      <c r="O717" s="2">
        <v>0</v>
      </c>
      <c r="P717" s="2">
        <v>0</v>
      </c>
      <c r="Q717" s="2">
        <v>0</v>
      </c>
      <c r="R717" s="2">
        <v>0</v>
      </c>
      <c r="S717" s="2">
        <v>0</v>
      </c>
      <c r="T717" s="2">
        <v>0</v>
      </c>
      <c r="U717" s="6">
        <f t="shared" si="937"/>
        <v>4450</v>
      </c>
      <c r="V717" s="1"/>
      <c r="W717" s="1"/>
      <c r="X717" s="1"/>
      <c r="Y717" s="1"/>
      <c r="Z717" s="1"/>
      <c r="AA717" s="1"/>
      <c r="AB717" s="3"/>
    </row>
    <row r="718" spans="1:28" ht="22.9" customHeight="1" x14ac:dyDescent="0.25">
      <c r="A718" s="39" t="s">
        <v>1741</v>
      </c>
      <c r="B718" s="9" t="s">
        <v>789</v>
      </c>
      <c r="C718" s="7">
        <f t="shared" ref="C718" si="1004">D718+L718+N718+P718+R718+S718+T718</f>
        <v>3422050</v>
      </c>
      <c r="D718" s="2">
        <f t="shared" ref="D718" si="1005">SUM(E718:J718)</f>
        <v>0</v>
      </c>
      <c r="E718" s="2">
        <v>0</v>
      </c>
      <c r="F718" s="2">
        <v>0</v>
      </c>
      <c r="G718" s="2">
        <v>0</v>
      </c>
      <c r="H718" s="2">
        <v>0</v>
      </c>
      <c r="I718" s="2">
        <v>0</v>
      </c>
      <c r="J718" s="2">
        <v>0</v>
      </c>
      <c r="K718" s="21">
        <v>0</v>
      </c>
      <c r="L718" s="2">
        <v>0</v>
      </c>
      <c r="M718" s="2">
        <v>769</v>
      </c>
      <c r="N718" s="2">
        <f t="shared" si="1001"/>
        <v>3422050</v>
      </c>
      <c r="O718" s="2">
        <v>0</v>
      </c>
      <c r="P718" s="2">
        <v>0</v>
      </c>
      <c r="Q718" s="2">
        <v>0</v>
      </c>
      <c r="R718" s="2">
        <v>0</v>
      </c>
      <c r="S718" s="2">
        <v>0</v>
      </c>
      <c r="T718" s="2">
        <v>0</v>
      </c>
      <c r="U718" s="6">
        <f t="shared" si="937"/>
        <v>4450</v>
      </c>
      <c r="V718" s="1"/>
      <c r="W718" s="1"/>
      <c r="X718" s="1"/>
      <c r="Y718" s="1"/>
      <c r="Z718" s="1"/>
      <c r="AA718" s="1"/>
      <c r="AB718" s="3"/>
    </row>
    <row r="719" spans="1:28" ht="22.9" customHeight="1" x14ac:dyDescent="0.25">
      <c r="A719" s="39" t="s">
        <v>1742</v>
      </c>
      <c r="B719" s="9" t="s">
        <v>790</v>
      </c>
      <c r="C719" s="7">
        <f t="shared" ref="C719" si="1006">D719+L719+N719+P719+R719+S719+T719</f>
        <v>3417600</v>
      </c>
      <c r="D719" s="2">
        <f t="shared" ref="D719" si="1007">SUM(E719:J719)</f>
        <v>0</v>
      </c>
      <c r="E719" s="2">
        <v>0</v>
      </c>
      <c r="F719" s="2">
        <v>0</v>
      </c>
      <c r="G719" s="2">
        <v>0</v>
      </c>
      <c r="H719" s="2">
        <v>0</v>
      </c>
      <c r="I719" s="2">
        <v>0</v>
      </c>
      <c r="J719" s="2">
        <v>0</v>
      </c>
      <c r="K719" s="21">
        <v>0</v>
      </c>
      <c r="L719" s="2">
        <v>0</v>
      </c>
      <c r="M719" s="2">
        <v>768</v>
      </c>
      <c r="N719" s="2">
        <f t="shared" si="1001"/>
        <v>3417600</v>
      </c>
      <c r="O719" s="2">
        <v>0</v>
      </c>
      <c r="P719" s="2">
        <v>0</v>
      </c>
      <c r="Q719" s="2">
        <v>0</v>
      </c>
      <c r="R719" s="2">
        <v>0</v>
      </c>
      <c r="S719" s="2">
        <v>0</v>
      </c>
      <c r="T719" s="2">
        <v>0</v>
      </c>
      <c r="U719" s="6">
        <f t="shared" si="937"/>
        <v>4450</v>
      </c>
      <c r="V719" s="1"/>
      <c r="W719" s="1"/>
      <c r="X719" s="1"/>
      <c r="Y719" s="1"/>
      <c r="Z719" s="1"/>
      <c r="AA719" s="1"/>
      <c r="AB719" s="3"/>
    </row>
    <row r="720" spans="1:28" ht="22.9" customHeight="1" x14ac:dyDescent="0.25">
      <c r="A720" s="39" t="s">
        <v>1743</v>
      </c>
      <c r="B720" s="9" t="s">
        <v>791</v>
      </c>
      <c r="C720" s="7">
        <f t="shared" ref="C720" si="1008">D720+L720+N720+P720+R720+S720+T720</f>
        <v>3540420</v>
      </c>
      <c r="D720" s="2">
        <f t="shared" ref="D720" si="1009">SUM(E720:J720)</f>
        <v>0</v>
      </c>
      <c r="E720" s="2">
        <v>0</v>
      </c>
      <c r="F720" s="2">
        <v>0</v>
      </c>
      <c r="G720" s="2">
        <v>0</v>
      </c>
      <c r="H720" s="2">
        <v>0</v>
      </c>
      <c r="I720" s="2">
        <v>0</v>
      </c>
      <c r="J720" s="2">
        <v>0</v>
      </c>
      <c r="K720" s="21">
        <v>0</v>
      </c>
      <c r="L720" s="2">
        <v>0</v>
      </c>
      <c r="M720" s="2">
        <v>795.6</v>
      </c>
      <c r="N720" s="2">
        <f t="shared" si="1001"/>
        <v>3540420</v>
      </c>
      <c r="O720" s="2">
        <v>0</v>
      </c>
      <c r="P720" s="2">
        <v>0</v>
      </c>
      <c r="Q720" s="2">
        <v>0</v>
      </c>
      <c r="R720" s="2">
        <v>0</v>
      </c>
      <c r="S720" s="2">
        <v>0</v>
      </c>
      <c r="T720" s="2">
        <v>0</v>
      </c>
      <c r="U720" s="6">
        <f t="shared" si="937"/>
        <v>4450</v>
      </c>
      <c r="V720" s="1"/>
      <c r="W720" s="1"/>
      <c r="X720" s="1"/>
      <c r="Y720" s="1"/>
      <c r="Z720" s="1"/>
      <c r="AA720" s="1"/>
      <c r="AB720" s="3"/>
    </row>
    <row r="721" spans="1:28" ht="22.9" customHeight="1" x14ac:dyDescent="0.25">
      <c r="A721" s="39" t="s">
        <v>1744</v>
      </c>
      <c r="B721" s="20" t="s">
        <v>792</v>
      </c>
      <c r="C721" s="7">
        <f t="shared" ref="C721" si="1010">D721+L721+N721+P721+R721+S721+T721</f>
        <v>4576440</v>
      </c>
      <c r="D721" s="2">
        <f t="shared" ref="D721" si="1011">SUM(E721:J721)</f>
        <v>0</v>
      </c>
      <c r="E721" s="2">
        <v>0</v>
      </c>
      <c r="F721" s="2">
        <v>0</v>
      </c>
      <c r="G721" s="2">
        <v>0</v>
      </c>
      <c r="H721" s="2">
        <v>0</v>
      </c>
      <c r="I721" s="2">
        <v>0</v>
      </c>
      <c r="J721" s="2">
        <v>0</v>
      </c>
      <c r="K721" s="21">
        <v>0</v>
      </c>
      <c r="L721" s="2">
        <v>0</v>
      </c>
      <c r="M721" s="2">
        <v>693.4</v>
      </c>
      <c r="N721" s="2">
        <f t="shared" ref="N721:N736" si="1012">M721*6600</f>
        <v>4576440</v>
      </c>
      <c r="O721" s="2">
        <v>0</v>
      </c>
      <c r="P721" s="2">
        <v>0</v>
      </c>
      <c r="Q721" s="2">
        <v>0</v>
      </c>
      <c r="R721" s="2">
        <v>0</v>
      </c>
      <c r="S721" s="2">
        <v>0</v>
      </c>
      <c r="T721" s="2">
        <v>0</v>
      </c>
      <c r="U721" s="6">
        <f t="shared" si="937"/>
        <v>6600</v>
      </c>
      <c r="V721" s="1"/>
      <c r="W721" s="1"/>
      <c r="X721" s="1"/>
      <c r="Y721" s="1"/>
      <c r="Z721" s="1"/>
      <c r="AA721" s="1"/>
      <c r="AB721" s="3"/>
    </row>
    <row r="722" spans="1:28" ht="22.9" customHeight="1" x14ac:dyDescent="0.25">
      <c r="A722" s="39" t="s">
        <v>1745</v>
      </c>
      <c r="B722" s="20" t="s">
        <v>793</v>
      </c>
      <c r="C722" s="7">
        <f t="shared" ref="C722" si="1013">D722+L722+N722+P722+R722+S722+T722</f>
        <v>3804240</v>
      </c>
      <c r="D722" s="2">
        <f t="shared" ref="D722" si="1014">SUM(E722:J722)</f>
        <v>0</v>
      </c>
      <c r="E722" s="2">
        <v>0</v>
      </c>
      <c r="F722" s="2">
        <v>0</v>
      </c>
      <c r="G722" s="2">
        <v>0</v>
      </c>
      <c r="H722" s="2">
        <v>0</v>
      </c>
      <c r="I722" s="2">
        <v>0</v>
      </c>
      <c r="J722" s="2">
        <v>0</v>
      </c>
      <c r="K722" s="21">
        <v>0</v>
      </c>
      <c r="L722" s="2">
        <v>0</v>
      </c>
      <c r="M722" s="2">
        <v>576.4</v>
      </c>
      <c r="N722" s="2">
        <f t="shared" si="1012"/>
        <v>3804240</v>
      </c>
      <c r="O722" s="2">
        <v>0</v>
      </c>
      <c r="P722" s="2">
        <v>0</v>
      </c>
      <c r="Q722" s="2">
        <v>0</v>
      </c>
      <c r="R722" s="2">
        <v>0</v>
      </c>
      <c r="S722" s="2">
        <v>0</v>
      </c>
      <c r="T722" s="2">
        <v>0</v>
      </c>
      <c r="U722" s="6">
        <f t="shared" si="937"/>
        <v>6600</v>
      </c>
      <c r="V722" s="1"/>
      <c r="W722" s="1"/>
      <c r="X722" s="1"/>
      <c r="Y722" s="1"/>
      <c r="Z722" s="1"/>
      <c r="AA722" s="1"/>
      <c r="AB722" s="3"/>
    </row>
    <row r="723" spans="1:28" ht="22.9" customHeight="1" x14ac:dyDescent="0.25">
      <c r="A723" s="39" t="s">
        <v>1746</v>
      </c>
      <c r="B723" s="9" t="s">
        <v>794</v>
      </c>
      <c r="C723" s="7">
        <f t="shared" ref="C723" si="1015">D723+L723+N723+P723+R723+S723+T723</f>
        <v>1425864</v>
      </c>
      <c r="D723" s="2">
        <f t="shared" ref="D723" si="1016">SUM(E723:J723)</f>
        <v>0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  <c r="J723" s="2">
        <v>0</v>
      </c>
      <c r="K723" s="21">
        <v>0</v>
      </c>
      <c r="L723" s="2">
        <v>0</v>
      </c>
      <c r="M723" s="2">
        <v>216.04</v>
      </c>
      <c r="N723" s="2">
        <f t="shared" si="1012"/>
        <v>1425864</v>
      </c>
      <c r="O723" s="2">
        <v>0</v>
      </c>
      <c r="P723" s="2">
        <v>0</v>
      </c>
      <c r="Q723" s="2">
        <v>0</v>
      </c>
      <c r="R723" s="2">
        <v>0</v>
      </c>
      <c r="S723" s="2">
        <v>0</v>
      </c>
      <c r="T723" s="2">
        <v>0</v>
      </c>
      <c r="U723" s="6">
        <f t="shared" si="937"/>
        <v>6600</v>
      </c>
      <c r="V723" s="1"/>
      <c r="W723" s="1"/>
      <c r="X723" s="1"/>
      <c r="Y723" s="1"/>
      <c r="Z723" s="1"/>
      <c r="AA723" s="1"/>
      <c r="AB723" s="3"/>
    </row>
    <row r="724" spans="1:28" ht="22.9" customHeight="1" x14ac:dyDescent="0.25">
      <c r="A724" s="39" t="s">
        <v>1747</v>
      </c>
      <c r="B724" s="9" t="s">
        <v>795</v>
      </c>
      <c r="C724" s="7">
        <f t="shared" ref="C724" si="1017">D724+L724+N724+P724+R724+S724+T724</f>
        <v>1716000</v>
      </c>
      <c r="D724" s="2">
        <f t="shared" ref="D724" si="1018">SUM(E724:J724)</f>
        <v>0</v>
      </c>
      <c r="E724" s="2">
        <v>0</v>
      </c>
      <c r="F724" s="2">
        <v>0</v>
      </c>
      <c r="G724" s="2">
        <v>0</v>
      </c>
      <c r="H724" s="2">
        <v>0</v>
      </c>
      <c r="I724" s="2">
        <v>0</v>
      </c>
      <c r="J724" s="2">
        <v>0</v>
      </c>
      <c r="K724" s="21">
        <v>0</v>
      </c>
      <c r="L724" s="2">
        <v>0</v>
      </c>
      <c r="M724" s="2">
        <v>260</v>
      </c>
      <c r="N724" s="2">
        <f t="shared" si="1012"/>
        <v>1716000</v>
      </c>
      <c r="O724" s="2">
        <v>0</v>
      </c>
      <c r="P724" s="2">
        <v>0</v>
      </c>
      <c r="Q724" s="2">
        <v>0</v>
      </c>
      <c r="R724" s="2">
        <v>0</v>
      </c>
      <c r="S724" s="2">
        <v>0</v>
      </c>
      <c r="T724" s="2">
        <v>0</v>
      </c>
      <c r="U724" s="6">
        <f t="shared" si="937"/>
        <v>6600</v>
      </c>
      <c r="V724" s="1"/>
      <c r="W724" s="1"/>
      <c r="X724" s="1"/>
      <c r="Y724" s="1"/>
      <c r="Z724" s="1"/>
      <c r="AA724" s="1"/>
      <c r="AB724" s="3"/>
    </row>
    <row r="725" spans="1:28" ht="22.9" customHeight="1" x14ac:dyDescent="0.25">
      <c r="A725" s="39" t="s">
        <v>1748</v>
      </c>
      <c r="B725" s="9" t="s">
        <v>796</v>
      </c>
      <c r="C725" s="7">
        <f t="shared" ref="C725" si="1019">D725+L725+N725+P725+R725+S725+T725</f>
        <v>1841400</v>
      </c>
      <c r="D725" s="2">
        <f t="shared" ref="D725" si="1020">SUM(E725:J725)</f>
        <v>0</v>
      </c>
      <c r="E725" s="2">
        <v>0</v>
      </c>
      <c r="F725" s="2">
        <v>0</v>
      </c>
      <c r="G725" s="2">
        <v>0</v>
      </c>
      <c r="H725" s="2">
        <v>0</v>
      </c>
      <c r="I725" s="2">
        <v>0</v>
      </c>
      <c r="J725" s="2">
        <v>0</v>
      </c>
      <c r="K725" s="21">
        <v>0</v>
      </c>
      <c r="L725" s="2">
        <v>0</v>
      </c>
      <c r="M725" s="2">
        <v>279</v>
      </c>
      <c r="N725" s="2">
        <f t="shared" si="1012"/>
        <v>1841400</v>
      </c>
      <c r="O725" s="2">
        <v>0</v>
      </c>
      <c r="P725" s="2">
        <v>0</v>
      </c>
      <c r="Q725" s="2">
        <v>0</v>
      </c>
      <c r="R725" s="2">
        <v>0</v>
      </c>
      <c r="S725" s="2">
        <v>0</v>
      </c>
      <c r="T725" s="2">
        <v>0</v>
      </c>
      <c r="U725" s="6">
        <f t="shared" si="937"/>
        <v>6600</v>
      </c>
      <c r="V725" s="1"/>
      <c r="W725" s="1"/>
      <c r="X725" s="1"/>
      <c r="Y725" s="1"/>
      <c r="Z725" s="1"/>
      <c r="AA725" s="1"/>
      <c r="AB725" s="3"/>
    </row>
    <row r="726" spans="1:28" ht="22.9" customHeight="1" x14ac:dyDescent="0.25">
      <c r="A726" s="39" t="s">
        <v>1749</v>
      </c>
      <c r="B726" s="20" t="s">
        <v>797</v>
      </c>
      <c r="C726" s="7">
        <f t="shared" ref="C726" si="1021">D726+L726+N726+P726+R726+S726+T726</f>
        <v>5873340</v>
      </c>
      <c r="D726" s="2">
        <f t="shared" ref="D726" si="1022">SUM(E726:J726)</f>
        <v>0</v>
      </c>
      <c r="E726" s="2">
        <v>0</v>
      </c>
      <c r="F726" s="2">
        <v>0</v>
      </c>
      <c r="G726" s="2">
        <v>0</v>
      </c>
      <c r="H726" s="2">
        <v>0</v>
      </c>
      <c r="I726" s="2">
        <v>0</v>
      </c>
      <c r="J726" s="2">
        <v>0</v>
      </c>
      <c r="K726" s="21">
        <v>0</v>
      </c>
      <c r="L726" s="2">
        <v>0</v>
      </c>
      <c r="M726" s="2">
        <v>889.9</v>
      </c>
      <c r="N726" s="2">
        <f t="shared" si="1012"/>
        <v>5873340</v>
      </c>
      <c r="O726" s="2">
        <v>0</v>
      </c>
      <c r="P726" s="2">
        <v>0</v>
      </c>
      <c r="Q726" s="2">
        <v>0</v>
      </c>
      <c r="R726" s="2">
        <v>0</v>
      </c>
      <c r="S726" s="2">
        <v>0</v>
      </c>
      <c r="T726" s="2">
        <v>0</v>
      </c>
      <c r="U726" s="6">
        <f t="shared" si="937"/>
        <v>6600</v>
      </c>
      <c r="V726" s="1"/>
      <c r="W726" s="1"/>
      <c r="X726" s="1"/>
      <c r="Y726" s="1"/>
      <c r="Z726" s="1"/>
      <c r="AA726" s="1"/>
      <c r="AB726" s="3"/>
    </row>
    <row r="727" spans="1:28" ht="22.9" customHeight="1" x14ac:dyDescent="0.25">
      <c r="A727" s="39" t="s">
        <v>1750</v>
      </c>
      <c r="B727" s="20" t="s">
        <v>798</v>
      </c>
      <c r="C727" s="7">
        <f t="shared" ref="C727" si="1023">D727+L727+N727+P727+R727+S727+T727</f>
        <v>3773220.0000000005</v>
      </c>
      <c r="D727" s="2">
        <f t="shared" ref="D727" si="1024">SUM(E727:J727)</f>
        <v>0</v>
      </c>
      <c r="E727" s="2">
        <v>0</v>
      </c>
      <c r="F727" s="2">
        <v>0</v>
      </c>
      <c r="G727" s="2">
        <v>0</v>
      </c>
      <c r="H727" s="2">
        <v>0</v>
      </c>
      <c r="I727" s="2">
        <v>0</v>
      </c>
      <c r="J727" s="2">
        <v>0</v>
      </c>
      <c r="K727" s="21">
        <v>0</v>
      </c>
      <c r="L727" s="2">
        <v>0</v>
      </c>
      <c r="M727" s="2">
        <v>571.70000000000005</v>
      </c>
      <c r="N727" s="2">
        <f t="shared" si="1012"/>
        <v>3773220.0000000005</v>
      </c>
      <c r="O727" s="2">
        <v>0</v>
      </c>
      <c r="P727" s="2">
        <v>0</v>
      </c>
      <c r="Q727" s="2">
        <v>0</v>
      </c>
      <c r="R727" s="2">
        <v>0</v>
      </c>
      <c r="S727" s="2">
        <v>0</v>
      </c>
      <c r="T727" s="2">
        <v>0</v>
      </c>
      <c r="U727" s="6">
        <f t="shared" si="937"/>
        <v>6600</v>
      </c>
      <c r="V727" s="1"/>
      <c r="W727" s="1"/>
      <c r="X727" s="1"/>
      <c r="Y727" s="1"/>
      <c r="Z727" s="1"/>
      <c r="AA727" s="1"/>
      <c r="AB727" s="3"/>
    </row>
    <row r="728" spans="1:28" ht="22.9" customHeight="1" x14ac:dyDescent="0.25">
      <c r="A728" s="39" t="s">
        <v>1751</v>
      </c>
      <c r="B728" s="20" t="s">
        <v>799</v>
      </c>
      <c r="C728" s="7">
        <f t="shared" ref="C728" si="1025">D728+L728+N728+P728+R728+S728+T728</f>
        <v>3795000</v>
      </c>
      <c r="D728" s="2">
        <f t="shared" ref="D728" si="1026">SUM(E728:J728)</f>
        <v>0</v>
      </c>
      <c r="E728" s="2">
        <v>0</v>
      </c>
      <c r="F728" s="2">
        <v>0</v>
      </c>
      <c r="G728" s="2">
        <v>0</v>
      </c>
      <c r="H728" s="2">
        <v>0</v>
      </c>
      <c r="I728" s="2">
        <v>0</v>
      </c>
      <c r="J728" s="2">
        <v>0</v>
      </c>
      <c r="K728" s="21">
        <v>0</v>
      </c>
      <c r="L728" s="2">
        <v>0</v>
      </c>
      <c r="M728" s="2">
        <v>575</v>
      </c>
      <c r="N728" s="2">
        <f t="shared" si="1012"/>
        <v>3795000</v>
      </c>
      <c r="O728" s="2">
        <v>0</v>
      </c>
      <c r="P728" s="2">
        <v>0</v>
      </c>
      <c r="Q728" s="2">
        <v>0</v>
      </c>
      <c r="R728" s="2">
        <v>0</v>
      </c>
      <c r="S728" s="2">
        <v>0</v>
      </c>
      <c r="T728" s="2">
        <v>0</v>
      </c>
      <c r="U728" s="6">
        <f t="shared" si="937"/>
        <v>6600</v>
      </c>
      <c r="V728" s="1"/>
      <c r="W728" s="1"/>
      <c r="X728" s="1"/>
      <c r="Y728" s="1"/>
      <c r="Z728" s="1"/>
      <c r="AA728" s="1"/>
      <c r="AB728" s="3"/>
    </row>
    <row r="729" spans="1:28" ht="22.9" customHeight="1" x14ac:dyDescent="0.25">
      <c r="A729" s="39" t="s">
        <v>1752</v>
      </c>
      <c r="B729" s="20" t="s">
        <v>800</v>
      </c>
      <c r="C729" s="7">
        <f t="shared" ref="C729" si="1027">D729+L729+N729+P729+R729+S729+T729</f>
        <v>5860800</v>
      </c>
      <c r="D729" s="2">
        <f t="shared" ref="D729" si="1028">SUM(E729:J729)</f>
        <v>0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  <c r="J729" s="2">
        <v>0</v>
      </c>
      <c r="K729" s="21">
        <v>0</v>
      </c>
      <c r="L729" s="2">
        <v>0</v>
      </c>
      <c r="M729" s="2">
        <v>888</v>
      </c>
      <c r="N729" s="2">
        <f t="shared" si="1012"/>
        <v>5860800</v>
      </c>
      <c r="O729" s="2">
        <v>0</v>
      </c>
      <c r="P729" s="2">
        <v>0</v>
      </c>
      <c r="Q729" s="2">
        <v>0</v>
      </c>
      <c r="R729" s="2">
        <v>0</v>
      </c>
      <c r="S729" s="2">
        <v>0</v>
      </c>
      <c r="T729" s="2">
        <v>0</v>
      </c>
      <c r="U729" s="6">
        <f t="shared" si="937"/>
        <v>6600</v>
      </c>
      <c r="V729" s="1"/>
      <c r="W729" s="1"/>
      <c r="X729" s="1"/>
      <c r="Y729" s="1"/>
      <c r="Z729" s="1"/>
      <c r="AA729" s="1"/>
      <c r="AB729" s="3"/>
    </row>
    <row r="730" spans="1:28" ht="22.9" customHeight="1" x14ac:dyDescent="0.25">
      <c r="A730" s="39" t="s">
        <v>1753</v>
      </c>
      <c r="B730" s="20" t="s">
        <v>801</v>
      </c>
      <c r="C730" s="7">
        <f t="shared" ref="C730" si="1029">D730+L730+N730+P730+R730+S730+T730</f>
        <v>6844859.9999999991</v>
      </c>
      <c r="D730" s="2">
        <f t="shared" ref="D730" si="1030">SUM(E730:J730)</f>
        <v>0</v>
      </c>
      <c r="E730" s="2">
        <v>0</v>
      </c>
      <c r="F730" s="2">
        <v>0</v>
      </c>
      <c r="G730" s="2">
        <v>0</v>
      </c>
      <c r="H730" s="2">
        <v>0</v>
      </c>
      <c r="I730" s="2">
        <v>0</v>
      </c>
      <c r="J730" s="2">
        <v>0</v>
      </c>
      <c r="K730" s="21">
        <v>0</v>
      </c>
      <c r="L730" s="2">
        <v>0</v>
      </c>
      <c r="M730" s="2">
        <v>1037.0999999999999</v>
      </c>
      <c r="N730" s="2">
        <f t="shared" si="1012"/>
        <v>6844859.9999999991</v>
      </c>
      <c r="O730" s="2">
        <v>0</v>
      </c>
      <c r="P730" s="2">
        <v>0</v>
      </c>
      <c r="Q730" s="2">
        <v>0</v>
      </c>
      <c r="R730" s="2">
        <v>0</v>
      </c>
      <c r="S730" s="2">
        <v>0</v>
      </c>
      <c r="T730" s="2">
        <v>0</v>
      </c>
      <c r="U730" s="6">
        <f t="shared" si="937"/>
        <v>6600</v>
      </c>
      <c r="V730" s="1"/>
      <c r="W730" s="1"/>
      <c r="X730" s="1"/>
      <c r="Y730" s="1"/>
      <c r="Z730" s="1"/>
      <c r="AA730" s="1"/>
      <c r="AB730" s="3"/>
    </row>
    <row r="731" spans="1:28" ht="22.9" customHeight="1" x14ac:dyDescent="0.25">
      <c r="A731" s="39" t="s">
        <v>1754</v>
      </c>
      <c r="B731" s="9" t="s">
        <v>802</v>
      </c>
      <c r="C731" s="7">
        <f t="shared" ref="C731" si="1031">D731+L731+N731+P731+R731+S731+T731</f>
        <v>4877400</v>
      </c>
      <c r="D731" s="2">
        <f t="shared" ref="D731" si="1032">SUM(E731:J731)</f>
        <v>0</v>
      </c>
      <c r="E731" s="2">
        <v>0</v>
      </c>
      <c r="F731" s="2">
        <v>0</v>
      </c>
      <c r="G731" s="2">
        <v>0</v>
      </c>
      <c r="H731" s="2">
        <v>0</v>
      </c>
      <c r="I731" s="2">
        <v>0</v>
      </c>
      <c r="J731" s="2">
        <v>0</v>
      </c>
      <c r="K731" s="21">
        <v>0</v>
      </c>
      <c r="L731" s="2">
        <v>0</v>
      </c>
      <c r="M731" s="2">
        <v>739</v>
      </c>
      <c r="N731" s="2">
        <f t="shared" si="1012"/>
        <v>4877400</v>
      </c>
      <c r="O731" s="2">
        <v>0</v>
      </c>
      <c r="P731" s="2">
        <v>0</v>
      </c>
      <c r="Q731" s="2">
        <v>0</v>
      </c>
      <c r="R731" s="2">
        <v>0</v>
      </c>
      <c r="S731" s="2">
        <v>0</v>
      </c>
      <c r="T731" s="2">
        <v>0</v>
      </c>
      <c r="U731" s="6">
        <f t="shared" si="937"/>
        <v>6600</v>
      </c>
      <c r="V731" s="1"/>
      <c r="W731" s="1"/>
      <c r="X731" s="1"/>
      <c r="Y731" s="1"/>
      <c r="Z731" s="1"/>
      <c r="AA731" s="1"/>
      <c r="AB731" s="3"/>
    </row>
    <row r="732" spans="1:28" ht="22.9" customHeight="1" x14ac:dyDescent="0.25">
      <c r="A732" s="39" t="s">
        <v>1755</v>
      </c>
      <c r="B732" s="9" t="s">
        <v>803</v>
      </c>
      <c r="C732" s="7">
        <f t="shared" ref="C732" si="1033">D732+L732+N732+P732+R732+S732+T732</f>
        <v>6164400</v>
      </c>
      <c r="D732" s="2">
        <f t="shared" ref="D732" si="1034">SUM(E732:J732)</f>
        <v>0</v>
      </c>
      <c r="E732" s="2">
        <v>0</v>
      </c>
      <c r="F732" s="2">
        <v>0</v>
      </c>
      <c r="G732" s="2">
        <v>0</v>
      </c>
      <c r="H732" s="2">
        <v>0</v>
      </c>
      <c r="I732" s="2">
        <v>0</v>
      </c>
      <c r="J732" s="2">
        <v>0</v>
      </c>
      <c r="K732" s="21">
        <v>0</v>
      </c>
      <c r="L732" s="2">
        <v>0</v>
      </c>
      <c r="M732" s="2">
        <v>934</v>
      </c>
      <c r="N732" s="2">
        <f t="shared" si="1012"/>
        <v>6164400</v>
      </c>
      <c r="O732" s="2">
        <v>0</v>
      </c>
      <c r="P732" s="2">
        <v>0</v>
      </c>
      <c r="Q732" s="2">
        <v>0</v>
      </c>
      <c r="R732" s="2">
        <v>0</v>
      </c>
      <c r="S732" s="2">
        <v>0</v>
      </c>
      <c r="T732" s="2">
        <v>0</v>
      </c>
      <c r="U732" s="6">
        <f t="shared" ref="U732:U797" si="1035">N732/M732</f>
        <v>6600</v>
      </c>
      <c r="V732" s="1"/>
      <c r="W732" s="1"/>
      <c r="X732" s="1"/>
      <c r="Y732" s="1"/>
      <c r="Z732" s="1"/>
      <c r="AA732" s="1"/>
      <c r="AB732" s="3"/>
    </row>
    <row r="733" spans="1:28" ht="22.9" customHeight="1" x14ac:dyDescent="0.25">
      <c r="A733" s="39" t="s">
        <v>1756</v>
      </c>
      <c r="B733" s="9" t="s">
        <v>804</v>
      </c>
      <c r="C733" s="7">
        <f t="shared" ref="C733" si="1036">D733+L733+N733+P733+R733+S733+T733</f>
        <v>6171000</v>
      </c>
      <c r="D733" s="2">
        <f t="shared" ref="D733" si="1037">SUM(E733:J733)</f>
        <v>0</v>
      </c>
      <c r="E733" s="2">
        <v>0</v>
      </c>
      <c r="F733" s="2">
        <v>0</v>
      </c>
      <c r="G733" s="2">
        <v>0</v>
      </c>
      <c r="H733" s="2">
        <v>0</v>
      </c>
      <c r="I733" s="2">
        <v>0</v>
      </c>
      <c r="J733" s="2">
        <v>0</v>
      </c>
      <c r="K733" s="21">
        <v>0</v>
      </c>
      <c r="L733" s="2">
        <v>0</v>
      </c>
      <c r="M733" s="2">
        <v>935</v>
      </c>
      <c r="N733" s="2">
        <f t="shared" si="1012"/>
        <v>6171000</v>
      </c>
      <c r="O733" s="2">
        <v>0</v>
      </c>
      <c r="P733" s="2">
        <v>0</v>
      </c>
      <c r="Q733" s="2">
        <v>0</v>
      </c>
      <c r="R733" s="2">
        <v>0</v>
      </c>
      <c r="S733" s="2">
        <v>0</v>
      </c>
      <c r="T733" s="2">
        <v>0</v>
      </c>
      <c r="U733" s="6">
        <f t="shared" si="1035"/>
        <v>6600</v>
      </c>
      <c r="V733" s="1"/>
      <c r="W733" s="1"/>
      <c r="X733" s="1"/>
      <c r="Y733" s="1"/>
      <c r="Z733" s="1"/>
      <c r="AA733" s="1"/>
      <c r="AB733" s="3"/>
    </row>
    <row r="734" spans="1:28" ht="22.9" customHeight="1" x14ac:dyDescent="0.25">
      <c r="A734" s="39" t="s">
        <v>1757</v>
      </c>
      <c r="B734" s="9" t="s">
        <v>806</v>
      </c>
      <c r="C734" s="7">
        <f t="shared" ref="C734" si="1038">D734+L734+N734+P734+R734+S734+T734</f>
        <v>3436620.0000000005</v>
      </c>
      <c r="D734" s="2">
        <f t="shared" ref="D734" si="1039">SUM(E734:J734)</f>
        <v>0</v>
      </c>
      <c r="E734" s="2">
        <v>0</v>
      </c>
      <c r="F734" s="2">
        <v>0</v>
      </c>
      <c r="G734" s="2">
        <v>0</v>
      </c>
      <c r="H734" s="2">
        <v>0</v>
      </c>
      <c r="I734" s="2">
        <v>0</v>
      </c>
      <c r="J734" s="2">
        <v>0</v>
      </c>
      <c r="K734" s="21">
        <v>0</v>
      </c>
      <c r="L734" s="2">
        <v>0</v>
      </c>
      <c r="M734" s="2">
        <v>520.70000000000005</v>
      </c>
      <c r="N734" s="2">
        <f t="shared" si="1012"/>
        <v>3436620.0000000005</v>
      </c>
      <c r="O734" s="2">
        <v>0</v>
      </c>
      <c r="P734" s="2">
        <v>0</v>
      </c>
      <c r="Q734" s="2">
        <v>0</v>
      </c>
      <c r="R734" s="2">
        <v>0</v>
      </c>
      <c r="S734" s="2">
        <v>0</v>
      </c>
      <c r="T734" s="2">
        <v>0</v>
      </c>
      <c r="U734" s="6">
        <f t="shared" si="1035"/>
        <v>6600</v>
      </c>
      <c r="V734" s="1"/>
      <c r="W734" s="1"/>
      <c r="X734" s="1"/>
      <c r="Y734" s="1"/>
      <c r="Z734" s="1"/>
      <c r="AA734" s="1"/>
      <c r="AB734" s="3"/>
    </row>
    <row r="735" spans="1:28" ht="22.9" customHeight="1" x14ac:dyDescent="0.25">
      <c r="A735" s="39" t="s">
        <v>1758</v>
      </c>
      <c r="B735" s="9" t="s">
        <v>807</v>
      </c>
      <c r="C735" s="7">
        <f t="shared" ref="C735" si="1040">D735+L735+N735+P735+R735+S735+T735</f>
        <v>7108200</v>
      </c>
      <c r="D735" s="2">
        <f t="shared" ref="D735" si="1041">SUM(E735:J735)</f>
        <v>0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  <c r="J735" s="2">
        <v>0</v>
      </c>
      <c r="K735" s="21">
        <v>0</v>
      </c>
      <c r="L735" s="2">
        <v>0</v>
      </c>
      <c r="M735" s="2">
        <v>1077</v>
      </c>
      <c r="N735" s="2">
        <f t="shared" si="1012"/>
        <v>7108200</v>
      </c>
      <c r="O735" s="2">
        <v>0</v>
      </c>
      <c r="P735" s="2">
        <v>0</v>
      </c>
      <c r="Q735" s="2">
        <v>0</v>
      </c>
      <c r="R735" s="2">
        <v>0</v>
      </c>
      <c r="S735" s="2">
        <v>0</v>
      </c>
      <c r="T735" s="2">
        <v>0</v>
      </c>
      <c r="U735" s="6">
        <f t="shared" si="1035"/>
        <v>6600</v>
      </c>
      <c r="V735" s="1"/>
      <c r="W735" s="1"/>
      <c r="X735" s="1"/>
      <c r="Y735" s="1"/>
      <c r="Z735" s="1"/>
      <c r="AA735" s="1"/>
      <c r="AB735" s="3"/>
    </row>
    <row r="736" spans="1:28" ht="22.9" customHeight="1" x14ac:dyDescent="0.25">
      <c r="A736" s="39" t="s">
        <v>1759</v>
      </c>
      <c r="B736" s="9" t="s">
        <v>808</v>
      </c>
      <c r="C736" s="7">
        <f t="shared" ref="C736:C737" si="1042">D736+L736+N736+P736+R736+S736+T736</f>
        <v>7108200</v>
      </c>
      <c r="D736" s="2">
        <f t="shared" ref="D736:D737" si="1043">SUM(E736:J736)</f>
        <v>0</v>
      </c>
      <c r="E736" s="2">
        <v>0</v>
      </c>
      <c r="F736" s="2">
        <v>0</v>
      </c>
      <c r="G736" s="2">
        <v>0</v>
      </c>
      <c r="H736" s="2">
        <v>0</v>
      </c>
      <c r="I736" s="2">
        <v>0</v>
      </c>
      <c r="J736" s="2">
        <v>0</v>
      </c>
      <c r="K736" s="21">
        <v>0</v>
      </c>
      <c r="L736" s="2">
        <v>0</v>
      </c>
      <c r="M736" s="2">
        <v>1077</v>
      </c>
      <c r="N736" s="2">
        <f t="shared" si="1012"/>
        <v>7108200</v>
      </c>
      <c r="O736" s="2">
        <v>0</v>
      </c>
      <c r="P736" s="2">
        <v>0</v>
      </c>
      <c r="Q736" s="2">
        <v>0</v>
      </c>
      <c r="R736" s="2">
        <v>0</v>
      </c>
      <c r="S736" s="2">
        <v>0</v>
      </c>
      <c r="T736" s="2">
        <v>0</v>
      </c>
      <c r="U736" s="6">
        <f t="shared" si="1035"/>
        <v>6600</v>
      </c>
      <c r="V736" s="1"/>
      <c r="W736" s="1"/>
      <c r="X736" s="1"/>
      <c r="Y736" s="1"/>
      <c r="Z736" s="1"/>
      <c r="AA736" s="1"/>
      <c r="AB736" s="3"/>
    </row>
    <row r="737" spans="1:28" ht="22.9" customHeight="1" x14ac:dyDescent="0.25">
      <c r="A737" s="39" t="s">
        <v>1760</v>
      </c>
      <c r="B737" s="9" t="s">
        <v>809</v>
      </c>
      <c r="C737" s="7">
        <f t="shared" si="1042"/>
        <v>3471000</v>
      </c>
      <c r="D737" s="2">
        <f t="shared" si="1043"/>
        <v>0</v>
      </c>
      <c r="E737" s="2">
        <v>0</v>
      </c>
      <c r="F737" s="2">
        <v>0</v>
      </c>
      <c r="G737" s="2">
        <v>0</v>
      </c>
      <c r="H737" s="2">
        <v>0</v>
      </c>
      <c r="I737" s="2">
        <v>0</v>
      </c>
      <c r="J737" s="2">
        <v>0</v>
      </c>
      <c r="K737" s="21">
        <v>0</v>
      </c>
      <c r="L737" s="2">
        <v>0</v>
      </c>
      <c r="M737" s="2">
        <v>780</v>
      </c>
      <c r="N737" s="2">
        <f>M737*4450</f>
        <v>3471000</v>
      </c>
      <c r="O737" s="2">
        <v>0</v>
      </c>
      <c r="P737" s="2">
        <v>0</v>
      </c>
      <c r="Q737" s="2">
        <v>0</v>
      </c>
      <c r="R737" s="2">
        <v>0</v>
      </c>
      <c r="S737" s="2">
        <v>0</v>
      </c>
      <c r="T737" s="2">
        <v>0</v>
      </c>
      <c r="U737" s="6">
        <f t="shared" si="1035"/>
        <v>4450</v>
      </c>
      <c r="V737" s="1"/>
      <c r="W737" s="1"/>
      <c r="X737" s="1"/>
      <c r="Y737" s="1"/>
      <c r="Z737" s="1"/>
      <c r="AA737" s="1"/>
      <c r="AB737" s="3"/>
    </row>
    <row r="738" spans="1:28" ht="22.9" customHeight="1" x14ac:dyDescent="0.25">
      <c r="A738" s="39" t="s">
        <v>1761</v>
      </c>
      <c r="B738" s="9" t="s">
        <v>810</v>
      </c>
      <c r="C738" s="7">
        <f t="shared" ref="C738" si="1044">D738+L738+N738+P738+R738+S738+T738</f>
        <v>3121800</v>
      </c>
      <c r="D738" s="2">
        <f t="shared" ref="D738" si="1045">SUM(E738:J738)</f>
        <v>0</v>
      </c>
      <c r="E738" s="2">
        <v>0</v>
      </c>
      <c r="F738" s="2">
        <v>0</v>
      </c>
      <c r="G738" s="2">
        <v>0</v>
      </c>
      <c r="H738" s="2">
        <v>0</v>
      </c>
      <c r="I738" s="2">
        <v>0</v>
      </c>
      <c r="J738" s="2">
        <v>0</v>
      </c>
      <c r="K738" s="21">
        <v>0</v>
      </c>
      <c r="L738" s="2">
        <v>0</v>
      </c>
      <c r="M738" s="2">
        <v>473</v>
      </c>
      <c r="N738" s="2">
        <f>M738*6600</f>
        <v>3121800</v>
      </c>
      <c r="O738" s="2">
        <v>0</v>
      </c>
      <c r="P738" s="2">
        <v>0</v>
      </c>
      <c r="Q738" s="2">
        <v>0</v>
      </c>
      <c r="R738" s="2">
        <v>0</v>
      </c>
      <c r="S738" s="2">
        <v>0</v>
      </c>
      <c r="T738" s="2">
        <v>0</v>
      </c>
      <c r="U738" s="6">
        <f t="shared" si="1035"/>
        <v>6600</v>
      </c>
      <c r="V738" s="1"/>
      <c r="W738" s="1"/>
      <c r="X738" s="1"/>
      <c r="Y738" s="1"/>
      <c r="Z738" s="1"/>
      <c r="AA738" s="1"/>
      <c r="AB738" s="3"/>
    </row>
    <row r="739" spans="1:28" ht="22.9" customHeight="1" x14ac:dyDescent="0.25">
      <c r="A739" s="39" t="s">
        <v>1762</v>
      </c>
      <c r="B739" s="9" t="s">
        <v>811</v>
      </c>
      <c r="C739" s="7">
        <f t="shared" ref="C739" si="1046">D739+L739+N739+P739+R739+S739+T739</f>
        <v>4272000</v>
      </c>
      <c r="D739" s="2">
        <f t="shared" ref="D739" si="1047">SUM(E739:J739)</f>
        <v>0</v>
      </c>
      <c r="E739" s="2">
        <v>0</v>
      </c>
      <c r="F739" s="2">
        <v>0</v>
      </c>
      <c r="G739" s="2">
        <v>0</v>
      </c>
      <c r="H739" s="2">
        <v>0</v>
      </c>
      <c r="I739" s="2">
        <v>0</v>
      </c>
      <c r="J739" s="2">
        <v>0</v>
      </c>
      <c r="K739" s="21">
        <v>0</v>
      </c>
      <c r="L739" s="2">
        <v>0</v>
      </c>
      <c r="M739" s="2">
        <v>960</v>
      </c>
      <c r="N739" s="2">
        <f>M739*4450</f>
        <v>4272000</v>
      </c>
      <c r="O739" s="2">
        <v>0</v>
      </c>
      <c r="P739" s="2">
        <v>0</v>
      </c>
      <c r="Q739" s="2">
        <v>0</v>
      </c>
      <c r="R739" s="2">
        <v>0</v>
      </c>
      <c r="S739" s="2">
        <v>0</v>
      </c>
      <c r="T739" s="2">
        <v>0</v>
      </c>
      <c r="U739" s="6">
        <f t="shared" si="1035"/>
        <v>4450</v>
      </c>
      <c r="V739" s="1"/>
      <c r="W739" s="1"/>
      <c r="X739" s="1"/>
      <c r="Y739" s="1"/>
      <c r="Z739" s="1"/>
      <c r="AA739" s="1"/>
      <c r="AB739" s="3"/>
    </row>
    <row r="740" spans="1:28" ht="22.9" customHeight="1" x14ac:dyDescent="0.25">
      <c r="A740" s="39" t="s">
        <v>1763</v>
      </c>
      <c r="B740" s="9" t="s">
        <v>812</v>
      </c>
      <c r="C740" s="7">
        <f t="shared" ref="C740:C744" si="1048">D740+L740+N740+P740+R740+S740+T740</f>
        <v>4272000</v>
      </c>
      <c r="D740" s="2">
        <f t="shared" ref="D740:D743" si="1049">SUM(E740:J740)</f>
        <v>0</v>
      </c>
      <c r="E740" s="2">
        <v>0</v>
      </c>
      <c r="F740" s="2">
        <v>0</v>
      </c>
      <c r="G740" s="2">
        <v>0</v>
      </c>
      <c r="H740" s="2">
        <v>0</v>
      </c>
      <c r="I740" s="2">
        <v>0</v>
      </c>
      <c r="J740" s="2">
        <v>0</v>
      </c>
      <c r="K740" s="21">
        <v>0</v>
      </c>
      <c r="L740" s="2">
        <v>0</v>
      </c>
      <c r="M740" s="2">
        <v>960</v>
      </c>
      <c r="N740" s="2">
        <f>M740*4450</f>
        <v>4272000</v>
      </c>
      <c r="O740" s="2">
        <v>0</v>
      </c>
      <c r="P740" s="2">
        <v>0</v>
      </c>
      <c r="Q740" s="2">
        <v>0</v>
      </c>
      <c r="R740" s="2">
        <v>0</v>
      </c>
      <c r="S740" s="2">
        <v>0</v>
      </c>
      <c r="T740" s="2">
        <v>0</v>
      </c>
      <c r="U740" s="6">
        <f t="shared" si="1035"/>
        <v>4450</v>
      </c>
      <c r="V740" s="1"/>
      <c r="W740" s="1"/>
      <c r="X740" s="1"/>
      <c r="Y740" s="1"/>
      <c r="Z740" s="1"/>
      <c r="AA740" s="1"/>
      <c r="AB740" s="3"/>
    </row>
    <row r="741" spans="1:28" ht="22.9" customHeight="1" x14ac:dyDescent="0.25">
      <c r="A741" s="39" t="s">
        <v>1764</v>
      </c>
      <c r="B741" s="9" t="s">
        <v>813</v>
      </c>
      <c r="C741" s="7">
        <f t="shared" si="1048"/>
        <v>4272000</v>
      </c>
      <c r="D741" s="2">
        <f t="shared" si="1049"/>
        <v>0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  <c r="J741" s="2">
        <v>0</v>
      </c>
      <c r="K741" s="21">
        <v>0</v>
      </c>
      <c r="L741" s="2">
        <v>0</v>
      </c>
      <c r="M741" s="2">
        <v>960</v>
      </c>
      <c r="N741" s="2">
        <f>M741*4450</f>
        <v>4272000</v>
      </c>
      <c r="O741" s="2">
        <v>0</v>
      </c>
      <c r="P741" s="2">
        <v>0</v>
      </c>
      <c r="Q741" s="2">
        <v>0</v>
      </c>
      <c r="R741" s="2">
        <v>0</v>
      </c>
      <c r="S741" s="2">
        <v>0</v>
      </c>
      <c r="T741" s="2">
        <v>0</v>
      </c>
      <c r="U741" s="6">
        <f t="shared" si="1035"/>
        <v>4450</v>
      </c>
      <c r="V741" s="1"/>
      <c r="W741" s="1"/>
      <c r="X741" s="1"/>
      <c r="Y741" s="1"/>
      <c r="Z741" s="1"/>
      <c r="AA741" s="1"/>
      <c r="AB741" s="3"/>
    </row>
    <row r="742" spans="1:28" ht="22.9" customHeight="1" x14ac:dyDescent="0.25">
      <c r="A742" s="39" t="s">
        <v>1765</v>
      </c>
      <c r="B742" s="9" t="s">
        <v>814</v>
      </c>
      <c r="C742" s="7">
        <f t="shared" si="1048"/>
        <v>4272000</v>
      </c>
      <c r="D742" s="2">
        <f t="shared" si="1049"/>
        <v>0</v>
      </c>
      <c r="E742" s="2">
        <v>0</v>
      </c>
      <c r="F742" s="2">
        <v>0</v>
      </c>
      <c r="G742" s="2">
        <v>0</v>
      </c>
      <c r="H742" s="2">
        <v>0</v>
      </c>
      <c r="I742" s="2">
        <v>0</v>
      </c>
      <c r="J742" s="2">
        <v>0</v>
      </c>
      <c r="K742" s="21">
        <v>0</v>
      </c>
      <c r="L742" s="2">
        <v>0</v>
      </c>
      <c r="M742" s="2">
        <v>960</v>
      </c>
      <c r="N742" s="2">
        <f>M742*4450</f>
        <v>4272000</v>
      </c>
      <c r="O742" s="2">
        <v>0</v>
      </c>
      <c r="P742" s="2">
        <v>0</v>
      </c>
      <c r="Q742" s="2">
        <v>0</v>
      </c>
      <c r="R742" s="2">
        <v>0</v>
      </c>
      <c r="S742" s="2">
        <v>0</v>
      </c>
      <c r="T742" s="2">
        <v>0</v>
      </c>
      <c r="U742" s="6">
        <f t="shared" si="1035"/>
        <v>4450</v>
      </c>
      <c r="V742" s="1"/>
      <c r="W742" s="1"/>
      <c r="X742" s="1"/>
      <c r="Y742" s="1"/>
      <c r="Z742" s="1"/>
      <c r="AA742" s="1"/>
      <c r="AB742" s="3"/>
    </row>
    <row r="743" spans="1:28" ht="22.9" customHeight="1" x14ac:dyDescent="0.25">
      <c r="A743" s="39" t="s">
        <v>1766</v>
      </c>
      <c r="B743" s="9" t="s">
        <v>815</v>
      </c>
      <c r="C743" s="7">
        <f t="shared" si="1048"/>
        <v>4272000</v>
      </c>
      <c r="D743" s="2">
        <f t="shared" si="1049"/>
        <v>0</v>
      </c>
      <c r="E743" s="2">
        <v>0</v>
      </c>
      <c r="F743" s="2">
        <v>0</v>
      </c>
      <c r="G743" s="2">
        <v>0</v>
      </c>
      <c r="H743" s="2">
        <v>0</v>
      </c>
      <c r="I743" s="2">
        <v>0</v>
      </c>
      <c r="J743" s="2">
        <v>0</v>
      </c>
      <c r="K743" s="21">
        <v>0</v>
      </c>
      <c r="L743" s="2">
        <v>0</v>
      </c>
      <c r="M743" s="2">
        <v>960</v>
      </c>
      <c r="N743" s="2">
        <f>M743*4450</f>
        <v>4272000</v>
      </c>
      <c r="O743" s="2">
        <v>0</v>
      </c>
      <c r="P743" s="2">
        <v>0</v>
      </c>
      <c r="Q743" s="2">
        <v>0</v>
      </c>
      <c r="R743" s="2">
        <v>0</v>
      </c>
      <c r="S743" s="2">
        <v>0</v>
      </c>
      <c r="T743" s="2">
        <v>0</v>
      </c>
      <c r="U743" s="6">
        <f t="shared" si="1035"/>
        <v>4450</v>
      </c>
      <c r="V743" s="1"/>
      <c r="W743" s="1"/>
      <c r="X743" s="1"/>
      <c r="Y743" s="1"/>
      <c r="Z743" s="1"/>
      <c r="AA743" s="1"/>
      <c r="AB743" s="3"/>
    </row>
    <row r="744" spans="1:28" ht="22.9" customHeight="1" x14ac:dyDescent="0.25">
      <c r="A744" s="39" t="s">
        <v>1767</v>
      </c>
      <c r="B744" s="9" t="s">
        <v>816</v>
      </c>
      <c r="C744" s="7">
        <f t="shared" si="1048"/>
        <v>18751830</v>
      </c>
      <c r="D744" s="2">
        <f t="shared" ref="D744" si="1050">SUM(E744:J744)</f>
        <v>7589070</v>
      </c>
      <c r="E744" s="2">
        <f>700*2527.38</f>
        <v>1769166</v>
      </c>
      <c r="F744" s="2">
        <f>1300*2527.38</f>
        <v>3285594</v>
      </c>
      <c r="G744" s="2">
        <f>300*2527.38</f>
        <v>758214</v>
      </c>
      <c r="H744" s="2">
        <f>400*2537.28</f>
        <v>1014912.0000000001</v>
      </c>
      <c r="I744" s="2">
        <f>300*2537.28</f>
        <v>761184.00000000012</v>
      </c>
      <c r="J744" s="2">
        <v>0</v>
      </c>
      <c r="K744" s="21">
        <v>0</v>
      </c>
      <c r="L744" s="2">
        <v>0</v>
      </c>
      <c r="M744" s="8">
        <v>837</v>
      </c>
      <c r="N744" s="2">
        <f t="shared" ref="N744" si="1051">M744*6600</f>
        <v>5524200</v>
      </c>
      <c r="O744" s="2">
        <v>0</v>
      </c>
      <c r="P744" s="2">
        <v>0</v>
      </c>
      <c r="Q744" s="2">
        <v>1730.8</v>
      </c>
      <c r="R744" s="2">
        <f>Q744*3200</f>
        <v>5538560</v>
      </c>
      <c r="S744" s="8">
        <v>0</v>
      </c>
      <c r="T744" s="2">
        <v>100000</v>
      </c>
      <c r="U744" s="6">
        <f t="shared" si="1035"/>
        <v>6600</v>
      </c>
      <c r="V744" s="1"/>
      <c r="W744" s="1"/>
      <c r="X744" s="1"/>
      <c r="Y744" s="1"/>
      <c r="Z744" s="1"/>
      <c r="AA744" s="1"/>
      <c r="AB744" s="3"/>
    </row>
    <row r="745" spans="1:28" ht="22.9" customHeight="1" x14ac:dyDescent="0.25">
      <c r="A745" s="39" t="s">
        <v>1768</v>
      </c>
      <c r="B745" s="9" t="s">
        <v>817</v>
      </c>
      <c r="C745" s="7">
        <f t="shared" ref="C745" si="1052">D745+L745+N745+P745+R745+S745+T745</f>
        <v>3920400</v>
      </c>
      <c r="D745" s="2">
        <f t="shared" ref="D745" si="1053">SUM(E745:J745)</f>
        <v>0</v>
      </c>
      <c r="E745" s="2">
        <v>0</v>
      </c>
      <c r="F745" s="2">
        <v>0</v>
      </c>
      <c r="G745" s="2">
        <v>0</v>
      </c>
      <c r="H745" s="2">
        <v>0</v>
      </c>
      <c r="I745" s="2">
        <v>0</v>
      </c>
      <c r="J745" s="2">
        <v>0</v>
      </c>
      <c r="K745" s="21">
        <v>0</v>
      </c>
      <c r="L745" s="2">
        <v>0</v>
      </c>
      <c r="M745" s="2">
        <v>594</v>
      </c>
      <c r="N745" s="2">
        <f t="shared" ref="N745:N766" si="1054">M745*6600</f>
        <v>3920400</v>
      </c>
      <c r="O745" s="2">
        <v>0</v>
      </c>
      <c r="P745" s="2">
        <v>0</v>
      </c>
      <c r="Q745" s="2">
        <v>0</v>
      </c>
      <c r="R745" s="2">
        <v>0</v>
      </c>
      <c r="S745" s="2">
        <v>0</v>
      </c>
      <c r="T745" s="2">
        <v>0</v>
      </c>
      <c r="U745" s="6">
        <f t="shared" si="1035"/>
        <v>6600</v>
      </c>
      <c r="V745" s="1"/>
      <c r="W745" s="1"/>
      <c r="X745" s="1"/>
      <c r="Y745" s="1"/>
      <c r="Z745" s="1"/>
      <c r="AA745" s="1"/>
      <c r="AB745" s="3"/>
    </row>
    <row r="746" spans="1:28" ht="22.9" customHeight="1" x14ac:dyDescent="0.25">
      <c r="A746" s="39" t="s">
        <v>1769</v>
      </c>
      <c r="B746" s="9" t="s">
        <v>818</v>
      </c>
      <c r="C746" s="7">
        <f t="shared" ref="C746" si="1055">D746+L746+N746+P746+R746+S746+T746</f>
        <v>1846680</v>
      </c>
      <c r="D746" s="2">
        <f t="shared" ref="D746" si="1056">SUM(E746:J746)</f>
        <v>0</v>
      </c>
      <c r="E746" s="2">
        <v>0</v>
      </c>
      <c r="F746" s="2">
        <v>0</v>
      </c>
      <c r="G746" s="2">
        <v>0</v>
      </c>
      <c r="H746" s="2">
        <v>0</v>
      </c>
      <c r="I746" s="2">
        <v>0</v>
      </c>
      <c r="J746" s="2">
        <v>0</v>
      </c>
      <c r="K746" s="21">
        <v>0</v>
      </c>
      <c r="L746" s="2">
        <v>0</v>
      </c>
      <c r="M746" s="2">
        <v>279.8</v>
      </c>
      <c r="N746" s="2">
        <f t="shared" si="1054"/>
        <v>1846680</v>
      </c>
      <c r="O746" s="2">
        <v>0</v>
      </c>
      <c r="P746" s="2">
        <v>0</v>
      </c>
      <c r="Q746" s="2">
        <v>0</v>
      </c>
      <c r="R746" s="2">
        <v>0</v>
      </c>
      <c r="S746" s="2">
        <v>0</v>
      </c>
      <c r="T746" s="2">
        <v>0</v>
      </c>
      <c r="U746" s="6">
        <f t="shared" si="1035"/>
        <v>6600</v>
      </c>
      <c r="V746" s="1"/>
      <c r="W746" s="1"/>
      <c r="X746" s="1"/>
      <c r="Y746" s="1"/>
      <c r="Z746" s="1"/>
      <c r="AA746" s="1"/>
      <c r="AB746" s="3"/>
    </row>
    <row r="747" spans="1:28" ht="22.9" customHeight="1" x14ac:dyDescent="0.25">
      <c r="A747" s="39" t="s">
        <v>1770</v>
      </c>
      <c r="B747" s="9" t="s">
        <v>819</v>
      </c>
      <c r="C747" s="7">
        <f t="shared" ref="C747" si="1057">D747+L747+N747+P747+R747+S747+T747</f>
        <v>3267000</v>
      </c>
      <c r="D747" s="2">
        <f t="shared" ref="D747" si="1058">SUM(E747:J747)</f>
        <v>0</v>
      </c>
      <c r="E747" s="2">
        <v>0</v>
      </c>
      <c r="F747" s="2">
        <v>0</v>
      </c>
      <c r="G747" s="2">
        <v>0</v>
      </c>
      <c r="H747" s="2">
        <v>0</v>
      </c>
      <c r="I747" s="2">
        <v>0</v>
      </c>
      <c r="J747" s="2">
        <v>0</v>
      </c>
      <c r="K747" s="21">
        <v>0</v>
      </c>
      <c r="L747" s="2">
        <v>0</v>
      </c>
      <c r="M747" s="2">
        <v>495</v>
      </c>
      <c r="N747" s="2">
        <f t="shared" si="1054"/>
        <v>3267000</v>
      </c>
      <c r="O747" s="2">
        <v>0</v>
      </c>
      <c r="P747" s="2">
        <v>0</v>
      </c>
      <c r="Q747" s="2">
        <v>0</v>
      </c>
      <c r="R747" s="2">
        <v>0</v>
      </c>
      <c r="S747" s="2">
        <v>0</v>
      </c>
      <c r="T747" s="2">
        <v>0</v>
      </c>
      <c r="U747" s="6">
        <f t="shared" si="1035"/>
        <v>6600</v>
      </c>
      <c r="V747" s="1"/>
      <c r="W747" s="1"/>
      <c r="X747" s="1"/>
      <c r="Y747" s="1"/>
      <c r="Z747" s="1"/>
      <c r="AA747" s="1"/>
      <c r="AB747" s="3"/>
    </row>
    <row r="748" spans="1:28" ht="22.9" customHeight="1" x14ac:dyDescent="0.25">
      <c r="A748" s="39" t="s">
        <v>1771</v>
      </c>
      <c r="B748" s="9" t="s">
        <v>820</v>
      </c>
      <c r="C748" s="7">
        <f t="shared" ref="C748" si="1059">D748+L748+N748+P748+R748+S748+T748</f>
        <v>3267000</v>
      </c>
      <c r="D748" s="2">
        <f t="shared" ref="D748" si="1060">SUM(E748:J748)</f>
        <v>0</v>
      </c>
      <c r="E748" s="2">
        <v>0</v>
      </c>
      <c r="F748" s="2">
        <v>0</v>
      </c>
      <c r="G748" s="2">
        <v>0</v>
      </c>
      <c r="H748" s="2">
        <v>0</v>
      </c>
      <c r="I748" s="2">
        <v>0</v>
      </c>
      <c r="J748" s="2">
        <v>0</v>
      </c>
      <c r="K748" s="21">
        <v>0</v>
      </c>
      <c r="L748" s="2">
        <v>0</v>
      </c>
      <c r="M748" s="2">
        <v>495</v>
      </c>
      <c r="N748" s="2">
        <f t="shared" si="1054"/>
        <v>3267000</v>
      </c>
      <c r="O748" s="2">
        <v>0</v>
      </c>
      <c r="P748" s="2">
        <v>0</v>
      </c>
      <c r="Q748" s="2">
        <v>0</v>
      </c>
      <c r="R748" s="2">
        <v>0</v>
      </c>
      <c r="S748" s="2">
        <v>0</v>
      </c>
      <c r="T748" s="2">
        <v>0</v>
      </c>
      <c r="U748" s="6">
        <f t="shared" si="1035"/>
        <v>6600</v>
      </c>
      <c r="V748" s="1"/>
      <c r="W748" s="1"/>
      <c r="X748" s="1"/>
      <c r="Y748" s="1"/>
      <c r="Z748" s="1"/>
      <c r="AA748" s="1"/>
      <c r="AB748" s="3"/>
    </row>
    <row r="749" spans="1:28" ht="22.9" customHeight="1" x14ac:dyDescent="0.25">
      <c r="A749" s="39" t="s">
        <v>1772</v>
      </c>
      <c r="B749" s="9" t="s">
        <v>821</v>
      </c>
      <c r="C749" s="7">
        <f t="shared" ref="C749:C750" si="1061">D749+L749+N749+P749+R749+S749+T749</f>
        <v>3267000</v>
      </c>
      <c r="D749" s="2">
        <f t="shared" ref="D749:D750" si="1062">SUM(E749:J749)</f>
        <v>0</v>
      </c>
      <c r="E749" s="2">
        <v>0</v>
      </c>
      <c r="F749" s="2">
        <v>0</v>
      </c>
      <c r="G749" s="2">
        <v>0</v>
      </c>
      <c r="H749" s="2">
        <v>0</v>
      </c>
      <c r="I749" s="2">
        <v>0</v>
      </c>
      <c r="J749" s="2">
        <v>0</v>
      </c>
      <c r="K749" s="21">
        <v>0</v>
      </c>
      <c r="L749" s="2">
        <v>0</v>
      </c>
      <c r="M749" s="2">
        <v>495</v>
      </c>
      <c r="N749" s="2">
        <f t="shared" si="1054"/>
        <v>3267000</v>
      </c>
      <c r="O749" s="2">
        <v>0</v>
      </c>
      <c r="P749" s="2">
        <v>0</v>
      </c>
      <c r="Q749" s="2">
        <v>0</v>
      </c>
      <c r="R749" s="2">
        <v>0</v>
      </c>
      <c r="S749" s="2">
        <v>0</v>
      </c>
      <c r="T749" s="2">
        <v>0</v>
      </c>
      <c r="U749" s="6">
        <f t="shared" si="1035"/>
        <v>6600</v>
      </c>
      <c r="V749" s="1"/>
      <c r="W749" s="1"/>
      <c r="X749" s="1"/>
      <c r="Y749" s="1"/>
      <c r="Z749" s="1"/>
      <c r="AA749" s="1"/>
      <c r="AB749" s="3"/>
    </row>
    <row r="750" spans="1:28" ht="22.9" customHeight="1" x14ac:dyDescent="0.25">
      <c r="A750" s="39" t="s">
        <v>1773</v>
      </c>
      <c r="B750" s="9" t="s">
        <v>822</v>
      </c>
      <c r="C750" s="7">
        <f t="shared" si="1061"/>
        <v>3484800</v>
      </c>
      <c r="D750" s="2">
        <f t="shared" si="1062"/>
        <v>0</v>
      </c>
      <c r="E750" s="2">
        <v>0</v>
      </c>
      <c r="F750" s="2">
        <v>0</v>
      </c>
      <c r="G750" s="2">
        <v>0</v>
      </c>
      <c r="H750" s="2">
        <v>0</v>
      </c>
      <c r="I750" s="2">
        <v>0</v>
      </c>
      <c r="J750" s="2">
        <v>0</v>
      </c>
      <c r="K750" s="21">
        <v>0</v>
      </c>
      <c r="L750" s="2">
        <v>0</v>
      </c>
      <c r="M750" s="2">
        <v>528</v>
      </c>
      <c r="N750" s="2">
        <f t="shared" si="1054"/>
        <v>3484800</v>
      </c>
      <c r="O750" s="2">
        <v>0</v>
      </c>
      <c r="P750" s="2">
        <v>0</v>
      </c>
      <c r="Q750" s="2">
        <v>0</v>
      </c>
      <c r="R750" s="2">
        <v>0</v>
      </c>
      <c r="S750" s="2">
        <v>0</v>
      </c>
      <c r="T750" s="2">
        <v>0</v>
      </c>
      <c r="U750" s="6">
        <f t="shared" si="1035"/>
        <v>6600</v>
      </c>
      <c r="V750" s="1"/>
      <c r="W750" s="1"/>
      <c r="X750" s="1"/>
      <c r="Y750" s="1"/>
      <c r="Z750" s="1"/>
      <c r="AA750" s="1"/>
      <c r="AB750" s="3"/>
    </row>
    <row r="751" spans="1:28" ht="22.9" customHeight="1" x14ac:dyDescent="0.25">
      <c r="A751" s="39" t="s">
        <v>1774</v>
      </c>
      <c r="B751" s="9" t="s">
        <v>823</v>
      </c>
      <c r="C751" s="7">
        <f t="shared" ref="C751" si="1063">D751+L751+N751+P751+R751+S751+T751</f>
        <v>1323960</v>
      </c>
      <c r="D751" s="2">
        <f t="shared" ref="D751" si="1064">SUM(E751:J751)</f>
        <v>0</v>
      </c>
      <c r="E751" s="2">
        <v>0</v>
      </c>
      <c r="F751" s="2">
        <v>0</v>
      </c>
      <c r="G751" s="2">
        <v>0</v>
      </c>
      <c r="H751" s="2">
        <v>0</v>
      </c>
      <c r="I751" s="2">
        <v>0</v>
      </c>
      <c r="J751" s="2">
        <v>0</v>
      </c>
      <c r="K751" s="21">
        <v>0</v>
      </c>
      <c r="L751" s="2">
        <v>0</v>
      </c>
      <c r="M751" s="2">
        <v>200.6</v>
      </c>
      <c r="N751" s="2">
        <f t="shared" si="1054"/>
        <v>1323960</v>
      </c>
      <c r="O751" s="2">
        <v>0</v>
      </c>
      <c r="P751" s="2">
        <v>0</v>
      </c>
      <c r="Q751" s="2">
        <v>0</v>
      </c>
      <c r="R751" s="2">
        <v>0</v>
      </c>
      <c r="S751" s="2">
        <v>0</v>
      </c>
      <c r="T751" s="2">
        <v>0</v>
      </c>
      <c r="U751" s="6">
        <f t="shared" si="1035"/>
        <v>6600</v>
      </c>
      <c r="V751" s="1"/>
      <c r="W751" s="1"/>
      <c r="X751" s="1"/>
      <c r="Y751" s="1"/>
      <c r="Z751" s="1"/>
      <c r="AA751" s="1"/>
      <c r="AB751" s="3"/>
    </row>
    <row r="752" spans="1:28" ht="22.9" customHeight="1" x14ac:dyDescent="0.25">
      <c r="A752" s="39" t="s">
        <v>1775</v>
      </c>
      <c r="B752" s="20" t="s">
        <v>824</v>
      </c>
      <c r="C752" s="7">
        <f t="shared" ref="C752" si="1065">D752+L752+N752+P752+R752+S752+T752</f>
        <v>8065200</v>
      </c>
      <c r="D752" s="2">
        <f t="shared" ref="D752" si="1066">SUM(E752:J752)</f>
        <v>0</v>
      </c>
      <c r="E752" s="2">
        <v>0</v>
      </c>
      <c r="F752" s="2">
        <v>0</v>
      </c>
      <c r="G752" s="2">
        <v>0</v>
      </c>
      <c r="H752" s="2">
        <v>0</v>
      </c>
      <c r="I752" s="2">
        <v>0</v>
      </c>
      <c r="J752" s="2">
        <v>0</v>
      </c>
      <c r="K752" s="21">
        <v>0</v>
      </c>
      <c r="L752" s="2">
        <v>0</v>
      </c>
      <c r="M752" s="2">
        <v>1222</v>
      </c>
      <c r="N752" s="2">
        <f t="shared" si="1054"/>
        <v>8065200</v>
      </c>
      <c r="O752" s="2">
        <v>0</v>
      </c>
      <c r="P752" s="2">
        <v>0</v>
      </c>
      <c r="Q752" s="2">
        <v>0</v>
      </c>
      <c r="R752" s="2">
        <v>0</v>
      </c>
      <c r="S752" s="2">
        <v>0</v>
      </c>
      <c r="T752" s="2">
        <v>0</v>
      </c>
      <c r="U752" s="6">
        <f t="shared" si="1035"/>
        <v>6600</v>
      </c>
      <c r="V752" s="1"/>
      <c r="W752" s="1"/>
      <c r="X752" s="1"/>
      <c r="Y752" s="1"/>
      <c r="Z752" s="1"/>
      <c r="AA752" s="1"/>
      <c r="AB752" s="3"/>
    </row>
    <row r="753" spans="1:28" ht="22.9" customHeight="1" x14ac:dyDescent="0.25">
      <c r="A753" s="39" t="s">
        <v>1776</v>
      </c>
      <c r="B753" s="9" t="s">
        <v>825</v>
      </c>
      <c r="C753" s="7">
        <f t="shared" ref="C753" si="1067">D753+L753+N753+P753+R753+S753+T753</f>
        <v>5853540</v>
      </c>
      <c r="D753" s="2">
        <f t="shared" ref="D753" si="1068">SUM(E753:J753)</f>
        <v>0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  <c r="J753" s="2">
        <v>0</v>
      </c>
      <c r="K753" s="21">
        <v>0</v>
      </c>
      <c r="L753" s="2">
        <v>0</v>
      </c>
      <c r="M753" s="2">
        <v>886.9</v>
      </c>
      <c r="N753" s="2">
        <f t="shared" si="1054"/>
        <v>5853540</v>
      </c>
      <c r="O753" s="2">
        <v>0</v>
      </c>
      <c r="P753" s="2">
        <v>0</v>
      </c>
      <c r="Q753" s="2">
        <v>0</v>
      </c>
      <c r="R753" s="2">
        <v>0</v>
      </c>
      <c r="S753" s="2">
        <v>0</v>
      </c>
      <c r="T753" s="2">
        <v>0</v>
      </c>
      <c r="U753" s="6">
        <f t="shared" si="1035"/>
        <v>6600</v>
      </c>
      <c r="V753" s="1"/>
      <c r="W753" s="1"/>
      <c r="X753" s="1"/>
      <c r="Y753" s="1"/>
      <c r="Z753" s="1"/>
      <c r="AA753" s="1"/>
      <c r="AB753" s="3"/>
    </row>
    <row r="754" spans="1:28" ht="22.9" customHeight="1" x14ac:dyDescent="0.25">
      <c r="A754" s="39" t="s">
        <v>1777</v>
      </c>
      <c r="B754" s="9" t="s">
        <v>826</v>
      </c>
      <c r="C754" s="7">
        <f t="shared" ref="C754" si="1069">D754+L754+N754+P754+R754+S754+T754</f>
        <v>3099360</v>
      </c>
      <c r="D754" s="2">
        <f t="shared" ref="D754" si="1070">SUM(E754:J754)</f>
        <v>0</v>
      </c>
      <c r="E754" s="2">
        <v>0</v>
      </c>
      <c r="F754" s="2">
        <v>0</v>
      </c>
      <c r="G754" s="2">
        <v>0</v>
      </c>
      <c r="H754" s="2">
        <v>0</v>
      </c>
      <c r="I754" s="2">
        <v>0</v>
      </c>
      <c r="J754" s="2">
        <v>0</v>
      </c>
      <c r="K754" s="21">
        <v>0</v>
      </c>
      <c r="L754" s="2">
        <v>0</v>
      </c>
      <c r="M754" s="2">
        <v>469.6</v>
      </c>
      <c r="N754" s="2">
        <f t="shared" si="1054"/>
        <v>3099360</v>
      </c>
      <c r="O754" s="2">
        <v>0</v>
      </c>
      <c r="P754" s="2">
        <v>0</v>
      </c>
      <c r="Q754" s="2">
        <v>0</v>
      </c>
      <c r="R754" s="2">
        <v>0</v>
      </c>
      <c r="S754" s="2">
        <v>0</v>
      </c>
      <c r="T754" s="2">
        <v>0</v>
      </c>
      <c r="U754" s="6">
        <f t="shared" si="1035"/>
        <v>6600</v>
      </c>
      <c r="V754" s="1"/>
      <c r="W754" s="1"/>
      <c r="X754" s="1"/>
      <c r="Y754" s="1"/>
      <c r="Z754" s="1"/>
      <c r="AA754" s="1"/>
      <c r="AB754" s="3"/>
    </row>
    <row r="755" spans="1:28" ht="22.9" customHeight="1" x14ac:dyDescent="0.25">
      <c r="A755" s="39" t="s">
        <v>1778</v>
      </c>
      <c r="B755" s="20" t="s">
        <v>827</v>
      </c>
      <c r="C755" s="7">
        <f t="shared" ref="C755" si="1071">D755+L755+N755+P755+R755+S755+T755</f>
        <v>3267000</v>
      </c>
      <c r="D755" s="2">
        <f t="shared" ref="D755" si="1072">SUM(E755:J755)</f>
        <v>0</v>
      </c>
      <c r="E755" s="2">
        <v>0</v>
      </c>
      <c r="F755" s="2">
        <v>0</v>
      </c>
      <c r="G755" s="2">
        <v>0</v>
      </c>
      <c r="H755" s="2">
        <v>0</v>
      </c>
      <c r="I755" s="2">
        <v>0</v>
      </c>
      <c r="J755" s="2">
        <v>0</v>
      </c>
      <c r="K755" s="21">
        <v>0</v>
      </c>
      <c r="L755" s="2">
        <v>0</v>
      </c>
      <c r="M755" s="2">
        <v>495</v>
      </c>
      <c r="N755" s="2">
        <f t="shared" si="1054"/>
        <v>3267000</v>
      </c>
      <c r="O755" s="2">
        <v>0</v>
      </c>
      <c r="P755" s="2">
        <v>0</v>
      </c>
      <c r="Q755" s="2">
        <v>0</v>
      </c>
      <c r="R755" s="2">
        <v>0</v>
      </c>
      <c r="S755" s="2">
        <v>0</v>
      </c>
      <c r="T755" s="2">
        <v>0</v>
      </c>
      <c r="U755" s="6">
        <f t="shared" si="1035"/>
        <v>6600</v>
      </c>
      <c r="V755" s="1"/>
      <c r="W755" s="1"/>
      <c r="X755" s="1"/>
      <c r="Y755" s="1"/>
      <c r="Z755" s="1"/>
      <c r="AA755" s="1"/>
      <c r="AB755" s="3"/>
    </row>
    <row r="756" spans="1:28" ht="22.9" customHeight="1" x14ac:dyDescent="0.25">
      <c r="A756" s="39" t="s">
        <v>1779</v>
      </c>
      <c r="B756" s="9" t="s">
        <v>828</v>
      </c>
      <c r="C756" s="7">
        <f t="shared" ref="C756" si="1073">D756+L756+N756+P756+R756+S756+T756</f>
        <v>3622740</v>
      </c>
      <c r="D756" s="2">
        <f t="shared" ref="D756" si="1074">SUM(E756:J756)</f>
        <v>0</v>
      </c>
      <c r="E756" s="2">
        <v>0</v>
      </c>
      <c r="F756" s="2">
        <v>0</v>
      </c>
      <c r="G756" s="2">
        <v>0</v>
      </c>
      <c r="H756" s="2">
        <v>0</v>
      </c>
      <c r="I756" s="2">
        <v>0</v>
      </c>
      <c r="J756" s="2">
        <v>0</v>
      </c>
      <c r="K756" s="21">
        <v>0</v>
      </c>
      <c r="L756" s="2">
        <v>0</v>
      </c>
      <c r="M756" s="2">
        <v>548.9</v>
      </c>
      <c r="N756" s="2">
        <f t="shared" si="1054"/>
        <v>3622740</v>
      </c>
      <c r="O756" s="2">
        <v>0</v>
      </c>
      <c r="P756" s="2">
        <v>0</v>
      </c>
      <c r="Q756" s="2">
        <v>0</v>
      </c>
      <c r="R756" s="2">
        <v>0</v>
      </c>
      <c r="S756" s="2">
        <v>0</v>
      </c>
      <c r="T756" s="2">
        <v>0</v>
      </c>
      <c r="U756" s="6">
        <f t="shared" si="1035"/>
        <v>6600</v>
      </c>
      <c r="V756" s="1"/>
      <c r="W756" s="1"/>
      <c r="X756" s="1"/>
      <c r="Y756" s="1"/>
      <c r="Z756" s="1"/>
      <c r="AA756" s="1"/>
      <c r="AB756" s="3"/>
    </row>
    <row r="757" spans="1:28" ht="22.9" customHeight="1" x14ac:dyDescent="0.25">
      <c r="A757" s="39" t="s">
        <v>1780</v>
      </c>
      <c r="B757" s="20" t="s">
        <v>829</v>
      </c>
      <c r="C757" s="7">
        <f t="shared" ref="C757" si="1075">D757+L757+N757+P757+R757+S757+T757</f>
        <v>3764640</v>
      </c>
      <c r="D757" s="2">
        <f t="shared" ref="D757" si="1076">SUM(E757:J757)</f>
        <v>0</v>
      </c>
      <c r="E757" s="2">
        <v>0</v>
      </c>
      <c r="F757" s="2">
        <v>0</v>
      </c>
      <c r="G757" s="2">
        <v>0</v>
      </c>
      <c r="H757" s="2">
        <v>0</v>
      </c>
      <c r="I757" s="2">
        <v>0</v>
      </c>
      <c r="J757" s="2">
        <v>0</v>
      </c>
      <c r="K757" s="21">
        <v>0</v>
      </c>
      <c r="L757" s="2">
        <v>0</v>
      </c>
      <c r="M757" s="2">
        <v>570.4</v>
      </c>
      <c r="N757" s="2">
        <f t="shared" si="1054"/>
        <v>3764640</v>
      </c>
      <c r="O757" s="2">
        <v>0</v>
      </c>
      <c r="P757" s="2">
        <v>0</v>
      </c>
      <c r="Q757" s="2">
        <v>0</v>
      </c>
      <c r="R757" s="2">
        <v>0</v>
      </c>
      <c r="S757" s="2">
        <v>0</v>
      </c>
      <c r="T757" s="2">
        <v>0</v>
      </c>
      <c r="U757" s="6">
        <f t="shared" si="1035"/>
        <v>6600</v>
      </c>
      <c r="V757" s="1"/>
      <c r="W757" s="1"/>
      <c r="X757" s="1"/>
      <c r="Y757" s="1"/>
      <c r="Z757" s="1"/>
      <c r="AA757" s="1"/>
      <c r="AB757" s="3"/>
    </row>
    <row r="758" spans="1:28" ht="22.9" customHeight="1" x14ac:dyDescent="0.25">
      <c r="A758" s="39" t="s">
        <v>1781</v>
      </c>
      <c r="B758" s="9" t="s">
        <v>830</v>
      </c>
      <c r="C758" s="7">
        <f t="shared" ref="C758" si="1077">D758+L758+N758+P758+R758+S758+T758</f>
        <v>4237200</v>
      </c>
      <c r="D758" s="2">
        <f t="shared" ref="D758" si="1078">SUM(E758:J758)</f>
        <v>0</v>
      </c>
      <c r="E758" s="2">
        <v>0</v>
      </c>
      <c r="F758" s="2">
        <v>0</v>
      </c>
      <c r="G758" s="2">
        <v>0</v>
      </c>
      <c r="H758" s="2">
        <v>0</v>
      </c>
      <c r="I758" s="2">
        <v>0</v>
      </c>
      <c r="J758" s="2">
        <v>0</v>
      </c>
      <c r="K758" s="21">
        <v>0</v>
      </c>
      <c r="L758" s="2">
        <v>0</v>
      </c>
      <c r="M758" s="2">
        <v>642</v>
      </c>
      <c r="N758" s="2">
        <f t="shared" si="1054"/>
        <v>4237200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0</v>
      </c>
      <c r="U758" s="6">
        <f t="shared" si="1035"/>
        <v>6600</v>
      </c>
      <c r="V758" s="1"/>
      <c r="W758" s="1"/>
      <c r="X758" s="1"/>
      <c r="Y758" s="1"/>
      <c r="Z758" s="1"/>
      <c r="AA758" s="1"/>
      <c r="AB758" s="3"/>
    </row>
    <row r="759" spans="1:28" ht="22.9" customHeight="1" x14ac:dyDescent="0.25">
      <c r="A759" s="39" t="s">
        <v>1782</v>
      </c>
      <c r="B759" s="9" t="s">
        <v>831</v>
      </c>
      <c r="C759" s="7">
        <f t="shared" ref="C759" si="1079">D759+L759+N759+P759+R759+S759+T759</f>
        <v>4580400</v>
      </c>
      <c r="D759" s="2">
        <f t="shared" ref="D759" si="1080">SUM(E759:J759)</f>
        <v>0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  <c r="J759" s="2">
        <v>0</v>
      </c>
      <c r="K759" s="21">
        <v>0</v>
      </c>
      <c r="L759" s="2">
        <v>0</v>
      </c>
      <c r="M759" s="2">
        <v>694</v>
      </c>
      <c r="N759" s="2">
        <f t="shared" si="1054"/>
        <v>4580400</v>
      </c>
      <c r="O759" s="2">
        <v>0</v>
      </c>
      <c r="P759" s="2">
        <v>0</v>
      </c>
      <c r="Q759" s="2">
        <v>0</v>
      </c>
      <c r="R759" s="2">
        <v>0</v>
      </c>
      <c r="S759" s="2">
        <v>0</v>
      </c>
      <c r="T759" s="2">
        <v>0</v>
      </c>
      <c r="U759" s="6">
        <f t="shared" si="1035"/>
        <v>6600</v>
      </c>
      <c r="V759" s="1"/>
      <c r="W759" s="1"/>
      <c r="X759" s="1"/>
      <c r="Y759" s="1"/>
      <c r="Z759" s="1"/>
      <c r="AA759" s="1"/>
      <c r="AB759" s="3"/>
    </row>
    <row r="760" spans="1:28" ht="22.9" customHeight="1" x14ac:dyDescent="0.25">
      <c r="A760" s="39" t="s">
        <v>1783</v>
      </c>
      <c r="B760" s="9" t="s">
        <v>832</v>
      </c>
      <c r="C760" s="7">
        <f t="shared" ref="C760" si="1081">D760+L760+N760+P760+R760+S760+T760</f>
        <v>2032800</v>
      </c>
      <c r="D760" s="2">
        <f t="shared" ref="D760" si="1082">SUM(E760:J760)</f>
        <v>0</v>
      </c>
      <c r="E760" s="2">
        <v>0</v>
      </c>
      <c r="F760" s="2">
        <v>0</v>
      </c>
      <c r="G760" s="2">
        <v>0</v>
      </c>
      <c r="H760" s="2">
        <v>0</v>
      </c>
      <c r="I760" s="2">
        <v>0</v>
      </c>
      <c r="J760" s="2">
        <v>0</v>
      </c>
      <c r="K760" s="21">
        <v>0</v>
      </c>
      <c r="L760" s="2">
        <v>0</v>
      </c>
      <c r="M760" s="2">
        <v>308</v>
      </c>
      <c r="N760" s="2">
        <f t="shared" si="1054"/>
        <v>2032800</v>
      </c>
      <c r="O760" s="2">
        <v>0</v>
      </c>
      <c r="P760" s="2">
        <v>0</v>
      </c>
      <c r="Q760" s="2">
        <v>0</v>
      </c>
      <c r="R760" s="2">
        <v>0</v>
      </c>
      <c r="S760" s="2">
        <v>0</v>
      </c>
      <c r="T760" s="2">
        <v>0</v>
      </c>
      <c r="U760" s="6">
        <f t="shared" si="1035"/>
        <v>6600</v>
      </c>
      <c r="V760" s="1"/>
      <c r="W760" s="1"/>
      <c r="X760" s="1"/>
      <c r="Y760" s="1"/>
      <c r="Z760" s="1"/>
      <c r="AA760" s="1"/>
      <c r="AB760" s="3"/>
    </row>
    <row r="761" spans="1:28" ht="22.9" customHeight="1" x14ac:dyDescent="0.25">
      <c r="A761" s="39" t="s">
        <v>1784</v>
      </c>
      <c r="B761" s="9" t="s">
        <v>833</v>
      </c>
      <c r="C761" s="7">
        <f t="shared" ref="C761" si="1083">D761+L761+N761+P761+R761+S761+T761</f>
        <v>2521200</v>
      </c>
      <c r="D761" s="2">
        <f t="shared" ref="D761" si="1084">SUM(E761:J761)</f>
        <v>0</v>
      </c>
      <c r="E761" s="2">
        <v>0</v>
      </c>
      <c r="F761" s="2">
        <v>0</v>
      </c>
      <c r="G761" s="2">
        <v>0</v>
      </c>
      <c r="H761" s="2">
        <v>0</v>
      </c>
      <c r="I761" s="2">
        <v>0</v>
      </c>
      <c r="J761" s="2">
        <v>0</v>
      </c>
      <c r="K761" s="21">
        <v>0</v>
      </c>
      <c r="L761" s="2">
        <v>0</v>
      </c>
      <c r="M761" s="2">
        <v>382</v>
      </c>
      <c r="N761" s="2">
        <f t="shared" si="1054"/>
        <v>2521200</v>
      </c>
      <c r="O761" s="2">
        <v>0</v>
      </c>
      <c r="P761" s="2">
        <v>0</v>
      </c>
      <c r="Q761" s="2">
        <v>0</v>
      </c>
      <c r="R761" s="2">
        <v>0</v>
      </c>
      <c r="S761" s="2">
        <v>0</v>
      </c>
      <c r="T761" s="2">
        <v>0</v>
      </c>
      <c r="U761" s="6">
        <f t="shared" si="1035"/>
        <v>6600</v>
      </c>
      <c r="V761" s="1"/>
      <c r="W761" s="1"/>
      <c r="X761" s="1"/>
      <c r="Y761" s="1"/>
      <c r="Z761" s="1"/>
      <c r="AA761" s="1"/>
      <c r="AB761" s="3"/>
    </row>
    <row r="762" spans="1:28" ht="22.9" customHeight="1" x14ac:dyDescent="0.25">
      <c r="A762" s="39" t="s">
        <v>1785</v>
      </c>
      <c r="B762" s="9" t="s">
        <v>834</v>
      </c>
      <c r="C762" s="7">
        <f t="shared" ref="C762" si="1085">D762+L762+N762+P762+R762+S762+T762</f>
        <v>3280200</v>
      </c>
      <c r="D762" s="2">
        <f t="shared" ref="D762" si="1086">SUM(E762:J762)</f>
        <v>0</v>
      </c>
      <c r="E762" s="2">
        <v>0</v>
      </c>
      <c r="F762" s="2">
        <v>0</v>
      </c>
      <c r="G762" s="2">
        <v>0</v>
      </c>
      <c r="H762" s="2">
        <v>0</v>
      </c>
      <c r="I762" s="2">
        <v>0</v>
      </c>
      <c r="J762" s="2">
        <v>0</v>
      </c>
      <c r="K762" s="21">
        <v>0</v>
      </c>
      <c r="L762" s="2">
        <v>0</v>
      </c>
      <c r="M762" s="2">
        <v>497</v>
      </c>
      <c r="N762" s="2">
        <f t="shared" si="1054"/>
        <v>3280200</v>
      </c>
      <c r="O762" s="2">
        <v>0</v>
      </c>
      <c r="P762" s="2">
        <v>0</v>
      </c>
      <c r="Q762" s="2">
        <v>0</v>
      </c>
      <c r="R762" s="2">
        <v>0</v>
      </c>
      <c r="S762" s="2">
        <v>0</v>
      </c>
      <c r="T762" s="2">
        <v>0</v>
      </c>
      <c r="U762" s="6">
        <f t="shared" si="1035"/>
        <v>6600</v>
      </c>
      <c r="V762" s="1"/>
      <c r="W762" s="1"/>
      <c r="X762" s="1"/>
      <c r="Y762" s="1"/>
      <c r="Z762" s="1"/>
      <c r="AA762" s="1"/>
      <c r="AB762" s="3"/>
    </row>
    <row r="763" spans="1:28" ht="22.9" customHeight="1" x14ac:dyDescent="0.25">
      <c r="A763" s="39" t="s">
        <v>1786</v>
      </c>
      <c r="B763" s="9" t="s">
        <v>835</v>
      </c>
      <c r="C763" s="7">
        <f t="shared" ref="C763" si="1087">D763+L763+N763+P763+R763+S763+T763</f>
        <v>3260400</v>
      </c>
      <c r="D763" s="2">
        <f t="shared" ref="D763" si="1088">SUM(E763:J763)</f>
        <v>0</v>
      </c>
      <c r="E763" s="2">
        <v>0</v>
      </c>
      <c r="F763" s="2">
        <v>0</v>
      </c>
      <c r="G763" s="2">
        <v>0</v>
      </c>
      <c r="H763" s="2">
        <v>0</v>
      </c>
      <c r="I763" s="2">
        <v>0</v>
      </c>
      <c r="J763" s="2">
        <v>0</v>
      </c>
      <c r="K763" s="21">
        <v>0</v>
      </c>
      <c r="L763" s="2">
        <v>0</v>
      </c>
      <c r="M763" s="2">
        <v>494</v>
      </c>
      <c r="N763" s="2">
        <f t="shared" si="1054"/>
        <v>3260400</v>
      </c>
      <c r="O763" s="2">
        <v>0</v>
      </c>
      <c r="P763" s="2">
        <v>0</v>
      </c>
      <c r="Q763" s="2">
        <v>0</v>
      </c>
      <c r="R763" s="2">
        <v>0</v>
      </c>
      <c r="S763" s="2">
        <v>0</v>
      </c>
      <c r="T763" s="2">
        <v>0</v>
      </c>
      <c r="U763" s="6">
        <f t="shared" si="1035"/>
        <v>6600</v>
      </c>
      <c r="V763" s="1"/>
      <c r="W763" s="1"/>
      <c r="X763" s="1"/>
      <c r="Y763" s="1"/>
      <c r="Z763" s="1"/>
      <c r="AA763" s="1"/>
      <c r="AB763" s="3"/>
    </row>
    <row r="764" spans="1:28" ht="22.9" customHeight="1" x14ac:dyDescent="0.25">
      <c r="A764" s="39" t="s">
        <v>1787</v>
      </c>
      <c r="B764" s="9" t="s">
        <v>836</v>
      </c>
      <c r="C764" s="7">
        <f t="shared" ref="C764" si="1089">D764+L764+N764+P764+R764+S764+T764</f>
        <v>3260400</v>
      </c>
      <c r="D764" s="2">
        <f t="shared" ref="D764" si="1090">SUM(E764:J764)</f>
        <v>0</v>
      </c>
      <c r="E764" s="2">
        <v>0</v>
      </c>
      <c r="F764" s="2">
        <v>0</v>
      </c>
      <c r="G764" s="2">
        <v>0</v>
      </c>
      <c r="H764" s="2">
        <v>0</v>
      </c>
      <c r="I764" s="2">
        <v>0</v>
      </c>
      <c r="J764" s="2">
        <v>0</v>
      </c>
      <c r="K764" s="21">
        <v>0</v>
      </c>
      <c r="L764" s="2">
        <v>0</v>
      </c>
      <c r="M764" s="2">
        <v>494</v>
      </c>
      <c r="N764" s="2">
        <f t="shared" si="1054"/>
        <v>3260400</v>
      </c>
      <c r="O764" s="2">
        <v>0</v>
      </c>
      <c r="P764" s="2">
        <v>0</v>
      </c>
      <c r="Q764" s="2">
        <v>0</v>
      </c>
      <c r="R764" s="2">
        <v>0</v>
      </c>
      <c r="S764" s="2">
        <v>0</v>
      </c>
      <c r="T764" s="2">
        <v>0</v>
      </c>
      <c r="U764" s="6">
        <f t="shared" si="1035"/>
        <v>6600</v>
      </c>
      <c r="V764" s="1"/>
      <c r="W764" s="1"/>
      <c r="X764" s="1"/>
      <c r="Y764" s="1"/>
      <c r="Z764" s="1"/>
      <c r="AA764" s="1"/>
      <c r="AB764" s="3"/>
    </row>
    <row r="765" spans="1:28" ht="22.9" customHeight="1" x14ac:dyDescent="0.25">
      <c r="A765" s="39" t="s">
        <v>1788</v>
      </c>
      <c r="B765" s="9" t="s">
        <v>837</v>
      </c>
      <c r="C765" s="7">
        <f t="shared" ref="C765" si="1091">D765+L765+N765+P765+R765+S765+T765</f>
        <v>3260400</v>
      </c>
      <c r="D765" s="2">
        <f t="shared" ref="D765" si="1092">SUM(E765:J765)</f>
        <v>0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  <c r="J765" s="2">
        <v>0</v>
      </c>
      <c r="K765" s="21">
        <v>0</v>
      </c>
      <c r="L765" s="2">
        <v>0</v>
      </c>
      <c r="M765" s="2">
        <v>494</v>
      </c>
      <c r="N765" s="2">
        <f t="shared" si="1054"/>
        <v>3260400</v>
      </c>
      <c r="O765" s="2">
        <v>0</v>
      </c>
      <c r="P765" s="2">
        <v>0</v>
      </c>
      <c r="Q765" s="2">
        <v>0</v>
      </c>
      <c r="R765" s="2">
        <v>0</v>
      </c>
      <c r="S765" s="2">
        <v>0</v>
      </c>
      <c r="T765" s="2">
        <v>0</v>
      </c>
      <c r="U765" s="6">
        <f t="shared" si="1035"/>
        <v>6600</v>
      </c>
      <c r="V765" s="1"/>
      <c r="W765" s="1"/>
      <c r="X765" s="1"/>
      <c r="Y765" s="1"/>
      <c r="Z765" s="1"/>
      <c r="AA765" s="1"/>
      <c r="AB765" s="3"/>
    </row>
    <row r="766" spans="1:28" ht="22.9" customHeight="1" x14ac:dyDescent="0.25">
      <c r="A766" s="39" t="s">
        <v>1789</v>
      </c>
      <c r="B766" s="9" t="s">
        <v>838</v>
      </c>
      <c r="C766" s="7">
        <f t="shared" ref="C766" si="1093">D766+L766+N766+P766+R766+S766+T766</f>
        <v>4233240</v>
      </c>
      <c r="D766" s="2">
        <f t="shared" ref="D766" si="1094">SUM(E766:J766)</f>
        <v>0</v>
      </c>
      <c r="E766" s="2">
        <v>0</v>
      </c>
      <c r="F766" s="2">
        <v>0</v>
      </c>
      <c r="G766" s="2">
        <v>0</v>
      </c>
      <c r="H766" s="2">
        <v>0</v>
      </c>
      <c r="I766" s="2">
        <v>0</v>
      </c>
      <c r="J766" s="2">
        <v>0</v>
      </c>
      <c r="K766" s="21">
        <v>0</v>
      </c>
      <c r="L766" s="2">
        <v>0</v>
      </c>
      <c r="M766" s="2">
        <v>641.4</v>
      </c>
      <c r="N766" s="2">
        <f t="shared" si="1054"/>
        <v>4233240</v>
      </c>
      <c r="O766" s="2">
        <v>0</v>
      </c>
      <c r="P766" s="2">
        <v>0</v>
      </c>
      <c r="Q766" s="2">
        <v>0</v>
      </c>
      <c r="R766" s="2">
        <v>0</v>
      </c>
      <c r="S766" s="2">
        <v>0</v>
      </c>
      <c r="T766" s="2">
        <v>0</v>
      </c>
      <c r="U766" s="6">
        <f t="shared" si="1035"/>
        <v>6600</v>
      </c>
      <c r="V766" s="1"/>
      <c r="W766" s="1"/>
      <c r="X766" s="1"/>
      <c r="Y766" s="1"/>
      <c r="Z766" s="1"/>
      <c r="AA766" s="1"/>
      <c r="AB766" s="3"/>
    </row>
    <row r="767" spans="1:28" ht="22.9" customHeight="1" x14ac:dyDescent="0.25">
      <c r="A767" s="39" t="s">
        <v>1790</v>
      </c>
      <c r="B767" s="9" t="s">
        <v>839</v>
      </c>
      <c r="C767" s="7">
        <f t="shared" ref="C767" si="1095">D767+L767+N767+P767+R767+S767+T767</f>
        <v>4120700</v>
      </c>
      <c r="D767" s="2">
        <f t="shared" ref="D767" si="1096">SUM(E767:J767)</f>
        <v>0</v>
      </c>
      <c r="E767" s="2">
        <v>0</v>
      </c>
      <c r="F767" s="2">
        <v>0</v>
      </c>
      <c r="G767" s="2">
        <v>0</v>
      </c>
      <c r="H767" s="2">
        <v>0</v>
      </c>
      <c r="I767" s="2">
        <v>0</v>
      </c>
      <c r="J767" s="2">
        <v>0</v>
      </c>
      <c r="K767" s="21">
        <v>0</v>
      </c>
      <c r="L767" s="2">
        <v>0</v>
      </c>
      <c r="M767" s="2">
        <v>926</v>
      </c>
      <c r="N767" s="2">
        <f>M767*4450</f>
        <v>4120700</v>
      </c>
      <c r="O767" s="2">
        <v>0</v>
      </c>
      <c r="P767" s="2">
        <v>0</v>
      </c>
      <c r="Q767" s="2">
        <v>0</v>
      </c>
      <c r="R767" s="2">
        <v>0</v>
      </c>
      <c r="S767" s="2">
        <v>0</v>
      </c>
      <c r="T767" s="2">
        <v>0</v>
      </c>
      <c r="U767" s="6">
        <f t="shared" si="1035"/>
        <v>4450</v>
      </c>
      <c r="V767" s="1"/>
      <c r="W767" s="1"/>
      <c r="X767" s="1"/>
      <c r="Y767" s="1"/>
      <c r="Z767" s="1"/>
      <c r="AA767" s="1"/>
      <c r="AB767" s="3"/>
    </row>
    <row r="768" spans="1:28" ht="22.9" customHeight="1" x14ac:dyDescent="0.25">
      <c r="A768" s="39" t="s">
        <v>1791</v>
      </c>
      <c r="B768" s="9" t="s">
        <v>840</v>
      </c>
      <c r="C768" s="7">
        <f t="shared" ref="C768" si="1097">D768+L768+N768+P768+R768+S768+T768</f>
        <v>6019200</v>
      </c>
      <c r="D768" s="2">
        <f t="shared" ref="D768" si="1098">SUM(E768:J768)</f>
        <v>0</v>
      </c>
      <c r="E768" s="2">
        <v>0</v>
      </c>
      <c r="F768" s="2">
        <v>0</v>
      </c>
      <c r="G768" s="2">
        <v>0</v>
      </c>
      <c r="H768" s="2">
        <v>0</v>
      </c>
      <c r="I768" s="2">
        <v>0</v>
      </c>
      <c r="J768" s="2">
        <v>0</v>
      </c>
      <c r="K768" s="21">
        <v>0</v>
      </c>
      <c r="L768" s="2">
        <v>0</v>
      </c>
      <c r="M768" s="2">
        <v>912</v>
      </c>
      <c r="N768" s="2">
        <f>M768*6600</f>
        <v>6019200</v>
      </c>
      <c r="O768" s="2">
        <v>0</v>
      </c>
      <c r="P768" s="2">
        <v>0</v>
      </c>
      <c r="Q768" s="2">
        <v>0</v>
      </c>
      <c r="R768" s="2">
        <v>0</v>
      </c>
      <c r="S768" s="2">
        <v>0</v>
      </c>
      <c r="T768" s="2">
        <v>0</v>
      </c>
      <c r="U768" s="6">
        <f t="shared" si="1035"/>
        <v>6600</v>
      </c>
      <c r="V768" s="1"/>
      <c r="W768" s="1"/>
      <c r="X768" s="1"/>
      <c r="Y768" s="1"/>
      <c r="Z768" s="1"/>
      <c r="AA768" s="1"/>
      <c r="AB768" s="3"/>
    </row>
    <row r="769" spans="1:30" ht="45" customHeight="1" x14ac:dyDescent="0.25">
      <c r="A769" s="43" t="s">
        <v>944</v>
      </c>
      <c r="B769" s="43"/>
      <c r="C769" s="1">
        <f>SUM(C770:C774)</f>
        <v>9628000</v>
      </c>
      <c r="D769" s="1">
        <f t="shared" ref="D769:T769" si="1099">SUM(D770:D774)</f>
        <v>0</v>
      </c>
      <c r="E769" s="1">
        <f t="shared" si="1099"/>
        <v>0</v>
      </c>
      <c r="F769" s="1">
        <f t="shared" si="1099"/>
        <v>0</v>
      </c>
      <c r="G769" s="1">
        <f t="shared" si="1099"/>
        <v>0</v>
      </c>
      <c r="H769" s="1">
        <f t="shared" si="1099"/>
        <v>0</v>
      </c>
      <c r="I769" s="1">
        <f t="shared" si="1099"/>
        <v>0</v>
      </c>
      <c r="J769" s="1">
        <f t="shared" si="1099"/>
        <v>0</v>
      </c>
      <c r="K769" s="33">
        <f t="shared" si="1099"/>
        <v>0</v>
      </c>
      <c r="L769" s="1">
        <f t="shared" si="1099"/>
        <v>0</v>
      </c>
      <c r="M769" s="1">
        <f t="shared" si="1099"/>
        <v>300</v>
      </c>
      <c r="N769" s="1">
        <f t="shared" si="1099"/>
        <v>1980000</v>
      </c>
      <c r="O769" s="1">
        <f t="shared" si="1099"/>
        <v>0</v>
      </c>
      <c r="P769" s="1">
        <f t="shared" si="1099"/>
        <v>0</v>
      </c>
      <c r="Q769" s="1">
        <f t="shared" si="1099"/>
        <v>2390</v>
      </c>
      <c r="R769" s="1">
        <f t="shared" si="1099"/>
        <v>7648000</v>
      </c>
      <c r="S769" s="1">
        <f t="shared" si="1099"/>
        <v>0</v>
      </c>
      <c r="T769" s="1">
        <f t="shared" si="1099"/>
        <v>0</v>
      </c>
      <c r="U769" s="3" t="e">
        <f>C769+#REF!+#REF!</f>
        <v>#REF!</v>
      </c>
    </row>
    <row r="770" spans="1:30" ht="22.9" customHeight="1" x14ac:dyDescent="0.25">
      <c r="A770" s="39" t="s">
        <v>1792</v>
      </c>
      <c r="B770" s="9" t="s">
        <v>945</v>
      </c>
      <c r="C770" s="7">
        <f t="shared" ref="C770" si="1100">D770+L770+N770+P770+R770+S770+T770</f>
        <v>1600000</v>
      </c>
      <c r="D770" s="2">
        <f t="shared" ref="D770" si="1101">SUM(E770:J770)</f>
        <v>0</v>
      </c>
      <c r="E770" s="2">
        <v>0</v>
      </c>
      <c r="F770" s="2">
        <v>0</v>
      </c>
      <c r="G770" s="2">
        <v>0</v>
      </c>
      <c r="H770" s="2">
        <v>0</v>
      </c>
      <c r="I770" s="2">
        <v>0</v>
      </c>
      <c r="J770" s="2">
        <v>0</v>
      </c>
      <c r="K770" s="21">
        <v>0</v>
      </c>
      <c r="L770" s="2">
        <v>0</v>
      </c>
      <c r="M770" s="19">
        <v>0</v>
      </c>
      <c r="N770" s="2">
        <f t="shared" ref="N770" si="1102">M770*6600</f>
        <v>0</v>
      </c>
      <c r="O770" s="2">
        <v>0</v>
      </c>
      <c r="P770" s="2">
        <v>0</v>
      </c>
      <c r="Q770" s="19">
        <v>500</v>
      </c>
      <c r="R770" s="2">
        <f>Q770*3200</f>
        <v>1600000</v>
      </c>
      <c r="S770" s="8">
        <v>0</v>
      </c>
      <c r="T770" s="2">
        <v>0</v>
      </c>
      <c r="U770" s="6" t="e">
        <f t="shared" si="1035"/>
        <v>#DIV/0!</v>
      </c>
      <c r="V770" s="1"/>
      <c r="W770" s="1"/>
      <c r="X770" s="1"/>
      <c r="Y770" s="1"/>
      <c r="Z770" s="1"/>
      <c r="AA770" s="1"/>
      <c r="AB770" s="1"/>
      <c r="AC770" s="3"/>
    </row>
    <row r="771" spans="1:30" ht="22.9" customHeight="1" x14ac:dyDescent="0.25">
      <c r="A771" s="39" t="s">
        <v>1793</v>
      </c>
      <c r="B771" s="9" t="s">
        <v>946</v>
      </c>
      <c r="C771" s="7">
        <f t="shared" ref="C771:C774" si="1103">D771+L771+N771+P771+R771+S771+T771</f>
        <v>1600000</v>
      </c>
      <c r="D771" s="2">
        <f t="shared" ref="D771:D774" si="1104">SUM(E771:J771)</f>
        <v>0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  <c r="J771" s="2">
        <v>0</v>
      </c>
      <c r="K771" s="21">
        <v>0</v>
      </c>
      <c r="L771" s="2">
        <v>0</v>
      </c>
      <c r="M771" s="19">
        <v>0</v>
      </c>
      <c r="N771" s="2">
        <f t="shared" ref="N771:N774" si="1105">M771*6600</f>
        <v>0</v>
      </c>
      <c r="O771" s="2">
        <v>0</v>
      </c>
      <c r="P771" s="2">
        <v>0</v>
      </c>
      <c r="Q771" s="19">
        <v>500</v>
      </c>
      <c r="R771" s="2">
        <f t="shared" ref="R771:R776" si="1106">Q771*3200</f>
        <v>1600000</v>
      </c>
      <c r="S771" s="8">
        <v>0</v>
      </c>
      <c r="T771" s="2">
        <v>0</v>
      </c>
      <c r="U771" s="6" t="e">
        <f t="shared" si="1035"/>
        <v>#DIV/0!</v>
      </c>
      <c r="V771" s="1"/>
      <c r="W771" s="1"/>
      <c r="X771" s="1"/>
      <c r="Y771" s="1"/>
      <c r="Z771" s="1"/>
      <c r="AA771" s="1"/>
      <c r="AB771" s="1"/>
      <c r="AC771" s="3"/>
    </row>
    <row r="772" spans="1:30" ht="22.9" customHeight="1" x14ac:dyDescent="0.25">
      <c r="A772" s="39" t="s">
        <v>1794</v>
      </c>
      <c r="B772" s="9" t="s">
        <v>947</v>
      </c>
      <c r="C772" s="7">
        <f t="shared" si="1103"/>
        <v>1600000</v>
      </c>
      <c r="D772" s="2">
        <f t="shared" si="1104"/>
        <v>0</v>
      </c>
      <c r="E772" s="2">
        <v>0</v>
      </c>
      <c r="F772" s="2">
        <v>0</v>
      </c>
      <c r="G772" s="2">
        <v>0</v>
      </c>
      <c r="H772" s="2">
        <v>0</v>
      </c>
      <c r="I772" s="2">
        <v>0</v>
      </c>
      <c r="J772" s="2">
        <v>0</v>
      </c>
      <c r="K772" s="21">
        <v>0</v>
      </c>
      <c r="L772" s="2">
        <v>0</v>
      </c>
      <c r="M772" s="19">
        <v>0</v>
      </c>
      <c r="N772" s="2">
        <f t="shared" si="1105"/>
        <v>0</v>
      </c>
      <c r="O772" s="2">
        <v>0</v>
      </c>
      <c r="P772" s="2">
        <v>0</v>
      </c>
      <c r="Q772" s="19">
        <v>500</v>
      </c>
      <c r="R772" s="2">
        <f t="shared" si="1106"/>
        <v>1600000</v>
      </c>
      <c r="S772" s="8">
        <v>0</v>
      </c>
      <c r="T772" s="2">
        <v>0</v>
      </c>
      <c r="U772" s="6" t="e">
        <f t="shared" si="1035"/>
        <v>#DIV/0!</v>
      </c>
      <c r="V772" s="1"/>
      <c r="W772" s="1"/>
      <c r="X772" s="1"/>
      <c r="Y772" s="1"/>
      <c r="Z772" s="1"/>
      <c r="AA772" s="1"/>
      <c r="AB772" s="1"/>
      <c r="AC772" s="3"/>
    </row>
    <row r="773" spans="1:30" ht="22.9" customHeight="1" x14ac:dyDescent="0.25">
      <c r="A773" s="39" t="s">
        <v>1795</v>
      </c>
      <c r="B773" s="9" t="s">
        <v>948</v>
      </c>
      <c r="C773" s="7">
        <f t="shared" si="1103"/>
        <v>3580000</v>
      </c>
      <c r="D773" s="2">
        <f t="shared" si="1104"/>
        <v>0</v>
      </c>
      <c r="E773" s="2">
        <v>0</v>
      </c>
      <c r="F773" s="2">
        <v>0</v>
      </c>
      <c r="G773" s="2">
        <v>0</v>
      </c>
      <c r="H773" s="2">
        <v>0</v>
      </c>
      <c r="I773" s="2">
        <v>0</v>
      </c>
      <c r="J773" s="2">
        <v>0</v>
      </c>
      <c r="K773" s="21">
        <v>0</v>
      </c>
      <c r="L773" s="2">
        <v>0</v>
      </c>
      <c r="M773" s="19">
        <v>300</v>
      </c>
      <c r="N773" s="2">
        <f t="shared" si="1105"/>
        <v>1980000</v>
      </c>
      <c r="O773" s="2">
        <v>0</v>
      </c>
      <c r="P773" s="2">
        <v>0</v>
      </c>
      <c r="Q773" s="19">
        <v>500</v>
      </c>
      <c r="R773" s="2">
        <f t="shared" si="1106"/>
        <v>1600000</v>
      </c>
      <c r="S773" s="8">
        <v>0</v>
      </c>
      <c r="T773" s="2">
        <v>0</v>
      </c>
      <c r="U773" s="6">
        <f t="shared" si="1035"/>
        <v>6600</v>
      </c>
      <c r="V773" s="1"/>
      <c r="W773" s="1"/>
      <c r="X773" s="1"/>
      <c r="Y773" s="1"/>
      <c r="Z773" s="1"/>
      <c r="AA773" s="1"/>
      <c r="AB773" s="1"/>
      <c r="AC773" s="3"/>
    </row>
    <row r="774" spans="1:30" ht="22.9" customHeight="1" x14ac:dyDescent="0.25">
      <c r="A774" s="39" t="s">
        <v>1796</v>
      </c>
      <c r="B774" s="9" t="s">
        <v>949</v>
      </c>
      <c r="C774" s="7">
        <f t="shared" si="1103"/>
        <v>1248000</v>
      </c>
      <c r="D774" s="2">
        <f t="shared" si="1104"/>
        <v>0</v>
      </c>
      <c r="E774" s="2">
        <v>0</v>
      </c>
      <c r="F774" s="2">
        <v>0</v>
      </c>
      <c r="G774" s="2">
        <v>0</v>
      </c>
      <c r="H774" s="2">
        <v>0</v>
      </c>
      <c r="I774" s="2">
        <v>0</v>
      </c>
      <c r="J774" s="2">
        <v>0</v>
      </c>
      <c r="K774" s="21">
        <v>0</v>
      </c>
      <c r="L774" s="2">
        <v>0</v>
      </c>
      <c r="M774" s="19">
        <v>0</v>
      </c>
      <c r="N774" s="2">
        <f t="shared" si="1105"/>
        <v>0</v>
      </c>
      <c r="O774" s="2">
        <v>0</v>
      </c>
      <c r="P774" s="2">
        <v>0</v>
      </c>
      <c r="Q774" s="19">
        <v>390</v>
      </c>
      <c r="R774" s="2">
        <f t="shared" si="1106"/>
        <v>1248000</v>
      </c>
      <c r="S774" s="8">
        <v>0</v>
      </c>
      <c r="T774" s="2">
        <v>0</v>
      </c>
      <c r="U774" s="6" t="e">
        <f t="shared" si="1035"/>
        <v>#DIV/0!</v>
      </c>
      <c r="V774" s="1"/>
      <c r="W774" s="1"/>
      <c r="X774" s="1"/>
      <c r="Y774" s="1"/>
      <c r="Z774" s="1"/>
      <c r="AA774" s="1"/>
      <c r="AB774" s="1"/>
      <c r="AC774" s="3"/>
    </row>
    <row r="775" spans="1:30" ht="45" customHeight="1" x14ac:dyDescent="0.25">
      <c r="A775" s="43" t="s">
        <v>959</v>
      </c>
      <c r="B775" s="43"/>
      <c r="C775" s="1">
        <f>SUM(C776)</f>
        <v>2838000</v>
      </c>
      <c r="D775" s="1">
        <f t="shared" ref="D775:T775" si="1107">SUM(D776)</f>
        <v>0</v>
      </c>
      <c r="E775" s="1">
        <f t="shared" si="1107"/>
        <v>0</v>
      </c>
      <c r="F775" s="1">
        <f t="shared" si="1107"/>
        <v>0</v>
      </c>
      <c r="G775" s="1">
        <f t="shared" si="1107"/>
        <v>0</v>
      </c>
      <c r="H775" s="1">
        <f t="shared" si="1107"/>
        <v>0</v>
      </c>
      <c r="I775" s="1">
        <f t="shared" si="1107"/>
        <v>0</v>
      </c>
      <c r="J775" s="1">
        <f t="shared" si="1107"/>
        <v>0</v>
      </c>
      <c r="K775" s="33">
        <f t="shared" si="1107"/>
        <v>0</v>
      </c>
      <c r="L775" s="1">
        <f t="shared" si="1107"/>
        <v>0</v>
      </c>
      <c r="M775" s="1">
        <f t="shared" si="1107"/>
        <v>430</v>
      </c>
      <c r="N775" s="1">
        <f t="shared" si="1107"/>
        <v>2838000</v>
      </c>
      <c r="O775" s="1">
        <f t="shared" si="1107"/>
        <v>0</v>
      </c>
      <c r="P775" s="1">
        <f t="shared" si="1107"/>
        <v>0</v>
      </c>
      <c r="Q775" s="1">
        <f t="shared" si="1107"/>
        <v>0</v>
      </c>
      <c r="R775" s="1">
        <f t="shared" si="1107"/>
        <v>0</v>
      </c>
      <c r="S775" s="1">
        <f t="shared" si="1107"/>
        <v>0</v>
      </c>
      <c r="T775" s="1">
        <f t="shared" si="1107"/>
        <v>0</v>
      </c>
      <c r="U775" s="3" t="e">
        <f>C775+#REF!+#REF!</f>
        <v>#REF!</v>
      </c>
    </row>
    <row r="776" spans="1:30" ht="22.9" customHeight="1" x14ac:dyDescent="0.25">
      <c r="A776" s="39" t="s">
        <v>1797</v>
      </c>
      <c r="B776" s="9" t="s">
        <v>960</v>
      </c>
      <c r="C776" s="7">
        <f t="shared" ref="C776" si="1108">D776+L776+N776+P776+R776+S776+T776</f>
        <v>2838000</v>
      </c>
      <c r="D776" s="2">
        <f t="shared" ref="D776" si="1109">SUM(E776:J776)</f>
        <v>0</v>
      </c>
      <c r="E776" s="2">
        <v>0</v>
      </c>
      <c r="F776" s="2">
        <v>0</v>
      </c>
      <c r="G776" s="2">
        <v>0</v>
      </c>
      <c r="H776" s="2">
        <v>0</v>
      </c>
      <c r="I776" s="2">
        <v>0</v>
      </c>
      <c r="J776" s="2">
        <v>0</v>
      </c>
      <c r="K776" s="21">
        <v>0</v>
      </c>
      <c r="L776" s="2">
        <v>0</v>
      </c>
      <c r="M776" s="19">
        <v>430</v>
      </c>
      <c r="N776" s="2">
        <f t="shared" ref="N776" si="1110">M776*6600</f>
        <v>2838000</v>
      </c>
      <c r="O776" s="2">
        <v>0</v>
      </c>
      <c r="P776" s="2">
        <v>0</v>
      </c>
      <c r="Q776" s="19">
        <v>0</v>
      </c>
      <c r="R776" s="2">
        <f t="shared" si="1106"/>
        <v>0</v>
      </c>
      <c r="S776" s="8">
        <v>0</v>
      </c>
      <c r="T776" s="2">
        <v>0</v>
      </c>
      <c r="U776" s="6">
        <f t="shared" si="1035"/>
        <v>6600</v>
      </c>
      <c r="V776" s="1"/>
      <c r="W776" s="1"/>
      <c r="X776" s="1"/>
      <c r="Y776" s="1"/>
      <c r="Z776" s="1"/>
      <c r="AA776" s="1"/>
      <c r="AB776" s="1"/>
      <c r="AC776" s="3"/>
    </row>
    <row r="777" spans="1:30" ht="45" customHeight="1" x14ac:dyDescent="0.25">
      <c r="A777" s="43" t="s">
        <v>961</v>
      </c>
      <c r="B777" s="43"/>
      <c r="C777" s="1">
        <f>SUM(C778:C781)</f>
        <v>18281780</v>
      </c>
      <c r="D777" s="1">
        <f t="shared" ref="D777:T777" si="1111">SUM(D778:D781)</f>
        <v>4016100</v>
      </c>
      <c r="E777" s="1">
        <f t="shared" si="1111"/>
        <v>937090</v>
      </c>
      <c r="F777" s="1">
        <f t="shared" si="1111"/>
        <v>1740310</v>
      </c>
      <c r="G777" s="1">
        <f t="shared" si="1111"/>
        <v>401610</v>
      </c>
      <c r="H777" s="1">
        <f t="shared" si="1111"/>
        <v>535480</v>
      </c>
      <c r="I777" s="1">
        <f t="shared" si="1111"/>
        <v>401610</v>
      </c>
      <c r="J777" s="1">
        <f t="shared" si="1111"/>
        <v>0</v>
      </c>
      <c r="K777" s="33">
        <f t="shared" si="1111"/>
        <v>0</v>
      </c>
      <c r="L777" s="1">
        <f t="shared" si="1111"/>
        <v>0</v>
      </c>
      <c r="M777" s="1">
        <f t="shared" si="1111"/>
        <v>1254</v>
      </c>
      <c r="N777" s="1">
        <f t="shared" si="1111"/>
        <v>8276400</v>
      </c>
      <c r="O777" s="1">
        <f t="shared" si="1111"/>
        <v>50</v>
      </c>
      <c r="P777" s="1">
        <f t="shared" si="1111"/>
        <v>60000</v>
      </c>
      <c r="Q777" s="1">
        <f t="shared" si="1111"/>
        <v>1727.9</v>
      </c>
      <c r="R777" s="1">
        <f t="shared" si="1111"/>
        <v>5529280</v>
      </c>
      <c r="S777" s="1">
        <f t="shared" si="1111"/>
        <v>0</v>
      </c>
      <c r="T777" s="1">
        <f t="shared" si="1111"/>
        <v>400000</v>
      </c>
      <c r="U777" s="3" t="e">
        <f>C777+#REF!+#REF!</f>
        <v>#REF!</v>
      </c>
    </row>
    <row r="778" spans="1:30" ht="22.9" customHeight="1" x14ac:dyDescent="0.25">
      <c r="A778" s="39" t="s">
        <v>1798</v>
      </c>
      <c r="B778" s="9" t="s">
        <v>964</v>
      </c>
      <c r="C778" s="7">
        <f t="shared" ref="C778" si="1112">D778+L778+N778+P778+R778+S778+T778</f>
        <v>5468080</v>
      </c>
      <c r="D778" s="2">
        <f t="shared" ref="D778" si="1113">SUM(E778:J778)</f>
        <v>1218600</v>
      </c>
      <c r="E778" s="2">
        <f>700*406.2</f>
        <v>284340</v>
      </c>
      <c r="F778" s="2">
        <f>1300*406.2</f>
        <v>528060</v>
      </c>
      <c r="G778" s="2">
        <f>300*406.2</f>
        <v>121860</v>
      </c>
      <c r="H778" s="2">
        <f>400*406.2</f>
        <v>162480</v>
      </c>
      <c r="I778" s="2">
        <f>300*406.2</f>
        <v>121860</v>
      </c>
      <c r="J778" s="2">
        <v>0</v>
      </c>
      <c r="K778" s="21">
        <v>0</v>
      </c>
      <c r="L778" s="2">
        <v>0</v>
      </c>
      <c r="M778" s="8">
        <v>385</v>
      </c>
      <c r="N778" s="2">
        <f t="shared" ref="N778" si="1114">M778*6600</f>
        <v>2541000</v>
      </c>
      <c r="O778" s="2">
        <v>50</v>
      </c>
      <c r="P778" s="2">
        <f>O778*1200</f>
        <v>60000</v>
      </c>
      <c r="Q778" s="2">
        <v>483.9</v>
      </c>
      <c r="R778" s="2">
        <f>Q778*3200</f>
        <v>1548480</v>
      </c>
      <c r="S778" s="8">
        <v>0</v>
      </c>
      <c r="T778" s="2">
        <v>100000</v>
      </c>
      <c r="U778" s="6">
        <f t="shared" si="1035"/>
        <v>6600</v>
      </c>
      <c r="V778" s="1"/>
      <c r="W778" s="1"/>
      <c r="X778" s="1"/>
      <c r="Y778" s="1"/>
      <c r="Z778" s="1"/>
      <c r="AA778" s="1"/>
      <c r="AB778" s="1"/>
      <c r="AC778" s="1"/>
      <c r="AD778" s="3"/>
    </row>
    <row r="779" spans="1:30" ht="22.9" customHeight="1" x14ac:dyDescent="0.25">
      <c r="A779" s="39" t="s">
        <v>1799</v>
      </c>
      <c r="B779" s="9" t="s">
        <v>965</v>
      </c>
      <c r="C779" s="7">
        <f t="shared" ref="C779:C780" si="1115">D779+L779+N779+P779+R779+S779+T779</f>
        <v>2521700</v>
      </c>
      <c r="D779" s="2">
        <f t="shared" ref="D779:D780" si="1116">SUM(E779:J779)</f>
        <v>481500</v>
      </c>
      <c r="E779" s="2">
        <f>700*160.5</f>
        <v>112350</v>
      </c>
      <c r="F779" s="2">
        <f>1300*160.5</f>
        <v>208650</v>
      </c>
      <c r="G779" s="2">
        <f>300*160.5</f>
        <v>48150</v>
      </c>
      <c r="H779" s="2">
        <f>400*160.5</f>
        <v>64200</v>
      </c>
      <c r="I779" s="2">
        <f>300*160.5</f>
        <v>48150</v>
      </c>
      <c r="J779" s="2">
        <v>0</v>
      </c>
      <c r="K779" s="21">
        <v>0</v>
      </c>
      <c r="L779" s="2">
        <v>0</v>
      </c>
      <c r="M779" s="8">
        <v>165</v>
      </c>
      <c r="N779" s="2">
        <f t="shared" ref="N779:N780" si="1117">M779*6600</f>
        <v>1089000</v>
      </c>
      <c r="O779" s="2">
        <v>0</v>
      </c>
      <c r="P779" s="2">
        <f>O779*1200</f>
        <v>0</v>
      </c>
      <c r="Q779" s="2">
        <v>266</v>
      </c>
      <c r="R779" s="2">
        <f>Q779*3200</f>
        <v>851200</v>
      </c>
      <c r="S779" s="8">
        <v>0</v>
      </c>
      <c r="T779" s="2">
        <v>100000</v>
      </c>
      <c r="U779" s="6">
        <f t="shared" si="1035"/>
        <v>6600</v>
      </c>
      <c r="V779" s="1"/>
      <c r="W779" s="1"/>
      <c r="X779" s="1"/>
      <c r="Y779" s="1"/>
      <c r="Z779" s="1"/>
      <c r="AA779" s="1"/>
      <c r="AB779" s="1"/>
      <c r="AC779" s="1"/>
      <c r="AD779" s="3"/>
    </row>
    <row r="780" spans="1:30" ht="22.9" customHeight="1" x14ac:dyDescent="0.25">
      <c r="A780" s="39" t="s">
        <v>1800</v>
      </c>
      <c r="B780" s="9" t="s">
        <v>966</v>
      </c>
      <c r="C780" s="7">
        <f t="shared" si="1115"/>
        <v>5146000</v>
      </c>
      <c r="D780" s="2">
        <f t="shared" si="1116"/>
        <v>1158000</v>
      </c>
      <c r="E780" s="2">
        <f>700*386</f>
        <v>270200</v>
      </c>
      <c r="F780" s="2">
        <f>1300*386</f>
        <v>501800</v>
      </c>
      <c r="G780" s="2">
        <f>300*386</f>
        <v>115800</v>
      </c>
      <c r="H780" s="2">
        <f>400*386</f>
        <v>154400</v>
      </c>
      <c r="I780" s="2">
        <f>300*386</f>
        <v>115800</v>
      </c>
      <c r="J780" s="2">
        <v>0</v>
      </c>
      <c r="K780" s="21">
        <v>0</v>
      </c>
      <c r="L780" s="2">
        <v>0</v>
      </c>
      <c r="M780" s="8">
        <v>352</v>
      </c>
      <c r="N780" s="2">
        <f t="shared" si="1117"/>
        <v>2323200</v>
      </c>
      <c r="O780" s="2">
        <v>0</v>
      </c>
      <c r="P780" s="2">
        <v>0</v>
      </c>
      <c r="Q780" s="2">
        <v>489</v>
      </c>
      <c r="R780" s="2">
        <f>Q780*3200</f>
        <v>1564800</v>
      </c>
      <c r="S780" s="8">
        <v>0</v>
      </c>
      <c r="T780" s="2">
        <v>100000</v>
      </c>
      <c r="U780" s="6">
        <f t="shared" si="1035"/>
        <v>6600</v>
      </c>
      <c r="V780" s="1"/>
      <c r="W780" s="1"/>
      <c r="X780" s="1"/>
      <c r="Y780" s="1"/>
      <c r="Z780" s="1"/>
      <c r="AA780" s="1"/>
      <c r="AB780" s="1"/>
      <c r="AC780" s="1"/>
      <c r="AD780" s="3"/>
    </row>
    <row r="781" spans="1:30" ht="22.9" customHeight="1" x14ac:dyDescent="0.25">
      <c r="A781" s="39" t="s">
        <v>1801</v>
      </c>
      <c r="B781" s="9" t="s">
        <v>967</v>
      </c>
      <c r="C781" s="7">
        <f t="shared" ref="C781" si="1118">D781+L781+N781+P781+R781+S781+T781</f>
        <v>5146000</v>
      </c>
      <c r="D781" s="2">
        <f t="shared" ref="D781" si="1119">SUM(E781:J781)</f>
        <v>1158000</v>
      </c>
      <c r="E781" s="2">
        <f>700*386</f>
        <v>270200</v>
      </c>
      <c r="F781" s="2">
        <f>1300*386</f>
        <v>501800</v>
      </c>
      <c r="G781" s="2">
        <f>300*386</f>
        <v>115800</v>
      </c>
      <c r="H781" s="2">
        <f>400*386</f>
        <v>154400</v>
      </c>
      <c r="I781" s="2">
        <f>300*386</f>
        <v>115800</v>
      </c>
      <c r="J781" s="2">
        <v>0</v>
      </c>
      <c r="K781" s="21">
        <v>0</v>
      </c>
      <c r="L781" s="2">
        <v>0</v>
      </c>
      <c r="M781" s="8">
        <v>352</v>
      </c>
      <c r="N781" s="2">
        <f t="shared" ref="N781" si="1120">M781*6600</f>
        <v>2323200</v>
      </c>
      <c r="O781" s="2">
        <v>0</v>
      </c>
      <c r="P781" s="2">
        <v>0</v>
      </c>
      <c r="Q781" s="2">
        <v>489</v>
      </c>
      <c r="R781" s="2">
        <f>Q781*3200</f>
        <v>1564800</v>
      </c>
      <c r="S781" s="8">
        <v>0</v>
      </c>
      <c r="T781" s="2">
        <v>100000</v>
      </c>
      <c r="U781" s="6">
        <f t="shared" si="1035"/>
        <v>6600</v>
      </c>
      <c r="V781" s="1"/>
      <c r="W781" s="1"/>
      <c r="X781" s="1"/>
      <c r="Y781" s="1"/>
      <c r="Z781" s="1"/>
      <c r="AA781" s="1"/>
      <c r="AB781" s="1"/>
      <c r="AC781" s="1"/>
      <c r="AD781" s="3"/>
    </row>
    <row r="782" spans="1:30" ht="45" customHeight="1" x14ac:dyDescent="0.25">
      <c r="A782" s="43" t="s">
        <v>977</v>
      </c>
      <c r="B782" s="43"/>
      <c r="C782" s="1">
        <f>SUM(C783:C784)</f>
        <v>4950000</v>
      </c>
      <c r="D782" s="1">
        <f t="shared" ref="D782:T782" si="1121">SUM(D783:D784)</f>
        <v>0</v>
      </c>
      <c r="E782" s="1">
        <f t="shared" si="1121"/>
        <v>0</v>
      </c>
      <c r="F782" s="1">
        <f t="shared" si="1121"/>
        <v>0</v>
      </c>
      <c r="G782" s="1">
        <f t="shared" si="1121"/>
        <v>0</v>
      </c>
      <c r="H782" s="1">
        <f t="shared" si="1121"/>
        <v>0</v>
      </c>
      <c r="I782" s="1">
        <f t="shared" si="1121"/>
        <v>0</v>
      </c>
      <c r="J782" s="1">
        <f t="shared" si="1121"/>
        <v>0</v>
      </c>
      <c r="K782" s="33">
        <f t="shared" si="1121"/>
        <v>0</v>
      </c>
      <c r="L782" s="1">
        <f t="shared" si="1121"/>
        <v>0</v>
      </c>
      <c r="M782" s="1">
        <f t="shared" si="1121"/>
        <v>750</v>
      </c>
      <c r="N782" s="1">
        <f t="shared" si="1121"/>
        <v>4950000</v>
      </c>
      <c r="O782" s="1">
        <f t="shared" si="1121"/>
        <v>0</v>
      </c>
      <c r="P782" s="1">
        <f t="shared" si="1121"/>
        <v>0</v>
      </c>
      <c r="Q782" s="1">
        <f t="shared" si="1121"/>
        <v>0</v>
      </c>
      <c r="R782" s="1">
        <f t="shared" si="1121"/>
        <v>0</v>
      </c>
      <c r="S782" s="1">
        <f t="shared" si="1121"/>
        <v>0</v>
      </c>
      <c r="T782" s="1">
        <f t="shared" si="1121"/>
        <v>0</v>
      </c>
      <c r="U782" s="3" t="e">
        <f>C782+#REF!+#REF!</f>
        <v>#REF!</v>
      </c>
    </row>
    <row r="783" spans="1:30" ht="22.9" customHeight="1" x14ac:dyDescent="0.25">
      <c r="A783" s="39" t="s">
        <v>1802</v>
      </c>
      <c r="B783" s="9" t="s">
        <v>980</v>
      </c>
      <c r="C783" s="7">
        <f t="shared" ref="C783:C784" si="1122">D783+L783+N783+P783+R783+S783+T783</f>
        <v>2310000</v>
      </c>
      <c r="D783" s="2">
        <f t="shared" ref="D783:D784" si="1123">SUM(E783:J783)</f>
        <v>0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  <c r="J783" s="2">
        <v>0</v>
      </c>
      <c r="K783" s="21">
        <v>0</v>
      </c>
      <c r="L783" s="2">
        <v>0</v>
      </c>
      <c r="M783" s="19">
        <v>350</v>
      </c>
      <c r="N783" s="2">
        <f t="shared" ref="N783:N784" si="1124">M783*6600</f>
        <v>2310000</v>
      </c>
      <c r="O783" s="2">
        <v>0</v>
      </c>
      <c r="P783" s="2">
        <v>0</v>
      </c>
      <c r="Q783" s="19">
        <v>0</v>
      </c>
      <c r="R783" s="2">
        <f t="shared" ref="R783:R784" si="1125">Q783*3200</f>
        <v>0</v>
      </c>
      <c r="S783" s="8">
        <v>0</v>
      </c>
      <c r="T783" s="2">
        <v>0</v>
      </c>
      <c r="U783" s="6">
        <f t="shared" si="1035"/>
        <v>6600</v>
      </c>
      <c r="V783" s="1"/>
      <c r="W783" s="1"/>
      <c r="X783" s="1"/>
      <c r="Y783" s="1"/>
      <c r="Z783" s="1"/>
      <c r="AA783" s="1"/>
      <c r="AB783" s="1"/>
      <c r="AC783" s="3"/>
    </row>
    <row r="784" spans="1:30" ht="22.9" customHeight="1" x14ac:dyDescent="0.25">
      <c r="A784" s="39" t="s">
        <v>1803</v>
      </c>
      <c r="B784" s="9" t="s">
        <v>981</v>
      </c>
      <c r="C784" s="7">
        <f t="shared" si="1122"/>
        <v>2640000</v>
      </c>
      <c r="D784" s="2">
        <f t="shared" si="1123"/>
        <v>0</v>
      </c>
      <c r="E784" s="2">
        <v>0</v>
      </c>
      <c r="F784" s="2">
        <v>0</v>
      </c>
      <c r="G784" s="2">
        <v>0</v>
      </c>
      <c r="H784" s="2">
        <v>0</v>
      </c>
      <c r="I784" s="2">
        <v>0</v>
      </c>
      <c r="J784" s="2">
        <v>0</v>
      </c>
      <c r="K784" s="21">
        <v>0</v>
      </c>
      <c r="L784" s="2">
        <v>0</v>
      </c>
      <c r="M784" s="19">
        <v>400</v>
      </c>
      <c r="N784" s="2">
        <f t="shared" si="1124"/>
        <v>2640000</v>
      </c>
      <c r="O784" s="2">
        <v>0</v>
      </c>
      <c r="P784" s="2">
        <v>0</v>
      </c>
      <c r="Q784" s="19">
        <v>0</v>
      </c>
      <c r="R784" s="2">
        <f t="shared" si="1125"/>
        <v>0</v>
      </c>
      <c r="S784" s="8">
        <v>0</v>
      </c>
      <c r="T784" s="2">
        <v>0</v>
      </c>
      <c r="U784" s="6">
        <f t="shared" si="1035"/>
        <v>6600</v>
      </c>
      <c r="V784" s="1"/>
      <c r="W784" s="1"/>
      <c r="X784" s="1"/>
      <c r="Y784" s="1"/>
      <c r="Z784" s="1"/>
      <c r="AA784" s="1"/>
      <c r="AB784" s="1"/>
      <c r="AC784" s="3"/>
    </row>
    <row r="785" spans="1:29" ht="45" customHeight="1" x14ac:dyDescent="0.25">
      <c r="A785" s="43" t="s">
        <v>984</v>
      </c>
      <c r="B785" s="43"/>
      <c r="C785" s="1">
        <f>SUM(C786:C788)</f>
        <v>10021200</v>
      </c>
      <c r="D785" s="1">
        <f t="shared" ref="D785:T785" si="1126">SUM(D786:D788)</f>
        <v>0</v>
      </c>
      <c r="E785" s="1">
        <f t="shared" si="1126"/>
        <v>0</v>
      </c>
      <c r="F785" s="1">
        <f t="shared" si="1126"/>
        <v>0</v>
      </c>
      <c r="G785" s="1">
        <f t="shared" si="1126"/>
        <v>0</v>
      </c>
      <c r="H785" s="1">
        <f t="shared" si="1126"/>
        <v>0</v>
      </c>
      <c r="I785" s="1">
        <f t="shared" si="1126"/>
        <v>0</v>
      </c>
      <c r="J785" s="1">
        <f t="shared" si="1126"/>
        <v>0</v>
      </c>
      <c r="K785" s="33">
        <f t="shared" si="1126"/>
        <v>0</v>
      </c>
      <c r="L785" s="1">
        <f t="shared" si="1126"/>
        <v>0</v>
      </c>
      <c r="M785" s="1">
        <f t="shared" si="1126"/>
        <v>810</v>
      </c>
      <c r="N785" s="1">
        <f t="shared" si="1126"/>
        <v>5346000</v>
      </c>
      <c r="O785" s="1">
        <f t="shared" si="1126"/>
        <v>0</v>
      </c>
      <c r="P785" s="1">
        <f t="shared" si="1126"/>
        <v>0</v>
      </c>
      <c r="Q785" s="1">
        <f t="shared" si="1126"/>
        <v>1461</v>
      </c>
      <c r="R785" s="1">
        <f t="shared" si="1126"/>
        <v>4675200</v>
      </c>
      <c r="S785" s="1">
        <f t="shared" si="1126"/>
        <v>0</v>
      </c>
      <c r="T785" s="1">
        <f t="shared" si="1126"/>
        <v>0</v>
      </c>
      <c r="U785" s="3" t="e">
        <f>C785+#REF!+#REF!</f>
        <v>#REF!</v>
      </c>
    </row>
    <row r="786" spans="1:29" ht="22.9" customHeight="1" x14ac:dyDescent="0.25">
      <c r="A786" s="39" t="s">
        <v>1804</v>
      </c>
      <c r="B786" s="9" t="s">
        <v>985</v>
      </c>
      <c r="C786" s="7">
        <f t="shared" ref="C786:C788" si="1127">D786+L786+N786+P786+R786+S786+T786</f>
        <v>3376200</v>
      </c>
      <c r="D786" s="2">
        <f t="shared" ref="D786:D788" si="1128">SUM(E786:J786)</f>
        <v>0</v>
      </c>
      <c r="E786" s="2">
        <v>0</v>
      </c>
      <c r="F786" s="2">
        <v>0</v>
      </c>
      <c r="G786" s="2">
        <v>0</v>
      </c>
      <c r="H786" s="2">
        <v>0</v>
      </c>
      <c r="I786" s="2">
        <v>0</v>
      </c>
      <c r="J786" s="2">
        <v>0</v>
      </c>
      <c r="K786" s="21">
        <v>0</v>
      </c>
      <c r="L786" s="2">
        <v>0</v>
      </c>
      <c r="M786" s="19">
        <v>273</v>
      </c>
      <c r="N786" s="2">
        <f t="shared" ref="N786:N788" si="1129">M786*6600</f>
        <v>1801800</v>
      </c>
      <c r="O786" s="2">
        <v>0</v>
      </c>
      <c r="P786" s="2">
        <v>0</v>
      </c>
      <c r="Q786" s="19">
        <v>492</v>
      </c>
      <c r="R786" s="2">
        <f t="shared" ref="R786:R788" si="1130">Q786*3200</f>
        <v>1574400</v>
      </c>
      <c r="S786" s="8">
        <v>0</v>
      </c>
      <c r="T786" s="2">
        <v>0</v>
      </c>
      <c r="U786" s="6">
        <f t="shared" si="1035"/>
        <v>6600</v>
      </c>
      <c r="V786" s="1"/>
      <c r="W786" s="1"/>
      <c r="X786" s="1"/>
      <c r="Y786" s="1"/>
      <c r="Z786" s="1"/>
      <c r="AA786" s="1"/>
      <c r="AB786" s="1"/>
      <c r="AC786" s="3"/>
    </row>
    <row r="787" spans="1:29" ht="22.9" customHeight="1" x14ac:dyDescent="0.25">
      <c r="A787" s="39" t="s">
        <v>1805</v>
      </c>
      <c r="B787" s="9" t="s">
        <v>986</v>
      </c>
      <c r="C787" s="7">
        <f t="shared" si="1127"/>
        <v>3402200</v>
      </c>
      <c r="D787" s="2">
        <f t="shared" si="1128"/>
        <v>0</v>
      </c>
      <c r="E787" s="2">
        <v>0</v>
      </c>
      <c r="F787" s="2">
        <v>0</v>
      </c>
      <c r="G787" s="2">
        <v>0</v>
      </c>
      <c r="H787" s="2">
        <v>0</v>
      </c>
      <c r="I787" s="2">
        <v>0</v>
      </c>
      <c r="J787" s="2">
        <v>0</v>
      </c>
      <c r="K787" s="21">
        <v>0</v>
      </c>
      <c r="L787" s="2">
        <v>0</v>
      </c>
      <c r="M787" s="19">
        <v>275</v>
      </c>
      <c r="N787" s="2">
        <f t="shared" si="1129"/>
        <v>1815000</v>
      </c>
      <c r="O787" s="2">
        <v>0</v>
      </c>
      <c r="P787" s="2">
        <v>0</v>
      </c>
      <c r="Q787" s="19">
        <v>496</v>
      </c>
      <c r="R787" s="2">
        <f t="shared" si="1130"/>
        <v>1587200</v>
      </c>
      <c r="S787" s="8">
        <v>0</v>
      </c>
      <c r="T787" s="2">
        <v>0</v>
      </c>
      <c r="U787" s="6">
        <f t="shared" si="1035"/>
        <v>6600</v>
      </c>
      <c r="V787" s="1"/>
      <c r="W787" s="1"/>
      <c r="X787" s="1"/>
      <c r="Y787" s="1"/>
      <c r="Z787" s="1"/>
      <c r="AA787" s="1"/>
      <c r="AB787" s="1"/>
      <c r="AC787" s="3"/>
    </row>
    <row r="788" spans="1:29" ht="22.9" customHeight="1" x14ac:dyDescent="0.25">
      <c r="A788" s="39" t="s">
        <v>1806</v>
      </c>
      <c r="B788" s="9" t="s">
        <v>987</v>
      </c>
      <c r="C788" s="7">
        <f t="shared" si="1127"/>
        <v>3242800</v>
      </c>
      <c r="D788" s="2">
        <f t="shared" si="1128"/>
        <v>0</v>
      </c>
      <c r="E788" s="2">
        <v>0</v>
      </c>
      <c r="F788" s="2">
        <v>0</v>
      </c>
      <c r="G788" s="2">
        <v>0</v>
      </c>
      <c r="H788" s="2">
        <v>0</v>
      </c>
      <c r="I788" s="2">
        <v>0</v>
      </c>
      <c r="J788" s="2">
        <v>0</v>
      </c>
      <c r="K788" s="21">
        <v>0</v>
      </c>
      <c r="L788" s="2">
        <v>0</v>
      </c>
      <c r="M788" s="19">
        <v>262</v>
      </c>
      <c r="N788" s="2">
        <f t="shared" si="1129"/>
        <v>1729200</v>
      </c>
      <c r="O788" s="2">
        <v>0</v>
      </c>
      <c r="P788" s="2">
        <v>0</v>
      </c>
      <c r="Q788" s="19">
        <v>473</v>
      </c>
      <c r="R788" s="2">
        <f t="shared" si="1130"/>
        <v>1513600</v>
      </c>
      <c r="S788" s="8">
        <v>0</v>
      </c>
      <c r="T788" s="2">
        <v>0</v>
      </c>
      <c r="U788" s="6">
        <f t="shared" si="1035"/>
        <v>6600</v>
      </c>
      <c r="V788" s="1"/>
      <c r="W788" s="1"/>
      <c r="X788" s="1"/>
      <c r="Y788" s="1"/>
      <c r="Z788" s="1"/>
      <c r="AA788" s="1"/>
      <c r="AB788" s="1"/>
      <c r="AC788" s="3"/>
    </row>
    <row r="789" spans="1:29" ht="45" customHeight="1" x14ac:dyDescent="0.25">
      <c r="A789" s="43" t="s">
        <v>988</v>
      </c>
      <c r="B789" s="43"/>
      <c r="C789" s="1">
        <f>SUM(C790)</f>
        <v>5417600</v>
      </c>
      <c r="D789" s="1">
        <f t="shared" ref="D789:T789" si="1131">SUM(D790)</f>
        <v>1187400</v>
      </c>
      <c r="E789" s="1">
        <f t="shared" si="1131"/>
        <v>277060</v>
      </c>
      <c r="F789" s="1">
        <f t="shared" si="1131"/>
        <v>514540</v>
      </c>
      <c r="G789" s="1">
        <f t="shared" si="1131"/>
        <v>118740</v>
      </c>
      <c r="H789" s="1">
        <f t="shared" si="1131"/>
        <v>158320</v>
      </c>
      <c r="I789" s="1">
        <f t="shared" si="1131"/>
        <v>118740</v>
      </c>
      <c r="J789" s="1">
        <f t="shared" si="1131"/>
        <v>0</v>
      </c>
      <c r="K789" s="33">
        <f t="shared" si="1131"/>
        <v>0</v>
      </c>
      <c r="L789" s="1">
        <f t="shared" si="1131"/>
        <v>0</v>
      </c>
      <c r="M789" s="1">
        <f t="shared" si="1131"/>
        <v>315</v>
      </c>
      <c r="N789" s="1">
        <f t="shared" si="1131"/>
        <v>2079000</v>
      </c>
      <c r="O789" s="1">
        <f t="shared" si="1131"/>
        <v>0</v>
      </c>
      <c r="P789" s="1">
        <f t="shared" si="1131"/>
        <v>0</v>
      </c>
      <c r="Q789" s="1">
        <f t="shared" si="1131"/>
        <v>641</v>
      </c>
      <c r="R789" s="1">
        <f t="shared" si="1131"/>
        <v>2051200</v>
      </c>
      <c r="S789" s="1">
        <f t="shared" si="1131"/>
        <v>0</v>
      </c>
      <c r="T789" s="1">
        <f t="shared" si="1131"/>
        <v>100000</v>
      </c>
      <c r="U789" s="3" t="e">
        <f>C789+#REF!+#REF!</f>
        <v>#REF!</v>
      </c>
    </row>
    <row r="790" spans="1:29" ht="22.9" customHeight="1" x14ac:dyDescent="0.25">
      <c r="A790" s="39" t="s">
        <v>1807</v>
      </c>
      <c r="B790" s="9" t="s">
        <v>989</v>
      </c>
      <c r="C790" s="7">
        <f t="shared" ref="C790" si="1132">D790+L790+N790+P790+R790+S790+T790</f>
        <v>5417600</v>
      </c>
      <c r="D790" s="2">
        <f t="shared" ref="D790" si="1133">SUM(E790:J790)</f>
        <v>1187400</v>
      </c>
      <c r="E790" s="2">
        <f>700*395.8</f>
        <v>277060</v>
      </c>
      <c r="F790" s="2">
        <f>1300*395.8</f>
        <v>514540</v>
      </c>
      <c r="G790" s="2">
        <f>300*395.8</f>
        <v>118740</v>
      </c>
      <c r="H790" s="2">
        <f>400*395.8</f>
        <v>158320</v>
      </c>
      <c r="I790" s="2">
        <f>300*395.8</f>
        <v>118740</v>
      </c>
      <c r="J790" s="2">
        <v>0</v>
      </c>
      <c r="K790" s="21">
        <v>0</v>
      </c>
      <c r="L790" s="2">
        <v>0</v>
      </c>
      <c r="M790" s="8">
        <v>315</v>
      </c>
      <c r="N790" s="2">
        <f t="shared" ref="N790" si="1134">M790*6600</f>
        <v>2079000</v>
      </c>
      <c r="O790" s="2">
        <v>0</v>
      </c>
      <c r="P790" s="2">
        <v>0</v>
      </c>
      <c r="Q790" s="2">
        <v>641</v>
      </c>
      <c r="R790" s="2">
        <f>Q790*3200</f>
        <v>2051200</v>
      </c>
      <c r="S790" s="8">
        <v>0</v>
      </c>
      <c r="T790" s="2">
        <v>100000</v>
      </c>
      <c r="U790" s="6">
        <f t="shared" si="1035"/>
        <v>6600</v>
      </c>
      <c r="V790" s="1"/>
      <c r="W790" s="1"/>
      <c r="X790" s="1"/>
      <c r="Y790" s="1"/>
      <c r="Z790" s="1"/>
      <c r="AA790" s="1"/>
      <c r="AB790" s="1"/>
      <c r="AC790" s="3"/>
    </row>
    <row r="791" spans="1:29" ht="45" customHeight="1" x14ac:dyDescent="0.25">
      <c r="A791" s="43" t="s">
        <v>998</v>
      </c>
      <c r="B791" s="43"/>
      <c r="C791" s="1">
        <f>SUM(C792:C795)</f>
        <v>13680000</v>
      </c>
      <c r="D791" s="1">
        <f t="shared" ref="D791:T791" si="1135">SUM(D792:D795)</f>
        <v>0</v>
      </c>
      <c r="E791" s="1">
        <f t="shared" si="1135"/>
        <v>0</v>
      </c>
      <c r="F791" s="1">
        <f t="shared" si="1135"/>
        <v>0</v>
      </c>
      <c r="G791" s="1">
        <f t="shared" si="1135"/>
        <v>0</v>
      </c>
      <c r="H791" s="1">
        <f t="shared" si="1135"/>
        <v>0</v>
      </c>
      <c r="I791" s="1">
        <f t="shared" si="1135"/>
        <v>0</v>
      </c>
      <c r="J791" s="1">
        <f t="shared" si="1135"/>
        <v>0</v>
      </c>
      <c r="K791" s="33">
        <f t="shared" si="1135"/>
        <v>0</v>
      </c>
      <c r="L791" s="1">
        <f t="shared" si="1135"/>
        <v>0</v>
      </c>
      <c r="M791" s="1">
        <f t="shared" si="1135"/>
        <v>1200</v>
      </c>
      <c r="N791" s="1">
        <f t="shared" si="1135"/>
        <v>7920000</v>
      </c>
      <c r="O791" s="1">
        <f t="shared" si="1135"/>
        <v>0</v>
      </c>
      <c r="P791" s="1">
        <f t="shared" si="1135"/>
        <v>0</v>
      </c>
      <c r="Q791" s="1">
        <f t="shared" si="1135"/>
        <v>1800</v>
      </c>
      <c r="R791" s="1">
        <f t="shared" si="1135"/>
        <v>5760000</v>
      </c>
      <c r="S791" s="1">
        <f t="shared" si="1135"/>
        <v>0</v>
      </c>
      <c r="T791" s="1">
        <f t="shared" si="1135"/>
        <v>0</v>
      </c>
      <c r="U791" s="3" t="e">
        <f>C791+#REF!+#REF!</f>
        <v>#REF!</v>
      </c>
    </row>
    <row r="792" spans="1:29" ht="22.9" customHeight="1" x14ac:dyDescent="0.25">
      <c r="A792" s="39" t="s">
        <v>1808</v>
      </c>
      <c r="B792" s="9" t="s">
        <v>999</v>
      </c>
      <c r="C792" s="7">
        <f t="shared" ref="C792:C795" si="1136">D792+L792+N792+P792+R792+S792+T792</f>
        <v>3420000</v>
      </c>
      <c r="D792" s="2">
        <f t="shared" ref="D792:D795" si="1137">SUM(E792:J792)</f>
        <v>0</v>
      </c>
      <c r="E792" s="2">
        <v>0</v>
      </c>
      <c r="F792" s="2">
        <v>0</v>
      </c>
      <c r="G792" s="2">
        <v>0</v>
      </c>
      <c r="H792" s="2">
        <v>0</v>
      </c>
      <c r="I792" s="2">
        <v>0</v>
      </c>
      <c r="J792" s="2">
        <v>0</v>
      </c>
      <c r="K792" s="21">
        <v>0</v>
      </c>
      <c r="L792" s="2">
        <v>0</v>
      </c>
      <c r="M792" s="19">
        <v>300</v>
      </c>
      <c r="N792" s="2">
        <f t="shared" ref="N792:N795" si="1138">M792*6600</f>
        <v>1980000</v>
      </c>
      <c r="O792" s="2">
        <v>0</v>
      </c>
      <c r="P792" s="2">
        <v>0</v>
      </c>
      <c r="Q792" s="19">
        <v>450</v>
      </c>
      <c r="R792" s="2">
        <f t="shared" ref="R792:R795" si="1139">Q792*3200</f>
        <v>1440000</v>
      </c>
      <c r="S792" s="8">
        <v>0</v>
      </c>
      <c r="T792" s="2">
        <v>0</v>
      </c>
      <c r="U792" s="6">
        <f t="shared" si="1035"/>
        <v>6600</v>
      </c>
      <c r="V792" s="1"/>
      <c r="W792" s="1"/>
      <c r="X792" s="1"/>
      <c r="Y792" s="1"/>
      <c r="Z792" s="1"/>
      <c r="AA792" s="1"/>
      <c r="AB792" s="1"/>
      <c r="AC792" s="3"/>
    </row>
    <row r="793" spans="1:29" ht="22.9" customHeight="1" x14ac:dyDescent="0.25">
      <c r="A793" s="39" t="s">
        <v>1809</v>
      </c>
      <c r="B793" s="9" t="s">
        <v>1000</v>
      </c>
      <c r="C793" s="7">
        <f t="shared" si="1136"/>
        <v>3420000</v>
      </c>
      <c r="D793" s="2">
        <f t="shared" si="1137"/>
        <v>0</v>
      </c>
      <c r="E793" s="2">
        <v>0</v>
      </c>
      <c r="F793" s="2">
        <v>0</v>
      </c>
      <c r="G793" s="2">
        <v>0</v>
      </c>
      <c r="H793" s="2">
        <v>0</v>
      </c>
      <c r="I793" s="2">
        <v>0</v>
      </c>
      <c r="J793" s="2">
        <v>0</v>
      </c>
      <c r="K793" s="21">
        <v>0</v>
      </c>
      <c r="L793" s="2">
        <v>0</v>
      </c>
      <c r="M793" s="19">
        <v>300</v>
      </c>
      <c r="N793" s="2">
        <f t="shared" si="1138"/>
        <v>1980000</v>
      </c>
      <c r="O793" s="2">
        <v>0</v>
      </c>
      <c r="P793" s="2">
        <v>0</v>
      </c>
      <c r="Q793" s="19">
        <v>450</v>
      </c>
      <c r="R793" s="2">
        <f t="shared" si="1139"/>
        <v>1440000</v>
      </c>
      <c r="S793" s="8">
        <v>0</v>
      </c>
      <c r="T793" s="2">
        <v>0</v>
      </c>
      <c r="U793" s="6">
        <f t="shared" si="1035"/>
        <v>6600</v>
      </c>
      <c r="V793" s="1"/>
      <c r="W793" s="1"/>
      <c r="X793" s="1"/>
      <c r="Y793" s="1"/>
      <c r="Z793" s="1"/>
      <c r="AA793" s="1"/>
      <c r="AB793" s="1"/>
      <c r="AC793" s="3"/>
    </row>
    <row r="794" spans="1:29" ht="22.9" customHeight="1" x14ac:dyDescent="0.25">
      <c r="A794" s="39" t="s">
        <v>1810</v>
      </c>
      <c r="B794" s="9" t="s">
        <v>1001</v>
      </c>
      <c r="C794" s="7">
        <f t="shared" si="1136"/>
        <v>3420000</v>
      </c>
      <c r="D794" s="2">
        <f t="shared" si="1137"/>
        <v>0</v>
      </c>
      <c r="E794" s="2">
        <v>0</v>
      </c>
      <c r="F794" s="2">
        <v>0</v>
      </c>
      <c r="G794" s="2">
        <v>0</v>
      </c>
      <c r="H794" s="2">
        <v>0</v>
      </c>
      <c r="I794" s="2">
        <v>0</v>
      </c>
      <c r="J794" s="2">
        <v>0</v>
      </c>
      <c r="K794" s="21">
        <v>0</v>
      </c>
      <c r="L794" s="2">
        <v>0</v>
      </c>
      <c r="M794" s="19">
        <v>300</v>
      </c>
      <c r="N794" s="2">
        <f t="shared" si="1138"/>
        <v>1980000</v>
      </c>
      <c r="O794" s="2">
        <v>0</v>
      </c>
      <c r="P794" s="2">
        <v>0</v>
      </c>
      <c r="Q794" s="19">
        <v>450</v>
      </c>
      <c r="R794" s="2">
        <f t="shared" si="1139"/>
        <v>1440000</v>
      </c>
      <c r="S794" s="8">
        <v>0</v>
      </c>
      <c r="T794" s="2">
        <v>0</v>
      </c>
      <c r="U794" s="6">
        <f t="shared" si="1035"/>
        <v>6600</v>
      </c>
      <c r="V794" s="1"/>
      <c r="W794" s="1"/>
      <c r="X794" s="1"/>
      <c r="Y794" s="1"/>
      <c r="Z794" s="1"/>
      <c r="AA794" s="1"/>
      <c r="AB794" s="1"/>
      <c r="AC794" s="3"/>
    </row>
    <row r="795" spans="1:29" ht="22.9" customHeight="1" x14ac:dyDescent="0.25">
      <c r="A795" s="39" t="s">
        <v>1811</v>
      </c>
      <c r="B795" s="9" t="s">
        <v>1002</v>
      </c>
      <c r="C795" s="7">
        <f t="shared" si="1136"/>
        <v>3420000</v>
      </c>
      <c r="D795" s="2">
        <f t="shared" si="1137"/>
        <v>0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  <c r="J795" s="2">
        <v>0</v>
      </c>
      <c r="K795" s="21">
        <v>0</v>
      </c>
      <c r="L795" s="2">
        <v>0</v>
      </c>
      <c r="M795" s="19">
        <v>300</v>
      </c>
      <c r="N795" s="2">
        <f t="shared" si="1138"/>
        <v>1980000</v>
      </c>
      <c r="O795" s="2">
        <v>0</v>
      </c>
      <c r="P795" s="2">
        <v>0</v>
      </c>
      <c r="Q795" s="19">
        <v>450</v>
      </c>
      <c r="R795" s="2">
        <f t="shared" si="1139"/>
        <v>1440000</v>
      </c>
      <c r="S795" s="8">
        <v>0</v>
      </c>
      <c r="T795" s="2">
        <v>0</v>
      </c>
      <c r="U795" s="6">
        <f t="shared" si="1035"/>
        <v>6600</v>
      </c>
      <c r="V795" s="1"/>
      <c r="W795" s="1"/>
      <c r="X795" s="1"/>
      <c r="Y795" s="1"/>
      <c r="Z795" s="1"/>
      <c r="AA795" s="1"/>
      <c r="AB795" s="1"/>
      <c r="AC795" s="3"/>
    </row>
    <row r="796" spans="1:29" ht="45" customHeight="1" x14ac:dyDescent="0.25">
      <c r="A796" s="43" t="s">
        <v>1017</v>
      </c>
      <c r="B796" s="43"/>
      <c r="C796" s="1">
        <f>SUM(C797:C803)</f>
        <v>14847280</v>
      </c>
      <c r="D796" s="1">
        <f t="shared" ref="D796:T796" si="1140">SUM(D797:D803)</f>
        <v>14147280</v>
      </c>
      <c r="E796" s="1">
        <f t="shared" si="1140"/>
        <v>3301032</v>
      </c>
      <c r="F796" s="1">
        <f t="shared" si="1140"/>
        <v>6130488</v>
      </c>
      <c r="G796" s="1">
        <f t="shared" si="1140"/>
        <v>1414728</v>
      </c>
      <c r="H796" s="1">
        <f t="shared" si="1140"/>
        <v>1886304</v>
      </c>
      <c r="I796" s="1">
        <f t="shared" si="1140"/>
        <v>1414728</v>
      </c>
      <c r="J796" s="1">
        <f t="shared" si="1140"/>
        <v>0</v>
      </c>
      <c r="K796" s="33">
        <f t="shared" si="1140"/>
        <v>0</v>
      </c>
      <c r="L796" s="1">
        <f t="shared" si="1140"/>
        <v>0</v>
      </c>
      <c r="M796" s="1">
        <f t="shared" si="1140"/>
        <v>0</v>
      </c>
      <c r="N796" s="1">
        <f t="shared" si="1140"/>
        <v>0</v>
      </c>
      <c r="O796" s="1">
        <f t="shared" si="1140"/>
        <v>0</v>
      </c>
      <c r="P796" s="1">
        <f t="shared" si="1140"/>
        <v>0</v>
      </c>
      <c r="Q796" s="1">
        <f t="shared" si="1140"/>
        <v>0</v>
      </c>
      <c r="R796" s="1">
        <f t="shared" si="1140"/>
        <v>0</v>
      </c>
      <c r="S796" s="1">
        <f t="shared" si="1140"/>
        <v>0</v>
      </c>
      <c r="T796" s="1">
        <f t="shared" si="1140"/>
        <v>700000</v>
      </c>
      <c r="U796" s="3" t="e">
        <f>C796+#REF!+#REF!</f>
        <v>#REF!</v>
      </c>
    </row>
    <row r="797" spans="1:29" ht="22.9" customHeight="1" x14ac:dyDescent="0.25">
      <c r="A797" s="39" t="s">
        <v>1812</v>
      </c>
      <c r="B797" s="9" t="s">
        <v>1018</v>
      </c>
      <c r="C797" s="7">
        <f t="shared" ref="C797:C803" si="1141">D797+L797+N797+P797+R797+S797+T797</f>
        <v>1369600</v>
      </c>
      <c r="D797" s="2">
        <f t="shared" ref="D797:D803" si="1142">SUM(E797:J797)</f>
        <v>1269600</v>
      </c>
      <c r="E797" s="2">
        <f>700*423.2</f>
        <v>296240</v>
      </c>
      <c r="F797" s="2">
        <f>1300*423.2</f>
        <v>550160</v>
      </c>
      <c r="G797" s="2">
        <f>300*423.2</f>
        <v>126960</v>
      </c>
      <c r="H797" s="2">
        <f>400*423.2</f>
        <v>169280</v>
      </c>
      <c r="I797" s="2">
        <f>300*423.2</f>
        <v>126960</v>
      </c>
      <c r="J797" s="2">
        <v>0</v>
      </c>
      <c r="K797" s="21">
        <v>0</v>
      </c>
      <c r="L797" s="2">
        <v>0</v>
      </c>
      <c r="M797" s="8">
        <v>0</v>
      </c>
      <c r="N797" s="2">
        <f t="shared" ref="N797" si="1143">M797*6600</f>
        <v>0</v>
      </c>
      <c r="O797" s="2">
        <v>0</v>
      </c>
      <c r="P797" s="2">
        <v>0</v>
      </c>
      <c r="Q797" s="2">
        <v>0</v>
      </c>
      <c r="R797" s="2">
        <f t="shared" ref="R797:R803" si="1144">Q797*3200</f>
        <v>0</v>
      </c>
      <c r="S797" s="8">
        <v>0</v>
      </c>
      <c r="T797" s="2">
        <v>100000</v>
      </c>
      <c r="U797" s="6" t="e">
        <f t="shared" si="1035"/>
        <v>#DIV/0!</v>
      </c>
      <c r="V797" s="1"/>
      <c r="W797" s="1"/>
      <c r="X797" s="1"/>
      <c r="Y797" s="1"/>
      <c r="Z797" s="1"/>
      <c r="AA797" s="1"/>
      <c r="AB797" s="1"/>
      <c r="AC797" s="3"/>
    </row>
    <row r="798" spans="1:29" ht="22.9" customHeight="1" x14ac:dyDescent="0.25">
      <c r="A798" s="39" t="s">
        <v>1813</v>
      </c>
      <c r="B798" s="9" t="s">
        <v>1019</v>
      </c>
      <c r="C798" s="7">
        <f t="shared" si="1141"/>
        <v>1598440</v>
      </c>
      <c r="D798" s="2">
        <f t="shared" si="1142"/>
        <v>1498440</v>
      </c>
      <c r="E798" s="2">
        <f>700*499.48</f>
        <v>349636</v>
      </c>
      <c r="F798" s="2">
        <f>1300*499.48</f>
        <v>649324</v>
      </c>
      <c r="G798" s="2">
        <f>300*499.48</f>
        <v>149844</v>
      </c>
      <c r="H798" s="2">
        <f>400*499.48</f>
        <v>199792</v>
      </c>
      <c r="I798" s="2">
        <f>300*499.48</f>
        <v>149844</v>
      </c>
      <c r="J798" s="2">
        <v>0</v>
      </c>
      <c r="K798" s="21">
        <v>0</v>
      </c>
      <c r="L798" s="2">
        <v>0</v>
      </c>
      <c r="M798" s="8">
        <v>0</v>
      </c>
      <c r="N798" s="2">
        <f t="shared" ref="N798:N803" si="1145">M798*6600</f>
        <v>0</v>
      </c>
      <c r="O798" s="2">
        <v>0</v>
      </c>
      <c r="P798" s="2">
        <v>0</v>
      </c>
      <c r="Q798" s="2">
        <v>0</v>
      </c>
      <c r="R798" s="2">
        <f t="shared" si="1144"/>
        <v>0</v>
      </c>
      <c r="S798" s="8">
        <v>0</v>
      </c>
      <c r="T798" s="2">
        <v>100000</v>
      </c>
      <c r="U798" s="6" t="e">
        <f t="shared" ref="U798:U844" si="1146">N798/M798</f>
        <v>#DIV/0!</v>
      </c>
      <c r="V798" s="1"/>
      <c r="W798" s="1"/>
      <c r="X798" s="1"/>
      <c r="Y798" s="1"/>
      <c r="Z798" s="1"/>
      <c r="AA798" s="1"/>
      <c r="AB798" s="1"/>
      <c r="AC798" s="3"/>
    </row>
    <row r="799" spans="1:29" ht="22.9" customHeight="1" x14ac:dyDescent="0.25">
      <c r="A799" s="39" t="s">
        <v>1814</v>
      </c>
      <c r="B799" s="9" t="s">
        <v>1020</v>
      </c>
      <c r="C799" s="7">
        <f t="shared" si="1141"/>
        <v>1988500</v>
      </c>
      <c r="D799" s="2">
        <f t="shared" si="1142"/>
        <v>1888500</v>
      </c>
      <c r="E799" s="2">
        <f>700*629.5</f>
        <v>440650</v>
      </c>
      <c r="F799" s="2">
        <f>1300*629.5</f>
        <v>818350</v>
      </c>
      <c r="G799" s="2">
        <f>300*629.5</f>
        <v>188850</v>
      </c>
      <c r="H799" s="2">
        <f>400*629.5</f>
        <v>251800</v>
      </c>
      <c r="I799" s="2">
        <f>300*629.5</f>
        <v>188850</v>
      </c>
      <c r="J799" s="2">
        <v>0</v>
      </c>
      <c r="K799" s="21">
        <v>0</v>
      </c>
      <c r="L799" s="2">
        <v>0</v>
      </c>
      <c r="M799" s="8">
        <v>0</v>
      </c>
      <c r="N799" s="2">
        <f t="shared" si="1145"/>
        <v>0</v>
      </c>
      <c r="O799" s="2">
        <v>0</v>
      </c>
      <c r="P799" s="2">
        <v>0</v>
      </c>
      <c r="Q799" s="2">
        <v>0</v>
      </c>
      <c r="R799" s="2">
        <f t="shared" si="1144"/>
        <v>0</v>
      </c>
      <c r="S799" s="8">
        <v>0</v>
      </c>
      <c r="T799" s="2">
        <v>100000</v>
      </c>
      <c r="U799" s="6" t="e">
        <f t="shared" si="1146"/>
        <v>#DIV/0!</v>
      </c>
      <c r="V799" s="1"/>
      <c r="W799" s="1"/>
      <c r="X799" s="1"/>
      <c r="Y799" s="1"/>
      <c r="Z799" s="1"/>
      <c r="AA799" s="1"/>
      <c r="AB799" s="1"/>
      <c r="AC799" s="3"/>
    </row>
    <row r="800" spans="1:29" ht="22.9" customHeight="1" x14ac:dyDescent="0.25">
      <c r="A800" s="39" t="s">
        <v>1815</v>
      </c>
      <c r="B800" s="9" t="s">
        <v>1021</v>
      </c>
      <c r="C800" s="7">
        <f t="shared" si="1141"/>
        <v>1506640</v>
      </c>
      <c r="D800" s="2">
        <f t="shared" si="1142"/>
        <v>1406640</v>
      </c>
      <c r="E800" s="2">
        <f>700*468.88</f>
        <v>328216</v>
      </c>
      <c r="F800" s="2">
        <f>1300*468.88</f>
        <v>609544</v>
      </c>
      <c r="G800" s="2">
        <f>300*468.88</f>
        <v>140664</v>
      </c>
      <c r="H800" s="2">
        <f>400*468.88</f>
        <v>187552</v>
      </c>
      <c r="I800" s="2">
        <f>300*468.88</f>
        <v>140664</v>
      </c>
      <c r="J800" s="2">
        <v>0</v>
      </c>
      <c r="K800" s="21">
        <v>0</v>
      </c>
      <c r="L800" s="2">
        <v>0</v>
      </c>
      <c r="M800" s="8">
        <v>0</v>
      </c>
      <c r="N800" s="2">
        <f t="shared" si="1145"/>
        <v>0</v>
      </c>
      <c r="O800" s="2">
        <v>0</v>
      </c>
      <c r="P800" s="2">
        <v>0</v>
      </c>
      <c r="Q800" s="2">
        <v>0</v>
      </c>
      <c r="R800" s="2">
        <f t="shared" si="1144"/>
        <v>0</v>
      </c>
      <c r="S800" s="8">
        <v>0</v>
      </c>
      <c r="T800" s="2">
        <v>100000</v>
      </c>
      <c r="U800" s="6" t="e">
        <f t="shared" si="1146"/>
        <v>#DIV/0!</v>
      </c>
      <c r="V800" s="1"/>
      <c r="W800" s="1"/>
      <c r="X800" s="1"/>
      <c r="Y800" s="1"/>
      <c r="Z800" s="1"/>
      <c r="AA800" s="1"/>
      <c r="AB800" s="1"/>
      <c r="AC800" s="3"/>
    </row>
    <row r="801" spans="1:29" ht="22.9" customHeight="1" x14ac:dyDescent="0.25">
      <c r="A801" s="39" t="s">
        <v>1816</v>
      </c>
      <c r="B801" s="9" t="s">
        <v>1022</v>
      </c>
      <c r="C801" s="7">
        <f t="shared" si="1141"/>
        <v>2018200</v>
      </c>
      <c r="D801" s="2">
        <f t="shared" si="1142"/>
        <v>1918200</v>
      </c>
      <c r="E801" s="2">
        <f>700*639.4</f>
        <v>447580</v>
      </c>
      <c r="F801" s="2">
        <f>1300*639.4</f>
        <v>831220</v>
      </c>
      <c r="G801" s="2">
        <f>300*639.4</f>
        <v>191820</v>
      </c>
      <c r="H801" s="2">
        <f>400*639.4</f>
        <v>255760</v>
      </c>
      <c r="I801" s="2">
        <f>300*639.4</f>
        <v>191820</v>
      </c>
      <c r="J801" s="2">
        <v>0</v>
      </c>
      <c r="K801" s="21">
        <v>0</v>
      </c>
      <c r="L801" s="2">
        <v>0</v>
      </c>
      <c r="M801" s="8">
        <v>0</v>
      </c>
      <c r="N801" s="2">
        <f t="shared" si="1145"/>
        <v>0</v>
      </c>
      <c r="O801" s="2">
        <v>0</v>
      </c>
      <c r="P801" s="2">
        <v>0</v>
      </c>
      <c r="Q801" s="2">
        <v>0</v>
      </c>
      <c r="R801" s="2">
        <f t="shared" si="1144"/>
        <v>0</v>
      </c>
      <c r="S801" s="8">
        <v>0</v>
      </c>
      <c r="T801" s="2">
        <v>100000</v>
      </c>
      <c r="U801" s="6" t="e">
        <f t="shared" si="1146"/>
        <v>#DIV/0!</v>
      </c>
      <c r="V801" s="1"/>
      <c r="W801" s="1"/>
      <c r="X801" s="1"/>
      <c r="Y801" s="1"/>
      <c r="Z801" s="1"/>
      <c r="AA801" s="1"/>
      <c r="AB801" s="1"/>
      <c r="AC801" s="3"/>
    </row>
    <row r="802" spans="1:29" ht="22.9" customHeight="1" x14ac:dyDescent="0.25">
      <c r="A802" s="39" t="s">
        <v>1817</v>
      </c>
      <c r="B802" s="9" t="s">
        <v>1023</v>
      </c>
      <c r="C802" s="7">
        <f t="shared" si="1141"/>
        <v>3422049.9999999995</v>
      </c>
      <c r="D802" s="2">
        <f t="shared" si="1142"/>
        <v>3322049.9999999995</v>
      </c>
      <c r="E802" s="2">
        <f>700*1107.35</f>
        <v>775144.99999999988</v>
      </c>
      <c r="F802" s="2">
        <f>1300*1107.35</f>
        <v>1439554.9999999998</v>
      </c>
      <c r="G802" s="2">
        <f>300*1107.35</f>
        <v>332205</v>
      </c>
      <c r="H802" s="2">
        <f>400*1107.35</f>
        <v>442939.99999999994</v>
      </c>
      <c r="I802" s="2">
        <f>300*1107.35</f>
        <v>332205</v>
      </c>
      <c r="J802" s="2">
        <v>0</v>
      </c>
      <c r="K802" s="21">
        <v>0</v>
      </c>
      <c r="L802" s="2">
        <v>0</v>
      </c>
      <c r="M802" s="8">
        <v>0</v>
      </c>
      <c r="N802" s="2">
        <f t="shared" si="1145"/>
        <v>0</v>
      </c>
      <c r="O802" s="2">
        <v>0</v>
      </c>
      <c r="P802" s="2">
        <v>0</v>
      </c>
      <c r="Q802" s="2">
        <v>0</v>
      </c>
      <c r="R802" s="2">
        <f t="shared" si="1144"/>
        <v>0</v>
      </c>
      <c r="S802" s="8">
        <v>0</v>
      </c>
      <c r="T802" s="2">
        <v>100000</v>
      </c>
      <c r="U802" s="6" t="e">
        <f t="shared" si="1146"/>
        <v>#DIV/0!</v>
      </c>
      <c r="V802" s="1"/>
      <c r="W802" s="1"/>
      <c r="X802" s="1"/>
      <c r="Y802" s="1"/>
      <c r="Z802" s="1"/>
      <c r="AA802" s="1"/>
      <c r="AB802" s="1"/>
      <c r="AC802" s="3"/>
    </row>
    <row r="803" spans="1:29" ht="22.9" customHeight="1" x14ac:dyDescent="0.25">
      <c r="A803" s="39" t="s">
        <v>1818</v>
      </c>
      <c r="B803" s="9" t="s">
        <v>1024</v>
      </c>
      <c r="C803" s="7">
        <f t="shared" si="1141"/>
        <v>2943850</v>
      </c>
      <c r="D803" s="2">
        <f t="shared" si="1142"/>
        <v>2843850</v>
      </c>
      <c r="E803" s="2">
        <f>700*947.95</f>
        <v>663565</v>
      </c>
      <c r="F803" s="2">
        <f>1300*947.95</f>
        <v>1232335</v>
      </c>
      <c r="G803" s="2">
        <f>300*947.95</f>
        <v>284385</v>
      </c>
      <c r="H803" s="2">
        <f>400*947.95</f>
        <v>379180</v>
      </c>
      <c r="I803" s="2">
        <f>300*947.95</f>
        <v>284385</v>
      </c>
      <c r="J803" s="2">
        <v>0</v>
      </c>
      <c r="K803" s="21">
        <v>0</v>
      </c>
      <c r="L803" s="2">
        <v>0</v>
      </c>
      <c r="M803" s="8">
        <v>0</v>
      </c>
      <c r="N803" s="2">
        <f t="shared" si="1145"/>
        <v>0</v>
      </c>
      <c r="O803" s="2">
        <v>0</v>
      </c>
      <c r="P803" s="2">
        <v>0</v>
      </c>
      <c r="Q803" s="2">
        <v>0</v>
      </c>
      <c r="R803" s="2">
        <f t="shared" si="1144"/>
        <v>0</v>
      </c>
      <c r="S803" s="8">
        <v>0</v>
      </c>
      <c r="T803" s="2">
        <v>100000</v>
      </c>
      <c r="U803" s="6" t="e">
        <f t="shared" si="1146"/>
        <v>#DIV/0!</v>
      </c>
      <c r="V803" s="1"/>
      <c r="W803" s="1"/>
      <c r="X803" s="1"/>
      <c r="Y803" s="1"/>
      <c r="Z803" s="1"/>
      <c r="AA803" s="1"/>
      <c r="AB803" s="1"/>
      <c r="AC803" s="3"/>
    </row>
    <row r="804" spans="1:29" ht="45" customHeight="1" x14ac:dyDescent="0.25">
      <c r="A804" s="43" t="s">
        <v>1036</v>
      </c>
      <c r="B804" s="43"/>
      <c r="C804" s="1">
        <f>SUM(C805:C813)</f>
        <v>47659346</v>
      </c>
      <c r="D804" s="1">
        <f t="shared" ref="D804:T804" si="1147">SUM(D805:D813)</f>
        <v>4793148</v>
      </c>
      <c r="E804" s="1">
        <f t="shared" si="1147"/>
        <v>2944249</v>
      </c>
      <c r="F804" s="1">
        <f t="shared" si="1147"/>
        <v>1848899</v>
      </c>
      <c r="G804" s="1">
        <f t="shared" si="1147"/>
        <v>0</v>
      </c>
      <c r="H804" s="1">
        <f t="shared" si="1147"/>
        <v>0</v>
      </c>
      <c r="I804" s="1">
        <f t="shared" si="1147"/>
        <v>0</v>
      </c>
      <c r="J804" s="1">
        <f t="shared" si="1147"/>
        <v>0</v>
      </c>
      <c r="K804" s="33">
        <f t="shared" si="1147"/>
        <v>0</v>
      </c>
      <c r="L804" s="1">
        <f t="shared" si="1147"/>
        <v>0</v>
      </c>
      <c r="M804" s="1">
        <f t="shared" si="1147"/>
        <v>4144.51</v>
      </c>
      <c r="N804" s="1">
        <f t="shared" si="1147"/>
        <v>27353766</v>
      </c>
      <c r="O804" s="1">
        <f t="shared" si="1147"/>
        <v>0</v>
      </c>
      <c r="P804" s="1">
        <f t="shared" si="1147"/>
        <v>0</v>
      </c>
      <c r="Q804" s="1">
        <f t="shared" si="1147"/>
        <v>4144.51</v>
      </c>
      <c r="R804" s="1">
        <f t="shared" si="1147"/>
        <v>13262432</v>
      </c>
      <c r="S804" s="1">
        <f t="shared" si="1147"/>
        <v>1350000</v>
      </c>
      <c r="T804" s="1">
        <f t="shared" si="1147"/>
        <v>900000</v>
      </c>
      <c r="U804" s="3" t="e">
        <f>C804+#REF!+#REF!</f>
        <v>#REF!</v>
      </c>
    </row>
    <row r="805" spans="1:29" ht="22.9" customHeight="1" x14ac:dyDescent="0.25">
      <c r="A805" s="39" t="s">
        <v>1819</v>
      </c>
      <c r="B805" s="9" t="s">
        <v>1046</v>
      </c>
      <c r="C805" s="7">
        <f t="shared" ref="C805" si="1148">D805+L805+N805+P805+R805+S805+T805</f>
        <v>4774450</v>
      </c>
      <c r="D805" s="2">
        <f t="shared" ref="D805" si="1149">SUM(E805:J805)</f>
        <v>301630</v>
      </c>
      <c r="E805" s="2">
        <f>700*430.9</f>
        <v>301630</v>
      </c>
      <c r="F805" s="19">
        <v>0</v>
      </c>
      <c r="G805" s="19">
        <v>0</v>
      </c>
      <c r="H805" s="19">
        <v>0</v>
      </c>
      <c r="I805" s="19">
        <v>0</v>
      </c>
      <c r="J805" s="19">
        <v>0</v>
      </c>
      <c r="K805" s="21">
        <v>0</v>
      </c>
      <c r="L805" s="2">
        <v>0</v>
      </c>
      <c r="M805" s="2">
        <v>430.9</v>
      </c>
      <c r="N805" s="2">
        <f t="shared" ref="N805:N806" si="1150">M805*6600</f>
        <v>2843940</v>
      </c>
      <c r="O805" s="2">
        <v>0</v>
      </c>
      <c r="P805" s="2">
        <v>0</v>
      </c>
      <c r="Q805" s="2">
        <v>430.9</v>
      </c>
      <c r="R805" s="2">
        <f t="shared" ref="R805:R817" si="1151">Q805*3200</f>
        <v>1378880</v>
      </c>
      <c r="S805" s="8">
        <v>150000</v>
      </c>
      <c r="T805" s="2">
        <v>100000</v>
      </c>
      <c r="U805" s="6">
        <f t="shared" si="1146"/>
        <v>6600</v>
      </c>
      <c r="V805" s="1"/>
      <c r="W805" s="1"/>
      <c r="X805" s="1"/>
      <c r="Y805" s="1"/>
      <c r="Z805" s="1"/>
      <c r="AA805" s="1"/>
      <c r="AB805" s="1"/>
      <c r="AC805" s="3"/>
    </row>
    <row r="806" spans="1:29" ht="22.9" customHeight="1" x14ac:dyDescent="0.25">
      <c r="A806" s="39" t="s">
        <v>1820</v>
      </c>
      <c r="B806" s="9" t="s">
        <v>1047</v>
      </c>
      <c r="C806" s="7">
        <f t="shared" ref="C806" si="1152">D806+L806+N806+P806+R806+S806+T806</f>
        <v>2648200</v>
      </c>
      <c r="D806" s="2">
        <f t="shared" ref="D806" si="1153">SUM(E806:J806)</f>
        <v>159880</v>
      </c>
      <c r="E806" s="2">
        <f>700*228.4</f>
        <v>159880</v>
      </c>
      <c r="F806" s="2">
        <v>0</v>
      </c>
      <c r="G806" s="2">
        <v>0</v>
      </c>
      <c r="H806" s="2">
        <v>0</v>
      </c>
      <c r="I806" s="2">
        <v>0</v>
      </c>
      <c r="J806" s="2">
        <v>0</v>
      </c>
      <c r="K806" s="21">
        <v>0</v>
      </c>
      <c r="L806" s="2">
        <v>0</v>
      </c>
      <c r="M806" s="2">
        <v>228.4</v>
      </c>
      <c r="N806" s="2">
        <f t="shared" si="1150"/>
        <v>1507440</v>
      </c>
      <c r="O806" s="2">
        <v>0</v>
      </c>
      <c r="P806" s="2">
        <v>0</v>
      </c>
      <c r="Q806" s="2">
        <v>228.4</v>
      </c>
      <c r="R806" s="2">
        <f t="shared" si="1151"/>
        <v>730880</v>
      </c>
      <c r="S806" s="8">
        <v>150000</v>
      </c>
      <c r="T806" s="2">
        <v>100000</v>
      </c>
      <c r="U806" s="6">
        <f t="shared" si="1146"/>
        <v>6600</v>
      </c>
      <c r="V806" s="1"/>
      <c r="W806" s="1"/>
      <c r="X806" s="1"/>
      <c r="Y806" s="1"/>
      <c r="Z806" s="1"/>
      <c r="AA806" s="1"/>
      <c r="AB806" s="1"/>
      <c r="AC806" s="3"/>
    </row>
    <row r="807" spans="1:29" ht="22.9" customHeight="1" x14ac:dyDescent="0.25">
      <c r="A807" s="39" t="s">
        <v>1821</v>
      </c>
      <c r="B807" s="9" t="s">
        <v>1048</v>
      </c>
      <c r="C807" s="7">
        <f t="shared" ref="C807" si="1154">D807+L807+N807+P807+R807+S807+T807</f>
        <v>4739170</v>
      </c>
      <c r="D807" s="2">
        <f t="shared" ref="D807" si="1155">SUM(E807:J807)</f>
        <v>299278</v>
      </c>
      <c r="E807" s="2">
        <f>700*427.54</f>
        <v>299278</v>
      </c>
      <c r="F807" s="2">
        <v>0</v>
      </c>
      <c r="G807" s="2">
        <v>0</v>
      </c>
      <c r="H807" s="2">
        <v>0</v>
      </c>
      <c r="I807" s="2">
        <v>0</v>
      </c>
      <c r="J807" s="2">
        <v>0</v>
      </c>
      <c r="K807" s="21">
        <v>0</v>
      </c>
      <c r="L807" s="2">
        <v>0</v>
      </c>
      <c r="M807" s="2">
        <v>427.54</v>
      </c>
      <c r="N807" s="2">
        <f t="shared" ref="N807" si="1156">M807*6600</f>
        <v>2821764</v>
      </c>
      <c r="O807" s="2">
        <v>0</v>
      </c>
      <c r="P807" s="2">
        <v>0</v>
      </c>
      <c r="Q807" s="2">
        <v>427.54</v>
      </c>
      <c r="R807" s="2">
        <f t="shared" si="1151"/>
        <v>1368128</v>
      </c>
      <c r="S807" s="8">
        <v>150000</v>
      </c>
      <c r="T807" s="2">
        <v>100000</v>
      </c>
      <c r="U807" s="6">
        <f t="shared" si="1146"/>
        <v>6600</v>
      </c>
      <c r="V807" s="1"/>
      <c r="W807" s="1"/>
      <c r="X807" s="1"/>
      <c r="Y807" s="1"/>
      <c r="Z807" s="1"/>
      <c r="AA807" s="1"/>
      <c r="AB807" s="1"/>
      <c r="AC807" s="3"/>
    </row>
    <row r="808" spans="1:29" ht="22.9" customHeight="1" x14ac:dyDescent="0.25">
      <c r="A808" s="39" t="s">
        <v>1822</v>
      </c>
      <c r="B808" s="9" t="s">
        <v>1049</v>
      </c>
      <c r="C808" s="7">
        <f t="shared" ref="C808" si="1157">D808+L808+N808+P808+R808+S808+T808</f>
        <v>4823380</v>
      </c>
      <c r="D808" s="2">
        <f t="shared" ref="D808" si="1158">SUM(E808:J808)</f>
        <v>344680</v>
      </c>
      <c r="E808" s="2">
        <f>700*492.4</f>
        <v>344680</v>
      </c>
      <c r="F808" s="2">
        <v>0</v>
      </c>
      <c r="G808" s="2">
        <v>0</v>
      </c>
      <c r="H808" s="2">
        <v>0</v>
      </c>
      <c r="I808" s="2">
        <v>0</v>
      </c>
      <c r="J808" s="2">
        <v>0</v>
      </c>
      <c r="K808" s="21">
        <v>0</v>
      </c>
      <c r="L808" s="2">
        <v>0</v>
      </c>
      <c r="M808" s="2">
        <v>431.5</v>
      </c>
      <c r="N808" s="2">
        <f t="shared" ref="N808" si="1159">M808*6600</f>
        <v>2847900</v>
      </c>
      <c r="O808" s="2">
        <v>0</v>
      </c>
      <c r="P808" s="2">
        <v>0</v>
      </c>
      <c r="Q808" s="2">
        <v>431.5</v>
      </c>
      <c r="R808" s="2">
        <f t="shared" si="1151"/>
        <v>1380800</v>
      </c>
      <c r="S808" s="8">
        <v>150000</v>
      </c>
      <c r="T808" s="2">
        <v>100000</v>
      </c>
      <c r="U808" s="6">
        <f t="shared" si="1146"/>
        <v>6600</v>
      </c>
      <c r="V808" s="1"/>
      <c r="W808" s="1"/>
      <c r="X808" s="1"/>
      <c r="Y808" s="1"/>
      <c r="Z808" s="1"/>
      <c r="AA808" s="1"/>
      <c r="AB808" s="1"/>
      <c r="AC808" s="3"/>
    </row>
    <row r="809" spans="1:29" ht="22.9" customHeight="1" x14ac:dyDescent="0.25">
      <c r="A809" s="39" t="s">
        <v>1823</v>
      </c>
      <c r="B809" s="9" t="s">
        <v>1050</v>
      </c>
      <c r="C809" s="7">
        <f t="shared" ref="C809:C810" si="1160">D809+L809+N809+P809+R809+S809+T809</f>
        <v>4780750</v>
      </c>
      <c r="D809" s="2">
        <f t="shared" ref="D809:D810" si="1161">SUM(E809:J809)</f>
        <v>302050</v>
      </c>
      <c r="E809" s="2">
        <f>700*431.5</f>
        <v>302050</v>
      </c>
      <c r="F809" s="2">
        <v>0</v>
      </c>
      <c r="G809" s="2">
        <v>0</v>
      </c>
      <c r="H809" s="2">
        <v>0</v>
      </c>
      <c r="I809" s="2">
        <v>0</v>
      </c>
      <c r="J809" s="2">
        <v>0</v>
      </c>
      <c r="K809" s="21">
        <v>0</v>
      </c>
      <c r="L809" s="2">
        <v>0</v>
      </c>
      <c r="M809" s="2">
        <v>431.5</v>
      </c>
      <c r="N809" s="2">
        <f t="shared" ref="N809:N810" si="1162">M809*6600</f>
        <v>2847900</v>
      </c>
      <c r="O809" s="2">
        <v>0</v>
      </c>
      <c r="P809" s="2">
        <v>0</v>
      </c>
      <c r="Q809" s="2">
        <v>431.5</v>
      </c>
      <c r="R809" s="2">
        <f t="shared" si="1151"/>
        <v>1380800</v>
      </c>
      <c r="S809" s="8">
        <v>150000</v>
      </c>
      <c r="T809" s="2">
        <v>100000</v>
      </c>
      <c r="U809" s="6">
        <f t="shared" si="1146"/>
        <v>6600</v>
      </c>
      <c r="V809" s="1"/>
      <c r="W809" s="1"/>
      <c r="X809" s="1"/>
      <c r="Y809" s="1"/>
      <c r="Z809" s="1"/>
      <c r="AA809" s="1"/>
      <c r="AB809" s="1"/>
      <c r="AC809" s="3"/>
    </row>
    <row r="810" spans="1:29" ht="22.9" customHeight="1" x14ac:dyDescent="0.25">
      <c r="A810" s="39" t="s">
        <v>1824</v>
      </c>
      <c r="B810" s="9" t="s">
        <v>1051</v>
      </c>
      <c r="C810" s="7">
        <f t="shared" si="1160"/>
        <v>7113766</v>
      </c>
      <c r="D810" s="2">
        <f t="shared" si="1161"/>
        <v>1163400.0000000002</v>
      </c>
      <c r="E810" s="2">
        <f>700*581.7</f>
        <v>407190.00000000006</v>
      </c>
      <c r="F810" s="2">
        <f>1300*581.7</f>
        <v>756210.00000000012</v>
      </c>
      <c r="G810" s="2">
        <v>0</v>
      </c>
      <c r="H810" s="2">
        <v>0</v>
      </c>
      <c r="I810" s="2">
        <v>0</v>
      </c>
      <c r="J810" s="2">
        <v>0</v>
      </c>
      <c r="K810" s="21">
        <v>0</v>
      </c>
      <c r="L810" s="2">
        <v>0</v>
      </c>
      <c r="M810" s="2">
        <v>581.66999999999996</v>
      </c>
      <c r="N810" s="2">
        <f t="shared" si="1162"/>
        <v>3839021.9999999995</v>
      </c>
      <c r="O810" s="2">
        <v>0</v>
      </c>
      <c r="P810" s="2">
        <v>0</v>
      </c>
      <c r="Q810" s="2">
        <v>581.66999999999996</v>
      </c>
      <c r="R810" s="2">
        <f t="shared" si="1151"/>
        <v>1861343.9999999998</v>
      </c>
      <c r="S810" s="8">
        <v>150000</v>
      </c>
      <c r="T810" s="2">
        <v>100000</v>
      </c>
      <c r="U810" s="6">
        <f t="shared" si="1146"/>
        <v>6600</v>
      </c>
      <c r="V810" s="1"/>
      <c r="W810" s="1"/>
      <c r="X810" s="1"/>
      <c r="Y810" s="1"/>
      <c r="Z810" s="1"/>
      <c r="AA810" s="1"/>
      <c r="AB810" s="1"/>
      <c r="AC810" s="3"/>
    </row>
    <row r="811" spans="1:29" ht="22.9" customHeight="1" x14ac:dyDescent="0.25">
      <c r="A811" s="39" t="s">
        <v>1825</v>
      </c>
      <c r="B811" s="9" t="s">
        <v>1052</v>
      </c>
      <c r="C811" s="7">
        <f t="shared" ref="C811:C812" si="1163">D811+L811+N811+P811+R811+S811+T811</f>
        <v>10168254</v>
      </c>
      <c r="D811" s="2">
        <f t="shared" ref="D811:D812" si="1164">SUM(E811:J811)</f>
        <v>1681060</v>
      </c>
      <c r="E811" s="2">
        <f>700*840.53</f>
        <v>588371</v>
      </c>
      <c r="F811" s="2">
        <f>1300*840.53</f>
        <v>1092689</v>
      </c>
      <c r="G811" s="2">
        <v>0</v>
      </c>
      <c r="H811" s="2">
        <v>0</v>
      </c>
      <c r="I811" s="2">
        <v>0</v>
      </c>
      <c r="J811" s="2">
        <v>0</v>
      </c>
      <c r="K811" s="21">
        <v>0</v>
      </c>
      <c r="L811" s="2">
        <v>0</v>
      </c>
      <c r="M811" s="2">
        <v>840.53</v>
      </c>
      <c r="N811" s="2">
        <f t="shared" ref="N811:N812" si="1165">M811*6600</f>
        <v>5547498</v>
      </c>
      <c r="O811" s="2">
        <v>0</v>
      </c>
      <c r="P811" s="2">
        <v>0</v>
      </c>
      <c r="Q811" s="2">
        <v>840.53</v>
      </c>
      <c r="R811" s="2">
        <f t="shared" si="1151"/>
        <v>2689696</v>
      </c>
      <c r="S811" s="8">
        <v>150000</v>
      </c>
      <c r="T811" s="2">
        <v>100000</v>
      </c>
      <c r="U811" s="6">
        <f t="shared" si="1146"/>
        <v>6600</v>
      </c>
      <c r="V811" s="1"/>
      <c r="W811" s="1"/>
      <c r="X811" s="1"/>
      <c r="Y811" s="1"/>
      <c r="Z811" s="1"/>
      <c r="AA811" s="1"/>
      <c r="AB811" s="1"/>
      <c r="AC811" s="3"/>
    </row>
    <row r="812" spans="1:29" ht="22.9" customHeight="1" x14ac:dyDescent="0.25">
      <c r="A812" s="39" t="s">
        <v>1826</v>
      </c>
      <c r="B812" s="9" t="s">
        <v>1053</v>
      </c>
      <c r="C812" s="7">
        <f t="shared" si="1163"/>
        <v>4149700</v>
      </c>
      <c r="D812" s="2">
        <f t="shared" si="1164"/>
        <v>259979.99999999997</v>
      </c>
      <c r="E812" s="2">
        <f>700*371.4</f>
        <v>259979.99999999997</v>
      </c>
      <c r="F812" s="2">
        <v>0</v>
      </c>
      <c r="G812" s="2">
        <v>0</v>
      </c>
      <c r="H812" s="2">
        <v>0</v>
      </c>
      <c r="I812" s="2">
        <v>0</v>
      </c>
      <c r="J812" s="2">
        <v>0</v>
      </c>
      <c r="K812" s="21">
        <v>0</v>
      </c>
      <c r="L812" s="2">
        <v>0</v>
      </c>
      <c r="M812" s="2">
        <v>371.4</v>
      </c>
      <c r="N812" s="2">
        <f t="shared" si="1165"/>
        <v>2451240</v>
      </c>
      <c r="O812" s="2">
        <v>0</v>
      </c>
      <c r="P812" s="2">
        <v>0</v>
      </c>
      <c r="Q812" s="2">
        <v>371.4</v>
      </c>
      <c r="R812" s="2">
        <f t="shared" si="1151"/>
        <v>1188480</v>
      </c>
      <c r="S812" s="8">
        <v>150000</v>
      </c>
      <c r="T812" s="2">
        <v>100000</v>
      </c>
      <c r="U812" s="6">
        <f t="shared" si="1146"/>
        <v>6600</v>
      </c>
      <c r="V812" s="1"/>
      <c r="W812" s="1"/>
      <c r="X812" s="1"/>
      <c r="Y812" s="1"/>
      <c r="Z812" s="1"/>
      <c r="AA812" s="1"/>
      <c r="AB812" s="1"/>
      <c r="AC812" s="3"/>
    </row>
    <row r="813" spans="1:29" ht="22.9" customHeight="1" x14ac:dyDescent="0.25">
      <c r="A813" s="39" t="s">
        <v>1827</v>
      </c>
      <c r="B813" s="9" t="s">
        <v>1054</v>
      </c>
      <c r="C813" s="7">
        <f t="shared" ref="C813" si="1166">D813+L813+N813+P813+R813+S813+T813</f>
        <v>4461676</v>
      </c>
      <c r="D813" s="2">
        <f t="shared" ref="D813" si="1167">SUM(E813:J813)</f>
        <v>281190</v>
      </c>
      <c r="E813" s="2">
        <f>700*401.7</f>
        <v>281190</v>
      </c>
      <c r="F813" s="2">
        <v>0</v>
      </c>
      <c r="G813" s="2">
        <v>0</v>
      </c>
      <c r="H813" s="2">
        <v>0</v>
      </c>
      <c r="I813" s="2">
        <v>0</v>
      </c>
      <c r="J813" s="2">
        <v>0</v>
      </c>
      <c r="K813" s="21">
        <v>0</v>
      </c>
      <c r="L813" s="2">
        <v>0</v>
      </c>
      <c r="M813" s="2">
        <v>401.07</v>
      </c>
      <c r="N813" s="2">
        <f t="shared" ref="N813" si="1168">M813*6600</f>
        <v>2647062</v>
      </c>
      <c r="O813" s="2">
        <v>0</v>
      </c>
      <c r="P813" s="2">
        <v>0</v>
      </c>
      <c r="Q813" s="2">
        <v>401.07</v>
      </c>
      <c r="R813" s="2">
        <f t="shared" si="1151"/>
        <v>1283424</v>
      </c>
      <c r="S813" s="8">
        <v>150000</v>
      </c>
      <c r="T813" s="2">
        <v>100000</v>
      </c>
      <c r="U813" s="6">
        <f t="shared" si="1146"/>
        <v>6600</v>
      </c>
      <c r="V813" s="1"/>
      <c r="W813" s="1"/>
      <c r="X813" s="1"/>
      <c r="Y813" s="1"/>
      <c r="Z813" s="1"/>
      <c r="AA813" s="1"/>
      <c r="AB813" s="1"/>
      <c r="AC813" s="3"/>
    </row>
    <row r="814" spans="1:29" ht="45" customHeight="1" x14ac:dyDescent="0.25">
      <c r="A814" s="43" t="s">
        <v>1066</v>
      </c>
      <c r="B814" s="43"/>
      <c r="C814" s="1">
        <f>SUM(C815)</f>
        <v>3795600</v>
      </c>
      <c r="D814" s="1">
        <f t="shared" ref="D814:T814" si="1169">SUM(D815)</f>
        <v>0</v>
      </c>
      <c r="E814" s="1">
        <f t="shared" si="1169"/>
        <v>0</v>
      </c>
      <c r="F814" s="1">
        <f t="shared" si="1169"/>
        <v>0</v>
      </c>
      <c r="G814" s="1">
        <f t="shared" si="1169"/>
        <v>0</v>
      </c>
      <c r="H814" s="1">
        <f t="shared" si="1169"/>
        <v>0</v>
      </c>
      <c r="I814" s="1">
        <f t="shared" si="1169"/>
        <v>0</v>
      </c>
      <c r="J814" s="1">
        <f t="shared" si="1169"/>
        <v>0</v>
      </c>
      <c r="K814" s="33">
        <f t="shared" si="1169"/>
        <v>0</v>
      </c>
      <c r="L814" s="1">
        <f t="shared" si="1169"/>
        <v>0</v>
      </c>
      <c r="M814" s="1">
        <f t="shared" si="1169"/>
        <v>0</v>
      </c>
      <c r="N814" s="1">
        <f t="shared" si="1169"/>
        <v>0</v>
      </c>
      <c r="O814" s="1">
        <f t="shared" si="1169"/>
        <v>0</v>
      </c>
      <c r="P814" s="1">
        <f t="shared" si="1169"/>
        <v>0</v>
      </c>
      <c r="Q814" s="1">
        <f t="shared" si="1169"/>
        <v>1108</v>
      </c>
      <c r="R814" s="1">
        <f t="shared" si="1169"/>
        <v>3545600</v>
      </c>
      <c r="S814" s="1">
        <f t="shared" si="1169"/>
        <v>150000</v>
      </c>
      <c r="T814" s="1">
        <f t="shared" si="1169"/>
        <v>100000</v>
      </c>
      <c r="U814" s="3" t="e">
        <f>C814+#REF!+#REF!</f>
        <v>#REF!</v>
      </c>
    </row>
    <row r="815" spans="1:29" ht="22.9" customHeight="1" x14ac:dyDescent="0.25">
      <c r="A815" s="39" t="s">
        <v>1828</v>
      </c>
      <c r="B815" s="9" t="s">
        <v>1067</v>
      </c>
      <c r="C815" s="7">
        <f t="shared" ref="C815" si="1170">D815+L815+N815+P815+R815+S815+T815</f>
        <v>3795600</v>
      </c>
      <c r="D815" s="2">
        <f t="shared" ref="D815" si="1171">SUM(E815:J815)</f>
        <v>0</v>
      </c>
      <c r="E815" s="2">
        <v>0</v>
      </c>
      <c r="F815" s="2">
        <v>0</v>
      </c>
      <c r="G815" s="2">
        <v>0</v>
      </c>
      <c r="H815" s="2">
        <v>0</v>
      </c>
      <c r="I815" s="2">
        <v>0</v>
      </c>
      <c r="J815" s="2">
        <v>0</v>
      </c>
      <c r="K815" s="21">
        <v>0</v>
      </c>
      <c r="L815" s="2">
        <v>0</v>
      </c>
      <c r="M815" s="2">
        <v>0</v>
      </c>
      <c r="N815" s="2">
        <f t="shared" ref="N815" si="1172">M815*6600</f>
        <v>0</v>
      </c>
      <c r="O815" s="2">
        <v>0</v>
      </c>
      <c r="P815" s="2">
        <v>0</v>
      </c>
      <c r="Q815" s="2">
        <v>1108</v>
      </c>
      <c r="R815" s="2">
        <f t="shared" si="1151"/>
        <v>3545600</v>
      </c>
      <c r="S815" s="8">
        <v>150000</v>
      </c>
      <c r="T815" s="2">
        <v>100000</v>
      </c>
      <c r="U815" s="6" t="e">
        <f t="shared" si="1146"/>
        <v>#DIV/0!</v>
      </c>
      <c r="V815" s="1"/>
      <c r="W815" s="1"/>
      <c r="X815" s="1"/>
      <c r="Y815" s="1"/>
      <c r="Z815" s="1"/>
      <c r="AA815" s="1"/>
      <c r="AB815" s="1"/>
      <c r="AC815" s="3"/>
    </row>
    <row r="816" spans="1:29" ht="45" customHeight="1" x14ac:dyDescent="0.25">
      <c r="A816" s="43" t="s">
        <v>1068</v>
      </c>
      <c r="B816" s="43"/>
      <c r="C816" s="1">
        <f>SUM(C817)</f>
        <v>4063600</v>
      </c>
      <c r="D816" s="1">
        <f t="shared" ref="D816:T816" si="1173">SUM(D817)</f>
        <v>281400</v>
      </c>
      <c r="E816" s="1">
        <f t="shared" si="1173"/>
        <v>281400</v>
      </c>
      <c r="F816" s="1">
        <f t="shared" si="1173"/>
        <v>0</v>
      </c>
      <c r="G816" s="1">
        <f t="shared" si="1173"/>
        <v>0</v>
      </c>
      <c r="H816" s="1">
        <f t="shared" si="1173"/>
        <v>0</v>
      </c>
      <c r="I816" s="1">
        <f t="shared" si="1173"/>
        <v>0</v>
      </c>
      <c r="J816" s="1">
        <f t="shared" si="1173"/>
        <v>0</v>
      </c>
      <c r="K816" s="33">
        <f t="shared" si="1173"/>
        <v>0</v>
      </c>
      <c r="L816" s="1">
        <f t="shared" si="1173"/>
        <v>0</v>
      </c>
      <c r="M816" s="1">
        <f t="shared" si="1173"/>
        <v>317</v>
      </c>
      <c r="N816" s="1">
        <f t="shared" si="1173"/>
        <v>2092200</v>
      </c>
      <c r="O816" s="1">
        <f t="shared" si="1173"/>
        <v>0</v>
      </c>
      <c r="P816" s="1">
        <f t="shared" si="1173"/>
        <v>0</v>
      </c>
      <c r="Q816" s="1">
        <f t="shared" si="1173"/>
        <v>450</v>
      </c>
      <c r="R816" s="1">
        <f t="shared" si="1173"/>
        <v>1440000</v>
      </c>
      <c r="S816" s="1">
        <f t="shared" si="1173"/>
        <v>150000</v>
      </c>
      <c r="T816" s="1">
        <f t="shared" si="1173"/>
        <v>100000</v>
      </c>
      <c r="U816" s="3" t="e">
        <f>C816+#REF!+#REF!</f>
        <v>#REF!</v>
      </c>
    </row>
    <row r="817" spans="1:29" ht="22.9" customHeight="1" x14ac:dyDescent="0.25">
      <c r="A817" s="39" t="s">
        <v>1829</v>
      </c>
      <c r="B817" s="9" t="s">
        <v>1070</v>
      </c>
      <c r="C817" s="7">
        <f t="shared" ref="C817" si="1174">D817+L817+N817+P817+R817+S817+T817</f>
        <v>4063600</v>
      </c>
      <c r="D817" s="2">
        <f t="shared" ref="D817" si="1175">SUM(E817:J817)</f>
        <v>281400</v>
      </c>
      <c r="E817" s="2">
        <f>700*402</f>
        <v>281400</v>
      </c>
      <c r="F817" s="2">
        <v>0</v>
      </c>
      <c r="G817" s="2">
        <v>0</v>
      </c>
      <c r="H817" s="2">
        <v>0</v>
      </c>
      <c r="I817" s="2">
        <v>0</v>
      </c>
      <c r="J817" s="2">
        <v>0</v>
      </c>
      <c r="K817" s="21">
        <v>0</v>
      </c>
      <c r="L817" s="2">
        <v>0</v>
      </c>
      <c r="M817" s="2">
        <v>317</v>
      </c>
      <c r="N817" s="2">
        <f t="shared" ref="N817:N820" si="1176">M817*6600</f>
        <v>2092200</v>
      </c>
      <c r="O817" s="2">
        <v>0</v>
      </c>
      <c r="P817" s="2">
        <v>0</v>
      </c>
      <c r="Q817" s="2">
        <v>450</v>
      </c>
      <c r="R817" s="2">
        <f t="shared" si="1151"/>
        <v>1440000</v>
      </c>
      <c r="S817" s="8">
        <v>150000</v>
      </c>
      <c r="T817" s="2">
        <v>100000</v>
      </c>
      <c r="U817" s="6">
        <f t="shared" si="1146"/>
        <v>6600</v>
      </c>
      <c r="V817" s="1"/>
      <c r="W817" s="1"/>
      <c r="X817" s="1"/>
      <c r="Y817" s="1"/>
      <c r="Z817" s="1"/>
      <c r="AA817" s="1"/>
      <c r="AB817" s="1"/>
      <c r="AC817" s="3"/>
    </row>
    <row r="818" spans="1:29" ht="45" customHeight="1" x14ac:dyDescent="0.25">
      <c r="A818" s="43" t="s">
        <v>1077</v>
      </c>
      <c r="B818" s="43"/>
      <c r="C818" s="1">
        <f>SUM(C819:C820)</f>
        <v>7876568</v>
      </c>
      <c r="D818" s="1">
        <f t="shared" ref="D818:T818" si="1177">SUM(D819:D820)</f>
        <v>618660</v>
      </c>
      <c r="E818" s="1">
        <f t="shared" si="1177"/>
        <v>618660</v>
      </c>
      <c r="F818" s="1">
        <f t="shared" si="1177"/>
        <v>0</v>
      </c>
      <c r="G818" s="1">
        <f t="shared" si="1177"/>
        <v>0</v>
      </c>
      <c r="H818" s="1">
        <f t="shared" si="1177"/>
        <v>0</v>
      </c>
      <c r="I818" s="1">
        <f t="shared" si="1177"/>
        <v>0</v>
      </c>
      <c r="J818" s="1">
        <f t="shared" si="1177"/>
        <v>0</v>
      </c>
      <c r="K818" s="33">
        <f t="shared" si="1177"/>
        <v>0</v>
      </c>
      <c r="L818" s="1">
        <f t="shared" si="1177"/>
        <v>0</v>
      </c>
      <c r="M818" s="1">
        <f t="shared" si="1177"/>
        <v>736.57999999999993</v>
      </c>
      <c r="N818" s="1">
        <f t="shared" si="1177"/>
        <v>4861428</v>
      </c>
      <c r="O818" s="1">
        <f t="shared" si="1177"/>
        <v>0</v>
      </c>
      <c r="P818" s="1">
        <f t="shared" si="1177"/>
        <v>0</v>
      </c>
      <c r="Q818" s="1">
        <f t="shared" si="1177"/>
        <v>717.65000000000009</v>
      </c>
      <c r="R818" s="1">
        <f t="shared" si="1177"/>
        <v>2296480</v>
      </c>
      <c r="S818" s="1">
        <f t="shared" si="1177"/>
        <v>0</v>
      </c>
      <c r="T818" s="1">
        <f t="shared" si="1177"/>
        <v>100000</v>
      </c>
      <c r="U818" s="3" t="e">
        <f>C818+#REF!+#REF!</f>
        <v>#REF!</v>
      </c>
    </row>
    <row r="819" spans="1:29" ht="22.9" customHeight="1" x14ac:dyDescent="0.25">
      <c r="A819" s="39" t="s">
        <v>1830</v>
      </c>
      <c r="B819" s="9" t="s">
        <v>1078</v>
      </c>
      <c r="C819" s="7">
        <f t="shared" ref="C819:C820" si="1178">D819+L819+N819+P819+R819+S819+T819</f>
        <v>4009892</v>
      </c>
      <c r="D819" s="2">
        <f t="shared" ref="D819:D820" si="1179">SUM(E819:J819)</f>
        <v>317240</v>
      </c>
      <c r="E819" s="2">
        <f>700*453.2</f>
        <v>317240</v>
      </c>
      <c r="F819" s="2">
        <v>0</v>
      </c>
      <c r="G819" s="2">
        <v>0</v>
      </c>
      <c r="H819" s="2">
        <v>0</v>
      </c>
      <c r="I819" s="2">
        <v>0</v>
      </c>
      <c r="J819" s="2">
        <v>0</v>
      </c>
      <c r="K819" s="21">
        <v>0</v>
      </c>
      <c r="L819" s="2">
        <v>0</v>
      </c>
      <c r="M819" s="2">
        <v>374.38</v>
      </c>
      <c r="N819" s="2">
        <f t="shared" si="1176"/>
        <v>2470908</v>
      </c>
      <c r="O819" s="2">
        <v>0</v>
      </c>
      <c r="P819" s="2">
        <v>0</v>
      </c>
      <c r="Q819" s="2">
        <v>366.17</v>
      </c>
      <c r="R819" s="2">
        <f t="shared" ref="R819:R820" si="1180">Q819*3200</f>
        <v>1171744</v>
      </c>
      <c r="S819" s="8">
        <v>0</v>
      </c>
      <c r="T819" s="2">
        <v>50000</v>
      </c>
      <c r="U819" s="6">
        <f t="shared" si="1146"/>
        <v>6600</v>
      </c>
      <c r="V819" s="1"/>
      <c r="W819" s="1"/>
      <c r="X819" s="1"/>
      <c r="Y819" s="1"/>
      <c r="Z819" s="1"/>
      <c r="AA819" s="1"/>
      <c r="AB819" s="1"/>
      <c r="AC819" s="3"/>
    </row>
    <row r="820" spans="1:29" ht="22.9" customHeight="1" x14ac:dyDescent="0.25">
      <c r="A820" s="39" t="s">
        <v>1831</v>
      </c>
      <c r="B820" s="9" t="s">
        <v>1079</v>
      </c>
      <c r="C820" s="7">
        <f t="shared" si="1178"/>
        <v>3866676</v>
      </c>
      <c r="D820" s="2">
        <f t="shared" si="1179"/>
        <v>301420</v>
      </c>
      <c r="E820" s="2">
        <f>700*430.6</f>
        <v>301420</v>
      </c>
      <c r="F820" s="2">
        <v>0</v>
      </c>
      <c r="G820" s="2">
        <v>0</v>
      </c>
      <c r="H820" s="2">
        <v>0</v>
      </c>
      <c r="I820" s="2">
        <v>0</v>
      </c>
      <c r="J820" s="2">
        <v>0</v>
      </c>
      <c r="K820" s="21">
        <v>0</v>
      </c>
      <c r="L820" s="2">
        <v>0</v>
      </c>
      <c r="M820" s="2">
        <v>362.2</v>
      </c>
      <c r="N820" s="2">
        <f t="shared" si="1176"/>
        <v>2390520</v>
      </c>
      <c r="O820" s="2">
        <v>0</v>
      </c>
      <c r="P820" s="2">
        <v>0</v>
      </c>
      <c r="Q820" s="2">
        <v>351.48</v>
      </c>
      <c r="R820" s="2">
        <f t="shared" si="1180"/>
        <v>1124736</v>
      </c>
      <c r="S820" s="8">
        <v>0</v>
      </c>
      <c r="T820" s="2">
        <v>50000</v>
      </c>
      <c r="U820" s="6">
        <f t="shared" si="1146"/>
        <v>6600</v>
      </c>
    </row>
    <row r="821" spans="1:29" ht="45" customHeight="1" x14ac:dyDescent="0.25">
      <c r="A821" s="43" t="s">
        <v>1080</v>
      </c>
      <c r="B821" s="43"/>
      <c r="C821" s="1">
        <f>SUM(C822:C824)</f>
        <v>14493043.399999999</v>
      </c>
      <c r="D821" s="1">
        <f t="shared" ref="D821:T821" si="1181">SUM(D822:D824)</f>
        <v>3703013</v>
      </c>
      <c r="E821" s="1">
        <f t="shared" si="1181"/>
        <v>1234912</v>
      </c>
      <c r="F821" s="1">
        <f t="shared" si="1181"/>
        <v>1770223</v>
      </c>
      <c r="G821" s="1">
        <f t="shared" si="1181"/>
        <v>529248</v>
      </c>
      <c r="H821" s="1">
        <f t="shared" si="1181"/>
        <v>0</v>
      </c>
      <c r="I821" s="1">
        <f t="shared" si="1181"/>
        <v>168630</v>
      </c>
      <c r="J821" s="1">
        <f t="shared" si="1181"/>
        <v>0</v>
      </c>
      <c r="K821" s="33">
        <f t="shared" si="1181"/>
        <v>0</v>
      </c>
      <c r="L821" s="1">
        <f t="shared" si="1181"/>
        <v>0</v>
      </c>
      <c r="M821" s="1">
        <f t="shared" si="1181"/>
        <v>802.05600000000004</v>
      </c>
      <c r="N821" s="1">
        <f t="shared" si="1181"/>
        <v>5293569.6000000006</v>
      </c>
      <c r="O821" s="1">
        <f t="shared" si="1181"/>
        <v>0</v>
      </c>
      <c r="P821" s="1">
        <f t="shared" si="1181"/>
        <v>0</v>
      </c>
      <c r="Q821" s="1">
        <f t="shared" si="1181"/>
        <v>1623.894</v>
      </c>
      <c r="R821" s="1">
        <f t="shared" si="1181"/>
        <v>5196460.8</v>
      </c>
      <c r="S821" s="1">
        <f t="shared" si="1181"/>
        <v>0</v>
      </c>
      <c r="T821" s="1">
        <f t="shared" si="1181"/>
        <v>300000</v>
      </c>
      <c r="U821" s="3" t="e">
        <f>C821+#REF!+#REF!</f>
        <v>#REF!</v>
      </c>
    </row>
    <row r="822" spans="1:29" ht="22.9" customHeight="1" x14ac:dyDescent="0.25">
      <c r="A822" s="39" t="s">
        <v>1832</v>
      </c>
      <c r="B822" s="9" t="s">
        <v>1085</v>
      </c>
      <c r="C822" s="7">
        <f t="shared" ref="C822" si="1182">D822+L822+N822+P822+R822+S822+T822</f>
        <v>4179874</v>
      </c>
      <c r="D822" s="2">
        <f t="shared" ref="D822" si="1183">SUM(E822:J822)</f>
        <v>402450</v>
      </c>
      <c r="E822" s="2">
        <f>700*402.45</f>
        <v>281715</v>
      </c>
      <c r="F822" s="2">
        <v>0</v>
      </c>
      <c r="G822" s="2">
        <f>300*402.45</f>
        <v>120735</v>
      </c>
      <c r="H822" s="2">
        <v>0</v>
      </c>
      <c r="I822" s="2">
        <v>0</v>
      </c>
      <c r="J822" s="2">
        <v>0</v>
      </c>
      <c r="K822" s="21">
        <v>0</v>
      </c>
      <c r="L822" s="2">
        <v>0</v>
      </c>
      <c r="M822" s="8">
        <v>303.60000000000002</v>
      </c>
      <c r="N822" s="2">
        <f t="shared" ref="N822" si="1184">M822*6600</f>
        <v>2003760.0000000002</v>
      </c>
      <c r="O822" s="2">
        <v>0</v>
      </c>
      <c r="P822" s="2">
        <v>0</v>
      </c>
      <c r="Q822" s="2">
        <v>523.02</v>
      </c>
      <c r="R822" s="2">
        <f>Q822*3200</f>
        <v>1673664</v>
      </c>
      <c r="S822" s="8">
        <v>0</v>
      </c>
      <c r="T822" s="2">
        <v>100000</v>
      </c>
      <c r="U822" s="6">
        <f t="shared" si="1146"/>
        <v>6600</v>
      </c>
      <c r="V822" s="1"/>
      <c r="W822" s="1"/>
      <c r="X822" s="1"/>
      <c r="Y822" s="1"/>
      <c r="Z822" s="1"/>
      <c r="AA822" s="1"/>
      <c r="AB822" s="1"/>
      <c r="AC822" s="3"/>
    </row>
    <row r="823" spans="1:29" ht="22.9" customHeight="1" x14ac:dyDescent="0.25">
      <c r="A823" s="39" t="s">
        <v>1833</v>
      </c>
      <c r="B823" s="9" t="s">
        <v>1083</v>
      </c>
      <c r="C823" s="7">
        <f t="shared" ref="C823:C824" si="1185">D823+L823+N823+P823+R823+S823+T823</f>
        <v>3181460</v>
      </c>
      <c r="D823" s="2">
        <f t="shared" ref="D823:D824" si="1186">SUM(E823:J823)</f>
        <v>1461460</v>
      </c>
      <c r="E823" s="2">
        <f>700*562.1</f>
        <v>393470</v>
      </c>
      <c r="F823" s="2">
        <f>1300*562.1</f>
        <v>730730</v>
      </c>
      <c r="G823" s="2">
        <f>300*562.1</f>
        <v>168630</v>
      </c>
      <c r="H823" s="2">
        <v>0</v>
      </c>
      <c r="I823" s="2">
        <f>300*562.1</f>
        <v>168630</v>
      </c>
      <c r="J823" s="2">
        <v>0</v>
      </c>
      <c r="K823" s="21">
        <v>0</v>
      </c>
      <c r="L823" s="2">
        <v>0</v>
      </c>
      <c r="M823" s="8">
        <v>0</v>
      </c>
      <c r="N823" s="2">
        <f t="shared" ref="N823:N824" si="1187">M823*6600</f>
        <v>0</v>
      </c>
      <c r="O823" s="2">
        <v>0</v>
      </c>
      <c r="P823" s="2">
        <v>0</v>
      </c>
      <c r="Q823" s="2">
        <v>506.25</v>
      </c>
      <c r="R823" s="2">
        <f t="shared" ref="R823:R844" si="1188">Q823*3200</f>
        <v>1620000</v>
      </c>
      <c r="S823" s="8">
        <v>0</v>
      </c>
      <c r="T823" s="2">
        <v>100000</v>
      </c>
      <c r="U823" s="6" t="e">
        <f t="shared" si="1146"/>
        <v>#DIV/0!</v>
      </c>
      <c r="V823" s="1"/>
      <c r="W823" s="1"/>
      <c r="X823" s="1"/>
      <c r="Y823" s="1"/>
      <c r="Z823" s="1"/>
      <c r="AA823" s="1"/>
      <c r="AB823" s="1"/>
      <c r="AC823" s="3"/>
    </row>
    <row r="824" spans="1:29" ht="22.9" customHeight="1" x14ac:dyDescent="0.25">
      <c r="A824" s="39" t="s">
        <v>1834</v>
      </c>
      <c r="B824" s="9" t="s">
        <v>1084</v>
      </c>
      <c r="C824" s="7">
        <f t="shared" si="1185"/>
        <v>7131709.3999999994</v>
      </c>
      <c r="D824" s="2">
        <f t="shared" si="1186"/>
        <v>1839103</v>
      </c>
      <c r="E824" s="2">
        <f>700*799.61</f>
        <v>559727</v>
      </c>
      <c r="F824" s="2">
        <f>1300*799.61</f>
        <v>1039493</v>
      </c>
      <c r="G824" s="2">
        <f>300*799.61</f>
        <v>239883</v>
      </c>
      <c r="H824" s="2">
        <v>0</v>
      </c>
      <c r="I824" s="2">
        <v>0</v>
      </c>
      <c r="J824" s="2">
        <v>0</v>
      </c>
      <c r="K824" s="21">
        <v>0</v>
      </c>
      <c r="L824" s="2">
        <v>0</v>
      </c>
      <c r="M824" s="2">
        <v>498.45600000000002</v>
      </c>
      <c r="N824" s="2">
        <f t="shared" si="1187"/>
        <v>3289809.6</v>
      </c>
      <c r="O824" s="2">
        <v>0</v>
      </c>
      <c r="P824" s="2">
        <v>0</v>
      </c>
      <c r="Q824" s="2">
        <v>594.62400000000002</v>
      </c>
      <c r="R824" s="2">
        <f t="shared" si="1188"/>
        <v>1902796.8</v>
      </c>
      <c r="S824" s="8">
        <v>0</v>
      </c>
      <c r="T824" s="2">
        <v>100000</v>
      </c>
      <c r="U824" s="6">
        <f t="shared" si="1146"/>
        <v>6600</v>
      </c>
      <c r="V824" s="1"/>
      <c r="W824" s="1"/>
      <c r="X824" s="1"/>
      <c r="Y824" s="1"/>
      <c r="Z824" s="1"/>
      <c r="AA824" s="1"/>
      <c r="AB824" s="1"/>
      <c r="AC824" s="3"/>
    </row>
    <row r="825" spans="1:29" ht="45" customHeight="1" x14ac:dyDescent="0.25">
      <c r="A825" s="43" t="s">
        <v>1088</v>
      </c>
      <c r="B825" s="43"/>
      <c r="C825" s="1">
        <f>SUM(C826:C828)</f>
        <v>11096000</v>
      </c>
      <c r="D825" s="1">
        <f t="shared" ref="D825:T825" si="1189">SUM(D826:D828)</f>
        <v>266000</v>
      </c>
      <c r="E825" s="1">
        <f t="shared" si="1189"/>
        <v>266000</v>
      </c>
      <c r="F825" s="1">
        <f t="shared" si="1189"/>
        <v>0</v>
      </c>
      <c r="G825" s="1">
        <f t="shared" si="1189"/>
        <v>0</v>
      </c>
      <c r="H825" s="1">
        <f t="shared" si="1189"/>
        <v>0</v>
      </c>
      <c r="I825" s="1">
        <f t="shared" si="1189"/>
        <v>0</v>
      </c>
      <c r="J825" s="1">
        <f t="shared" si="1189"/>
        <v>0</v>
      </c>
      <c r="K825" s="33">
        <f t="shared" si="1189"/>
        <v>0</v>
      </c>
      <c r="L825" s="1">
        <f t="shared" si="1189"/>
        <v>0</v>
      </c>
      <c r="M825" s="1">
        <f t="shared" si="1189"/>
        <v>1100</v>
      </c>
      <c r="N825" s="1">
        <f t="shared" si="1189"/>
        <v>7260000</v>
      </c>
      <c r="O825" s="1">
        <f t="shared" si="1189"/>
        <v>0</v>
      </c>
      <c r="P825" s="1">
        <f t="shared" si="1189"/>
        <v>0</v>
      </c>
      <c r="Q825" s="1">
        <f t="shared" si="1189"/>
        <v>1100</v>
      </c>
      <c r="R825" s="1">
        <f t="shared" si="1189"/>
        <v>3520000</v>
      </c>
      <c r="S825" s="1">
        <f t="shared" si="1189"/>
        <v>0</v>
      </c>
      <c r="T825" s="1">
        <f t="shared" si="1189"/>
        <v>50000</v>
      </c>
      <c r="U825" s="3" t="e">
        <f>C825+#REF!+#REF!</f>
        <v>#REF!</v>
      </c>
    </row>
    <row r="826" spans="1:29" ht="22.9" customHeight="1" x14ac:dyDescent="0.25">
      <c r="A826" s="39" t="s">
        <v>1835</v>
      </c>
      <c r="B826" s="9" t="s">
        <v>1089</v>
      </c>
      <c r="C826" s="7">
        <f t="shared" ref="C826" si="1190">D826+L826+N826+P826+R826+S826+T826</f>
        <v>4040000</v>
      </c>
      <c r="D826" s="2">
        <f t="shared" ref="D826" si="1191">SUM(E826:J826)</f>
        <v>266000</v>
      </c>
      <c r="E826" s="2">
        <f>700*380</f>
        <v>266000</v>
      </c>
      <c r="F826" s="2">
        <v>0</v>
      </c>
      <c r="G826" s="2">
        <v>0</v>
      </c>
      <c r="H826" s="2">
        <v>0</v>
      </c>
      <c r="I826" s="2">
        <v>0</v>
      </c>
      <c r="J826" s="2">
        <v>0</v>
      </c>
      <c r="K826" s="21">
        <v>0</v>
      </c>
      <c r="L826" s="2">
        <v>0</v>
      </c>
      <c r="M826" s="2">
        <v>380</v>
      </c>
      <c r="N826" s="2">
        <f t="shared" ref="N826" si="1192">M826*6600</f>
        <v>2508000</v>
      </c>
      <c r="O826" s="2">
        <v>0</v>
      </c>
      <c r="P826" s="2">
        <v>0</v>
      </c>
      <c r="Q826" s="2">
        <v>380</v>
      </c>
      <c r="R826" s="2">
        <f t="shared" si="1188"/>
        <v>1216000</v>
      </c>
      <c r="S826" s="8">
        <v>0</v>
      </c>
      <c r="T826" s="2">
        <v>50000</v>
      </c>
      <c r="U826" s="6">
        <f t="shared" si="1146"/>
        <v>6600</v>
      </c>
      <c r="V826" s="1"/>
      <c r="W826" s="1"/>
      <c r="X826" s="1"/>
      <c r="Y826" s="1"/>
      <c r="Z826" s="1"/>
      <c r="AA826" s="1"/>
      <c r="AB826" s="1"/>
      <c r="AC826" s="3"/>
    </row>
    <row r="827" spans="1:29" ht="22.9" customHeight="1" x14ac:dyDescent="0.25">
      <c r="A827" s="39" t="s">
        <v>1836</v>
      </c>
      <c r="B827" s="9" t="s">
        <v>1090</v>
      </c>
      <c r="C827" s="7">
        <f t="shared" ref="C827" si="1193">D827+L827+N827+P827+R827+S827+T827</f>
        <v>3675000</v>
      </c>
      <c r="D827" s="2">
        <f t="shared" ref="D827" si="1194">SUM(E827:J827)</f>
        <v>0</v>
      </c>
      <c r="E827" s="2">
        <v>0</v>
      </c>
      <c r="F827" s="2">
        <v>0</v>
      </c>
      <c r="G827" s="2">
        <v>0</v>
      </c>
      <c r="H827" s="2">
        <v>0</v>
      </c>
      <c r="I827" s="2">
        <v>0</v>
      </c>
      <c r="J827" s="2">
        <v>0</v>
      </c>
      <c r="K827" s="21">
        <v>0</v>
      </c>
      <c r="L827" s="2">
        <v>0</v>
      </c>
      <c r="M827" s="2">
        <v>375</v>
      </c>
      <c r="N827" s="2">
        <f t="shared" ref="N827" si="1195">M827*6600</f>
        <v>2475000</v>
      </c>
      <c r="O827" s="2">
        <v>0</v>
      </c>
      <c r="P827" s="2">
        <v>0</v>
      </c>
      <c r="Q827" s="2">
        <v>375</v>
      </c>
      <c r="R827" s="2">
        <f t="shared" si="1188"/>
        <v>1200000</v>
      </c>
      <c r="S827" s="8">
        <v>0</v>
      </c>
      <c r="T827" s="2">
        <v>0</v>
      </c>
      <c r="U827" s="6">
        <f t="shared" si="1146"/>
        <v>6600</v>
      </c>
      <c r="V827" s="1"/>
      <c r="W827" s="1"/>
      <c r="X827" s="1"/>
      <c r="Y827" s="1"/>
      <c r="Z827" s="1"/>
      <c r="AA827" s="1"/>
      <c r="AB827" s="1"/>
      <c r="AC827" s="3"/>
    </row>
    <row r="828" spans="1:29" ht="22.9" customHeight="1" x14ac:dyDescent="0.25">
      <c r="A828" s="39" t="s">
        <v>1837</v>
      </c>
      <c r="B828" s="9" t="s">
        <v>1091</v>
      </c>
      <c r="C828" s="7">
        <f t="shared" ref="C828" si="1196">D828+L828+N828+P828+R828+S828+T828</f>
        <v>3381000</v>
      </c>
      <c r="D828" s="2">
        <f t="shared" ref="D828" si="1197">SUM(E828:J828)</f>
        <v>0</v>
      </c>
      <c r="E828" s="2">
        <v>0</v>
      </c>
      <c r="F828" s="2">
        <v>0</v>
      </c>
      <c r="G828" s="2">
        <v>0</v>
      </c>
      <c r="H828" s="2">
        <v>0</v>
      </c>
      <c r="I828" s="2">
        <v>0</v>
      </c>
      <c r="J828" s="2">
        <v>0</v>
      </c>
      <c r="K828" s="21">
        <v>0</v>
      </c>
      <c r="L828" s="2">
        <v>0</v>
      </c>
      <c r="M828" s="2">
        <v>345</v>
      </c>
      <c r="N828" s="2">
        <f t="shared" ref="N828" si="1198">M828*6600</f>
        <v>2277000</v>
      </c>
      <c r="O828" s="2">
        <v>0</v>
      </c>
      <c r="P828" s="2">
        <v>0</v>
      </c>
      <c r="Q828" s="2">
        <v>345</v>
      </c>
      <c r="R828" s="2">
        <f t="shared" si="1188"/>
        <v>1104000</v>
      </c>
      <c r="S828" s="8">
        <v>0</v>
      </c>
      <c r="T828" s="2">
        <v>0</v>
      </c>
      <c r="U828" s="6">
        <f t="shared" si="1146"/>
        <v>6600</v>
      </c>
      <c r="V828" s="1"/>
      <c r="W828" s="1"/>
      <c r="X828" s="1"/>
      <c r="Y828" s="1"/>
      <c r="Z828" s="1"/>
      <c r="AA828" s="1"/>
      <c r="AB828" s="1"/>
      <c r="AC828" s="3"/>
    </row>
    <row r="829" spans="1:29" ht="45" customHeight="1" x14ac:dyDescent="0.25">
      <c r="A829" s="43" t="s">
        <v>1098</v>
      </c>
      <c r="B829" s="43"/>
      <c r="C829" s="1">
        <f>SUM(C830)</f>
        <v>3182200</v>
      </c>
      <c r="D829" s="1">
        <f t="shared" ref="D829:T829" si="1199">SUM(D830)</f>
        <v>0</v>
      </c>
      <c r="E829" s="1">
        <f t="shared" si="1199"/>
        <v>0</v>
      </c>
      <c r="F829" s="1">
        <f t="shared" si="1199"/>
        <v>0</v>
      </c>
      <c r="G829" s="1">
        <f t="shared" si="1199"/>
        <v>0</v>
      </c>
      <c r="H829" s="1">
        <f t="shared" si="1199"/>
        <v>0</v>
      </c>
      <c r="I829" s="1">
        <f t="shared" si="1199"/>
        <v>0</v>
      </c>
      <c r="J829" s="1">
        <f t="shared" si="1199"/>
        <v>0</v>
      </c>
      <c r="K829" s="33">
        <f t="shared" si="1199"/>
        <v>0</v>
      </c>
      <c r="L829" s="1">
        <f t="shared" si="1199"/>
        <v>0</v>
      </c>
      <c r="M829" s="1">
        <f t="shared" si="1199"/>
        <v>279</v>
      </c>
      <c r="N829" s="1">
        <f t="shared" si="1199"/>
        <v>1841400</v>
      </c>
      <c r="O829" s="1">
        <f t="shared" si="1199"/>
        <v>0</v>
      </c>
      <c r="P829" s="1">
        <f t="shared" si="1199"/>
        <v>0</v>
      </c>
      <c r="Q829" s="1">
        <f t="shared" si="1199"/>
        <v>419</v>
      </c>
      <c r="R829" s="1">
        <f t="shared" si="1199"/>
        <v>1340800</v>
      </c>
      <c r="S829" s="1">
        <f t="shared" si="1199"/>
        <v>0</v>
      </c>
      <c r="T829" s="1">
        <f t="shared" si="1199"/>
        <v>0</v>
      </c>
      <c r="U829" s="3" t="e">
        <f>C829+#REF!+#REF!</f>
        <v>#REF!</v>
      </c>
    </row>
    <row r="830" spans="1:29" ht="22.9" customHeight="1" x14ac:dyDescent="0.25">
      <c r="A830" s="39" t="s">
        <v>1838</v>
      </c>
      <c r="B830" s="9" t="s">
        <v>1100</v>
      </c>
      <c r="C830" s="7">
        <f t="shared" ref="C830" si="1200">D830+L830+N830+P830+R830+S830+T830</f>
        <v>3182200</v>
      </c>
      <c r="D830" s="2">
        <f t="shared" ref="D830" si="1201">SUM(E830:J830)</f>
        <v>0</v>
      </c>
      <c r="E830" s="2">
        <v>0</v>
      </c>
      <c r="F830" s="2">
        <v>0</v>
      </c>
      <c r="G830" s="2">
        <v>0</v>
      </c>
      <c r="H830" s="2">
        <v>0</v>
      </c>
      <c r="I830" s="2">
        <v>0</v>
      </c>
      <c r="J830" s="2">
        <v>0</v>
      </c>
      <c r="K830" s="21">
        <v>0</v>
      </c>
      <c r="L830" s="2">
        <v>0</v>
      </c>
      <c r="M830" s="2">
        <v>279</v>
      </c>
      <c r="N830" s="2">
        <f t="shared" ref="N830" si="1202">M830*6600</f>
        <v>1841400</v>
      </c>
      <c r="O830" s="2">
        <v>0</v>
      </c>
      <c r="P830" s="2">
        <v>0</v>
      </c>
      <c r="Q830" s="2">
        <v>419</v>
      </c>
      <c r="R830" s="2">
        <f t="shared" si="1188"/>
        <v>1340800</v>
      </c>
      <c r="S830" s="8">
        <v>0</v>
      </c>
      <c r="T830" s="2">
        <v>0</v>
      </c>
      <c r="U830" s="6">
        <f t="shared" si="1146"/>
        <v>6600</v>
      </c>
      <c r="V830" s="1"/>
      <c r="W830" s="1"/>
      <c r="X830" s="1"/>
      <c r="Y830" s="1"/>
      <c r="Z830" s="1"/>
      <c r="AA830" s="1"/>
      <c r="AB830" s="1"/>
      <c r="AC830" s="3"/>
    </row>
    <row r="831" spans="1:29" ht="45" customHeight="1" x14ac:dyDescent="0.25">
      <c r="A831" s="43" t="s">
        <v>1104</v>
      </c>
      <c r="B831" s="43"/>
      <c r="C831" s="1">
        <f>SUM(C832:C841)</f>
        <v>68858810</v>
      </c>
      <c r="D831" s="1">
        <f t="shared" ref="D831:T831" si="1203">SUM(D832:D841)</f>
        <v>24048830</v>
      </c>
      <c r="E831" s="1">
        <f t="shared" si="1203"/>
        <v>6608980</v>
      </c>
      <c r="F831" s="1">
        <f t="shared" si="1203"/>
        <v>11775010</v>
      </c>
      <c r="G831" s="1">
        <f t="shared" si="1203"/>
        <v>2832420</v>
      </c>
      <c r="H831" s="1">
        <f t="shared" si="1203"/>
        <v>0</v>
      </c>
      <c r="I831" s="1">
        <f t="shared" si="1203"/>
        <v>2832420</v>
      </c>
      <c r="J831" s="1">
        <f t="shared" si="1203"/>
        <v>0</v>
      </c>
      <c r="K831" s="33">
        <f t="shared" si="1203"/>
        <v>0</v>
      </c>
      <c r="L831" s="1">
        <f t="shared" si="1203"/>
        <v>0</v>
      </c>
      <c r="M831" s="1">
        <f t="shared" si="1203"/>
        <v>4455.1000000000004</v>
      </c>
      <c r="N831" s="1">
        <f t="shared" si="1203"/>
        <v>29403660</v>
      </c>
      <c r="O831" s="1">
        <f t="shared" si="1203"/>
        <v>0</v>
      </c>
      <c r="P831" s="1">
        <f t="shared" si="1203"/>
        <v>0</v>
      </c>
      <c r="Q831" s="1">
        <f t="shared" si="1203"/>
        <v>4455.1000000000004</v>
      </c>
      <c r="R831" s="1">
        <f t="shared" si="1203"/>
        <v>14256320</v>
      </c>
      <c r="S831" s="1">
        <f t="shared" si="1203"/>
        <v>150000</v>
      </c>
      <c r="T831" s="1">
        <f t="shared" si="1203"/>
        <v>1000000</v>
      </c>
      <c r="U831" s="3" t="e">
        <f>C831+#REF!+#REF!</f>
        <v>#REF!</v>
      </c>
    </row>
    <row r="832" spans="1:29" ht="22.9" customHeight="1" x14ac:dyDescent="0.25">
      <c r="A832" s="39" t="s">
        <v>1839</v>
      </c>
      <c r="B832" s="9" t="s">
        <v>1116</v>
      </c>
      <c r="C832" s="7">
        <f t="shared" ref="C832" si="1204">D832+L832+N832+P832+R832+S832+T832</f>
        <v>8935000</v>
      </c>
      <c r="D832" s="2">
        <f t="shared" ref="D832" si="1205">SUM(E832:J832)</f>
        <v>1852500</v>
      </c>
      <c r="E832" s="2">
        <f>700*712.5</f>
        <v>498750</v>
      </c>
      <c r="F832" s="2">
        <f>1300*712.5</f>
        <v>926250</v>
      </c>
      <c r="G832" s="2">
        <f>300*712.5</f>
        <v>213750</v>
      </c>
      <c r="H832" s="2">
        <v>0</v>
      </c>
      <c r="I832" s="2">
        <f>300*712.5</f>
        <v>213750</v>
      </c>
      <c r="J832" s="2">
        <v>0</v>
      </c>
      <c r="K832" s="21">
        <v>0</v>
      </c>
      <c r="L832" s="2">
        <v>0</v>
      </c>
      <c r="M832" s="2">
        <v>712.5</v>
      </c>
      <c r="N832" s="2">
        <f t="shared" ref="N832" si="1206">M832*6600</f>
        <v>4702500</v>
      </c>
      <c r="O832" s="2">
        <v>0</v>
      </c>
      <c r="P832" s="2">
        <v>0</v>
      </c>
      <c r="Q832" s="2">
        <v>712.5</v>
      </c>
      <c r="R832" s="2">
        <f t="shared" si="1188"/>
        <v>2280000</v>
      </c>
      <c r="S832" s="8">
        <v>0</v>
      </c>
      <c r="T832" s="2">
        <v>100000</v>
      </c>
      <c r="U832" s="6">
        <f t="shared" si="1146"/>
        <v>6600</v>
      </c>
      <c r="V832" s="1"/>
      <c r="W832" s="1"/>
      <c r="X832" s="1"/>
      <c r="Y832" s="1"/>
      <c r="Z832" s="1"/>
      <c r="AA832" s="1"/>
      <c r="AB832" s="1"/>
      <c r="AC832" s="3"/>
    </row>
    <row r="833" spans="1:29" ht="22.9" customHeight="1" x14ac:dyDescent="0.25">
      <c r="A833" s="39" t="s">
        <v>1840</v>
      </c>
      <c r="B833" s="9" t="s">
        <v>1117</v>
      </c>
      <c r="C833" s="7">
        <f t="shared" ref="C833:C834" si="1207">D833+L833+N833+P833+R833+S833+T833</f>
        <v>2144640</v>
      </c>
      <c r="D833" s="2">
        <f t="shared" ref="D833:D834" si="1208">SUM(E833:J833)</f>
        <v>2044640</v>
      </c>
      <c r="E833" s="2">
        <f>700*786.4</f>
        <v>550480</v>
      </c>
      <c r="F833" s="2">
        <f>1300*786.4</f>
        <v>1022320</v>
      </c>
      <c r="G833" s="2">
        <f>300*786.4</f>
        <v>235920</v>
      </c>
      <c r="H833" s="2">
        <v>0</v>
      </c>
      <c r="I833" s="2">
        <f>300*786.4</f>
        <v>235920</v>
      </c>
      <c r="J833" s="2">
        <v>0</v>
      </c>
      <c r="K833" s="21">
        <v>0</v>
      </c>
      <c r="L833" s="2">
        <v>0</v>
      </c>
      <c r="M833" s="2">
        <v>0</v>
      </c>
      <c r="N833" s="2">
        <f t="shared" ref="N833:N834" si="1209">M833*6600</f>
        <v>0</v>
      </c>
      <c r="O833" s="2">
        <v>0</v>
      </c>
      <c r="P833" s="2">
        <v>0</v>
      </c>
      <c r="Q833" s="2">
        <v>0</v>
      </c>
      <c r="R833" s="2">
        <f t="shared" si="1188"/>
        <v>0</v>
      </c>
      <c r="S833" s="8">
        <v>0</v>
      </c>
      <c r="T833" s="2">
        <v>100000</v>
      </c>
      <c r="U833" s="6" t="e">
        <f t="shared" si="1146"/>
        <v>#DIV/0!</v>
      </c>
      <c r="V833" s="1"/>
      <c r="W833" s="1"/>
      <c r="X833" s="1"/>
      <c r="Y833" s="1"/>
      <c r="Z833" s="1"/>
      <c r="AA833" s="1"/>
      <c r="AB833" s="1"/>
      <c r="AC833" s="3"/>
    </row>
    <row r="834" spans="1:29" ht="22.9" customHeight="1" x14ac:dyDescent="0.25">
      <c r="A834" s="39" t="s">
        <v>1841</v>
      </c>
      <c r="B834" s="9" t="s">
        <v>1118</v>
      </c>
      <c r="C834" s="7">
        <f t="shared" si="1207"/>
        <v>5169120</v>
      </c>
      <c r="D834" s="2">
        <f t="shared" si="1208"/>
        <v>1062880</v>
      </c>
      <c r="E834" s="2">
        <f>700*408.8</f>
        <v>286160</v>
      </c>
      <c r="F834" s="2">
        <f>1300*408.8</f>
        <v>531440</v>
      </c>
      <c r="G834" s="2">
        <f>300*408.8</f>
        <v>122640</v>
      </c>
      <c r="H834" s="2">
        <v>0</v>
      </c>
      <c r="I834" s="2">
        <f>300*408.8</f>
        <v>122640</v>
      </c>
      <c r="J834" s="2">
        <v>0</v>
      </c>
      <c r="K834" s="21">
        <v>0</v>
      </c>
      <c r="L834" s="2">
        <v>0</v>
      </c>
      <c r="M834" s="2">
        <v>408.8</v>
      </c>
      <c r="N834" s="2">
        <f t="shared" si="1209"/>
        <v>2698080</v>
      </c>
      <c r="O834" s="2">
        <v>0</v>
      </c>
      <c r="P834" s="2">
        <v>0</v>
      </c>
      <c r="Q834" s="2">
        <v>408.8</v>
      </c>
      <c r="R834" s="2">
        <f t="shared" si="1188"/>
        <v>1308160</v>
      </c>
      <c r="S834" s="8">
        <v>0</v>
      </c>
      <c r="T834" s="2">
        <v>100000</v>
      </c>
      <c r="U834" s="6">
        <f t="shared" si="1146"/>
        <v>6600</v>
      </c>
      <c r="V834" s="1"/>
      <c r="W834" s="1"/>
      <c r="X834" s="1"/>
      <c r="Y834" s="1"/>
      <c r="Z834" s="1"/>
      <c r="AA834" s="1"/>
      <c r="AB834" s="1"/>
      <c r="AC834" s="3"/>
    </row>
    <row r="835" spans="1:29" ht="22.9" customHeight="1" x14ac:dyDescent="0.25">
      <c r="A835" s="39" t="s">
        <v>1842</v>
      </c>
      <c r="B835" s="9" t="s">
        <v>1119</v>
      </c>
      <c r="C835" s="7">
        <f t="shared" ref="C835:C836" si="1210">D835+L835+N835+P835+R835+S835+T835</f>
        <v>1986560</v>
      </c>
      <c r="D835" s="2">
        <f t="shared" ref="D835:D836" si="1211">SUM(E835:J835)</f>
        <v>1886560</v>
      </c>
      <c r="E835" s="2">
        <f>700*725.6</f>
        <v>507920</v>
      </c>
      <c r="F835" s="2">
        <f>1300*725.6</f>
        <v>943280</v>
      </c>
      <c r="G835" s="2">
        <f>300*725.6</f>
        <v>217680</v>
      </c>
      <c r="H835" s="2">
        <v>0</v>
      </c>
      <c r="I835" s="2">
        <f>300*725.6</f>
        <v>217680</v>
      </c>
      <c r="J835" s="2">
        <v>0</v>
      </c>
      <c r="K835" s="21">
        <v>0</v>
      </c>
      <c r="L835" s="2">
        <v>0</v>
      </c>
      <c r="M835" s="2">
        <v>0</v>
      </c>
      <c r="N835" s="2">
        <f t="shared" ref="N835:N836" si="1212">M835*6600</f>
        <v>0</v>
      </c>
      <c r="O835" s="2">
        <v>0</v>
      </c>
      <c r="P835" s="2">
        <v>0</v>
      </c>
      <c r="Q835" s="2">
        <v>0</v>
      </c>
      <c r="R835" s="2">
        <f t="shared" si="1188"/>
        <v>0</v>
      </c>
      <c r="S835" s="8">
        <v>0</v>
      </c>
      <c r="T835" s="2">
        <v>100000</v>
      </c>
      <c r="U835" s="6" t="e">
        <f t="shared" si="1146"/>
        <v>#DIV/0!</v>
      </c>
      <c r="V835" s="1"/>
      <c r="W835" s="1"/>
      <c r="X835" s="1"/>
      <c r="Y835" s="1"/>
      <c r="Z835" s="1"/>
      <c r="AA835" s="1"/>
      <c r="AB835" s="1"/>
      <c r="AC835" s="3"/>
    </row>
    <row r="836" spans="1:29" ht="22.9" customHeight="1" x14ac:dyDescent="0.25">
      <c r="A836" s="39" t="s">
        <v>1843</v>
      </c>
      <c r="B836" s="9" t="s">
        <v>1120</v>
      </c>
      <c r="C836" s="7">
        <f t="shared" si="1210"/>
        <v>3971240.0000000005</v>
      </c>
      <c r="D836" s="2">
        <f t="shared" si="1211"/>
        <v>780260.00000000012</v>
      </c>
      <c r="E836" s="2">
        <f>700*300.1</f>
        <v>210070.00000000003</v>
      </c>
      <c r="F836" s="2">
        <f>1300*300.1</f>
        <v>390130.00000000006</v>
      </c>
      <c r="G836" s="2">
        <f>300*300.1</f>
        <v>90030</v>
      </c>
      <c r="H836" s="2">
        <v>0</v>
      </c>
      <c r="I836" s="2">
        <f>300*300.1</f>
        <v>90030</v>
      </c>
      <c r="J836" s="2">
        <v>0</v>
      </c>
      <c r="K836" s="21">
        <v>0</v>
      </c>
      <c r="L836" s="2">
        <v>0</v>
      </c>
      <c r="M836" s="2">
        <v>300.10000000000002</v>
      </c>
      <c r="N836" s="2">
        <f t="shared" si="1212"/>
        <v>1980660.0000000002</v>
      </c>
      <c r="O836" s="2">
        <v>0</v>
      </c>
      <c r="P836" s="2">
        <v>0</v>
      </c>
      <c r="Q836" s="2">
        <v>300.10000000000002</v>
      </c>
      <c r="R836" s="2">
        <f t="shared" si="1188"/>
        <v>960320.00000000012</v>
      </c>
      <c r="S836" s="8">
        <v>150000</v>
      </c>
      <c r="T836" s="2">
        <v>100000</v>
      </c>
      <c r="U836" s="6">
        <f t="shared" si="1146"/>
        <v>6600</v>
      </c>
      <c r="V836" s="1"/>
      <c r="W836" s="1"/>
      <c r="X836" s="1"/>
      <c r="Y836" s="1"/>
      <c r="Z836" s="1"/>
      <c r="AA836" s="1"/>
      <c r="AB836" s="1"/>
      <c r="AC836" s="3"/>
    </row>
    <row r="837" spans="1:29" ht="22.9" customHeight="1" x14ac:dyDescent="0.25">
      <c r="A837" s="39" t="s">
        <v>1844</v>
      </c>
      <c r="B837" s="9" t="s">
        <v>1121</v>
      </c>
      <c r="C837" s="7">
        <f t="shared" ref="C837:C838" si="1213">D837+L837+N837+P837+R837+S837+T837</f>
        <v>11329980</v>
      </c>
      <c r="D837" s="2">
        <f t="shared" ref="D837:D838" si="1214">SUM(E837:J837)</f>
        <v>3879980</v>
      </c>
      <c r="E837" s="2">
        <f>700*1492.3</f>
        <v>1044610</v>
      </c>
      <c r="F837" s="2">
        <f>1300*1492.3</f>
        <v>1939990</v>
      </c>
      <c r="G837" s="2">
        <f>300*1492.3</f>
        <v>447690</v>
      </c>
      <c r="H837" s="2">
        <v>0</v>
      </c>
      <c r="I837" s="2">
        <f>300*1492.3</f>
        <v>447690</v>
      </c>
      <c r="J837" s="2">
        <v>0</v>
      </c>
      <c r="K837" s="21">
        <v>0</v>
      </c>
      <c r="L837" s="2">
        <v>0</v>
      </c>
      <c r="M837" s="2">
        <v>750</v>
      </c>
      <c r="N837" s="2">
        <f t="shared" ref="N837:N838" si="1215">M837*6600</f>
        <v>4950000</v>
      </c>
      <c r="O837" s="2">
        <v>0</v>
      </c>
      <c r="P837" s="2">
        <v>0</v>
      </c>
      <c r="Q837" s="2">
        <v>750</v>
      </c>
      <c r="R837" s="2">
        <f t="shared" si="1188"/>
        <v>2400000</v>
      </c>
      <c r="S837" s="8">
        <v>0</v>
      </c>
      <c r="T837" s="2">
        <v>100000</v>
      </c>
      <c r="U837" s="6">
        <f t="shared" si="1146"/>
        <v>6600</v>
      </c>
      <c r="V837" s="1"/>
      <c r="W837" s="1"/>
      <c r="X837" s="1"/>
      <c r="Y837" s="1"/>
      <c r="Z837" s="1"/>
      <c r="AA837" s="1"/>
      <c r="AB837" s="1"/>
      <c r="AC837" s="3"/>
    </row>
    <row r="838" spans="1:29" ht="22.9" customHeight="1" x14ac:dyDescent="0.25">
      <c r="A838" s="39" t="s">
        <v>1845</v>
      </c>
      <c r="B838" s="9" t="s">
        <v>1122</v>
      </c>
      <c r="C838" s="7">
        <f t="shared" si="1213"/>
        <v>11227640</v>
      </c>
      <c r="D838" s="2">
        <f t="shared" si="1214"/>
        <v>4267640</v>
      </c>
      <c r="E838" s="2">
        <f>700*1641.4</f>
        <v>1148980</v>
      </c>
      <c r="F838" s="2">
        <f>1300*1641.4</f>
        <v>2133820</v>
      </c>
      <c r="G838" s="2">
        <f>300*1641.4</f>
        <v>492420</v>
      </c>
      <c r="H838" s="2">
        <v>0</v>
      </c>
      <c r="I838" s="2">
        <f>300*1641.4</f>
        <v>492420</v>
      </c>
      <c r="J838" s="2">
        <v>0</v>
      </c>
      <c r="K838" s="21">
        <v>0</v>
      </c>
      <c r="L838" s="2">
        <v>0</v>
      </c>
      <c r="M838" s="2">
        <v>700</v>
      </c>
      <c r="N838" s="2">
        <f t="shared" si="1215"/>
        <v>4620000</v>
      </c>
      <c r="O838" s="2">
        <v>0</v>
      </c>
      <c r="P838" s="2">
        <v>0</v>
      </c>
      <c r="Q838" s="2">
        <v>700</v>
      </c>
      <c r="R838" s="2">
        <f t="shared" si="1188"/>
        <v>2240000</v>
      </c>
      <c r="S838" s="8">
        <v>0</v>
      </c>
      <c r="T838" s="2">
        <v>100000</v>
      </c>
      <c r="U838" s="6">
        <f t="shared" si="1146"/>
        <v>6600</v>
      </c>
      <c r="V838" s="1"/>
      <c r="W838" s="1"/>
      <c r="X838" s="1"/>
      <c r="Y838" s="1"/>
      <c r="Z838" s="1"/>
      <c r="AA838" s="1"/>
      <c r="AB838" s="1"/>
      <c r="AC838" s="3"/>
    </row>
    <row r="839" spans="1:29" ht="22.9" customHeight="1" x14ac:dyDescent="0.25">
      <c r="A839" s="39" t="s">
        <v>1846</v>
      </c>
      <c r="B839" s="9" t="s">
        <v>1123</v>
      </c>
      <c r="C839" s="7">
        <f t="shared" ref="C839" si="1216">D839+L839+N839+P839+R839+S839+T839</f>
        <v>9850620</v>
      </c>
      <c r="D839" s="2">
        <f t="shared" ref="D839" si="1217">SUM(E839:J839)</f>
        <v>3870620</v>
      </c>
      <c r="E839" s="2">
        <f>700*1488.7</f>
        <v>1042090</v>
      </c>
      <c r="F839" s="2">
        <f>1300*1488.7</f>
        <v>1935310</v>
      </c>
      <c r="G839" s="2">
        <f>300*1488.7</f>
        <v>446610</v>
      </c>
      <c r="H839" s="2">
        <v>0</v>
      </c>
      <c r="I839" s="2">
        <f>300*1488.7</f>
        <v>446610</v>
      </c>
      <c r="J839" s="2">
        <v>0</v>
      </c>
      <c r="K839" s="21">
        <v>0</v>
      </c>
      <c r="L839" s="2">
        <v>0</v>
      </c>
      <c r="M839" s="2">
        <v>600</v>
      </c>
      <c r="N839" s="2">
        <f t="shared" ref="N839" si="1218">M839*6600</f>
        <v>3960000</v>
      </c>
      <c r="O839" s="2">
        <v>0</v>
      </c>
      <c r="P839" s="2">
        <v>0</v>
      </c>
      <c r="Q839" s="2">
        <v>600</v>
      </c>
      <c r="R839" s="2">
        <f t="shared" si="1188"/>
        <v>1920000</v>
      </c>
      <c r="S839" s="8">
        <v>0</v>
      </c>
      <c r="T839" s="2">
        <v>100000</v>
      </c>
      <c r="U839" s="6">
        <f t="shared" si="1146"/>
        <v>6600</v>
      </c>
      <c r="V839" s="1"/>
      <c r="W839" s="1"/>
      <c r="X839" s="1"/>
      <c r="Y839" s="1"/>
      <c r="Z839" s="1"/>
      <c r="AA839" s="1"/>
      <c r="AB839" s="1"/>
      <c r="AC839" s="3"/>
    </row>
    <row r="840" spans="1:29" ht="22.9" customHeight="1" x14ac:dyDescent="0.25">
      <c r="A840" s="39" t="s">
        <v>1847</v>
      </c>
      <c r="B840" s="9" t="s">
        <v>1124</v>
      </c>
      <c r="C840" s="7">
        <f t="shared" ref="C840" si="1219">D840+L840+N840+P840+R840+S840+T840</f>
        <v>9884940</v>
      </c>
      <c r="D840" s="2">
        <f t="shared" ref="D840" si="1220">SUM(E840:J840)</f>
        <v>3904940</v>
      </c>
      <c r="E840" s="2">
        <f>700*1501.9</f>
        <v>1051330</v>
      </c>
      <c r="F840" s="2">
        <f>1300*1501.9</f>
        <v>1952470.0000000002</v>
      </c>
      <c r="G840" s="2">
        <f>300*1501.9</f>
        <v>450570</v>
      </c>
      <c r="H840" s="2">
        <v>0</v>
      </c>
      <c r="I840" s="2">
        <f>300*1501.9</f>
        <v>450570</v>
      </c>
      <c r="J840" s="2">
        <v>0</v>
      </c>
      <c r="K840" s="21">
        <v>0</v>
      </c>
      <c r="L840" s="2">
        <v>0</v>
      </c>
      <c r="M840" s="2">
        <v>600</v>
      </c>
      <c r="N840" s="2">
        <f t="shared" ref="N840" si="1221">M840*6600</f>
        <v>3960000</v>
      </c>
      <c r="O840" s="2">
        <v>0</v>
      </c>
      <c r="P840" s="2">
        <v>0</v>
      </c>
      <c r="Q840" s="2">
        <v>600</v>
      </c>
      <c r="R840" s="2">
        <f t="shared" si="1188"/>
        <v>1920000</v>
      </c>
      <c r="S840" s="8">
        <v>0</v>
      </c>
      <c r="T840" s="2">
        <v>100000</v>
      </c>
      <c r="U840" s="6">
        <f t="shared" si="1146"/>
        <v>6600</v>
      </c>
      <c r="V840" s="1"/>
      <c r="W840" s="1"/>
      <c r="X840" s="1"/>
      <c r="Y840" s="1"/>
      <c r="Z840" s="1"/>
      <c r="AA840" s="1"/>
      <c r="AB840" s="1"/>
      <c r="AC840" s="3"/>
    </row>
    <row r="841" spans="1:29" ht="22.9" customHeight="1" x14ac:dyDescent="0.25">
      <c r="A841" s="39" t="s">
        <v>1848</v>
      </c>
      <c r="B841" s="9" t="s">
        <v>1125</v>
      </c>
      <c r="C841" s="7">
        <f t="shared" ref="C841" si="1222">D841+L841+N841+P841+R841+S841+T841</f>
        <v>4359070</v>
      </c>
      <c r="D841" s="2">
        <f t="shared" ref="D841" si="1223">SUM(E841:J841)</f>
        <v>498810</v>
      </c>
      <c r="E841" s="2">
        <f>700*383.7</f>
        <v>268590</v>
      </c>
      <c r="F841" s="2">
        <v>0</v>
      </c>
      <c r="G841" s="2">
        <f>300*383.7</f>
        <v>115110</v>
      </c>
      <c r="H841" s="2">
        <v>0</v>
      </c>
      <c r="I841" s="2">
        <f>300*383.7</f>
        <v>115110</v>
      </c>
      <c r="J841" s="2">
        <v>0</v>
      </c>
      <c r="K841" s="21">
        <v>0</v>
      </c>
      <c r="L841" s="2">
        <v>0</v>
      </c>
      <c r="M841" s="2">
        <v>383.7</v>
      </c>
      <c r="N841" s="2">
        <f t="shared" ref="N841" si="1224">M841*6600</f>
        <v>2532420</v>
      </c>
      <c r="O841" s="2">
        <v>0</v>
      </c>
      <c r="P841" s="2">
        <v>0</v>
      </c>
      <c r="Q841" s="2">
        <v>383.7</v>
      </c>
      <c r="R841" s="2">
        <f t="shared" si="1188"/>
        <v>1227840</v>
      </c>
      <c r="S841" s="8">
        <v>0</v>
      </c>
      <c r="T841" s="2">
        <v>100000</v>
      </c>
      <c r="U841" s="6">
        <f t="shared" si="1146"/>
        <v>6600</v>
      </c>
      <c r="V841" s="1"/>
      <c r="W841" s="1"/>
      <c r="X841" s="1"/>
      <c r="Y841" s="1"/>
      <c r="Z841" s="1"/>
      <c r="AA841" s="1"/>
      <c r="AB841" s="1"/>
      <c r="AC841" s="3"/>
    </row>
    <row r="842" spans="1:29" ht="45" customHeight="1" x14ac:dyDescent="0.25">
      <c r="A842" s="43" t="s">
        <v>1138</v>
      </c>
      <c r="B842" s="43"/>
      <c r="C842" s="1">
        <f>SUM(C843:C844)</f>
        <v>5400650</v>
      </c>
      <c r="D842" s="1">
        <f t="shared" ref="D842:T842" si="1225">SUM(D843:D844)</f>
        <v>1843530</v>
      </c>
      <c r="E842" s="1">
        <f t="shared" si="1225"/>
        <v>655620</v>
      </c>
      <c r="F842" s="1">
        <f t="shared" si="1225"/>
        <v>625950</v>
      </c>
      <c r="G842" s="1">
        <f t="shared" si="1225"/>
        <v>280980</v>
      </c>
      <c r="H842" s="1">
        <f t="shared" si="1225"/>
        <v>0</v>
      </c>
      <c r="I842" s="1">
        <f t="shared" si="1225"/>
        <v>280980</v>
      </c>
      <c r="J842" s="1">
        <f t="shared" si="1225"/>
        <v>0</v>
      </c>
      <c r="K842" s="33">
        <f t="shared" si="1225"/>
        <v>0</v>
      </c>
      <c r="L842" s="1">
        <f t="shared" si="1225"/>
        <v>0</v>
      </c>
      <c r="M842" s="1">
        <f t="shared" si="1225"/>
        <v>0</v>
      </c>
      <c r="N842" s="1">
        <f t="shared" si="1225"/>
        <v>0</v>
      </c>
      <c r="O842" s="1">
        <f t="shared" si="1225"/>
        <v>50</v>
      </c>
      <c r="P842" s="1">
        <f t="shared" si="1225"/>
        <v>60000</v>
      </c>
      <c r="Q842" s="1">
        <f t="shared" si="1225"/>
        <v>936.6</v>
      </c>
      <c r="R842" s="1">
        <f t="shared" si="1225"/>
        <v>2997120</v>
      </c>
      <c r="S842" s="1">
        <f t="shared" si="1225"/>
        <v>300000</v>
      </c>
      <c r="T842" s="1">
        <f t="shared" si="1225"/>
        <v>200000</v>
      </c>
      <c r="U842" s="3" t="e">
        <f>C842+#REF!+#REF!</f>
        <v>#REF!</v>
      </c>
    </row>
    <row r="843" spans="1:29" ht="22.9" customHeight="1" x14ac:dyDescent="0.25">
      <c r="A843" s="39" t="s">
        <v>1849</v>
      </c>
      <c r="B843" s="9" t="s">
        <v>1141</v>
      </c>
      <c r="C843" s="7">
        <f t="shared" ref="C843" si="1226">D843+L843+N843+P843+R843+S843+T843</f>
        <v>2297950</v>
      </c>
      <c r="D843" s="2">
        <f t="shared" ref="D843:D844" si="1227">SUM(E843:J843)</f>
        <v>591630</v>
      </c>
      <c r="E843" s="2">
        <f>700*455.1</f>
        <v>318570</v>
      </c>
      <c r="F843" s="2">
        <v>0</v>
      </c>
      <c r="G843" s="2">
        <f>300*455.1</f>
        <v>136530</v>
      </c>
      <c r="H843" s="2">
        <v>0</v>
      </c>
      <c r="I843" s="2">
        <f>300*455.1</f>
        <v>136530</v>
      </c>
      <c r="J843" s="2">
        <v>0</v>
      </c>
      <c r="K843" s="21">
        <v>0</v>
      </c>
      <c r="L843" s="2">
        <v>0</v>
      </c>
      <c r="M843" s="2">
        <v>0</v>
      </c>
      <c r="N843" s="2">
        <f t="shared" ref="N843" si="1228">M843*6600</f>
        <v>0</v>
      </c>
      <c r="O843" s="2">
        <v>0</v>
      </c>
      <c r="P843" s="2">
        <v>0</v>
      </c>
      <c r="Q843" s="2">
        <v>455.1</v>
      </c>
      <c r="R843" s="2">
        <f t="shared" si="1188"/>
        <v>1456320</v>
      </c>
      <c r="S843" s="8">
        <v>150000</v>
      </c>
      <c r="T843" s="2">
        <v>100000</v>
      </c>
      <c r="U843" s="6" t="e">
        <f t="shared" si="1146"/>
        <v>#DIV/0!</v>
      </c>
      <c r="V843" s="1"/>
      <c r="W843" s="1"/>
      <c r="X843" s="1"/>
      <c r="Y843" s="1"/>
      <c r="Z843" s="1"/>
      <c r="AA843" s="1"/>
      <c r="AB843" s="1"/>
      <c r="AC843" s="3"/>
    </row>
    <row r="844" spans="1:29" ht="22.9" customHeight="1" x14ac:dyDescent="0.25">
      <c r="A844" s="39" t="s">
        <v>1850</v>
      </c>
      <c r="B844" s="9" t="s">
        <v>1142</v>
      </c>
      <c r="C844" s="7">
        <f t="shared" ref="C844" si="1229">D844+L844+N844+P844+R844+S844+T844</f>
        <v>3102700</v>
      </c>
      <c r="D844" s="2">
        <f t="shared" si="1227"/>
        <v>1251900</v>
      </c>
      <c r="E844" s="2">
        <f>700*481.5</f>
        <v>337050</v>
      </c>
      <c r="F844" s="2">
        <f>1300*481.5</f>
        <v>625950</v>
      </c>
      <c r="G844" s="2">
        <f>300*481.5</f>
        <v>144450</v>
      </c>
      <c r="H844" s="2">
        <v>0</v>
      </c>
      <c r="I844" s="2">
        <f>300*481.5</f>
        <v>144450</v>
      </c>
      <c r="J844" s="2">
        <v>0</v>
      </c>
      <c r="K844" s="21">
        <v>0</v>
      </c>
      <c r="L844" s="2">
        <v>0</v>
      </c>
      <c r="M844" s="2">
        <v>0</v>
      </c>
      <c r="N844" s="2">
        <f t="shared" ref="N844" si="1230">M844*6600</f>
        <v>0</v>
      </c>
      <c r="O844" s="2">
        <v>50</v>
      </c>
      <c r="P844" s="2">
        <f>O844*1200</f>
        <v>60000</v>
      </c>
      <c r="Q844" s="2">
        <v>481.5</v>
      </c>
      <c r="R844" s="2">
        <f t="shared" si="1188"/>
        <v>1540800</v>
      </c>
      <c r="S844" s="8">
        <v>150000</v>
      </c>
      <c r="T844" s="2">
        <v>100000</v>
      </c>
      <c r="U844" s="6" t="e">
        <f t="shared" si="1146"/>
        <v>#DIV/0!</v>
      </c>
      <c r="V844" s="1"/>
      <c r="W844" s="1"/>
      <c r="X844" s="1"/>
      <c r="Y844" s="1"/>
      <c r="Z844" s="1"/>
      <c r="AA844" s="1"/>
      <c r="AB844" s="1"/>
      <c r="AC844" s="3"/>
    </row>
    <row r="845" spans="1:29" ht="24.95" customHeight="1" x14ac:dyDescent="0.25">
      <c r="A845" s="43" t="s">
        <v>33</v>
      </c>
      <c r="B845" s="43"/>
      <c r="C845" s="1">
        <f t="shared" ref="C845:T845" si="1231">C846+C850+C867+C872+C874+C876+C880+C884+C887+C898+C902+C905+C908+C910+C916+C918+C929+C932+C934+C938+C943+C945+C947+C949+C953+C956+C959+C962+C968+C974+C978+C980+C983+C986+C1006+C1010+C1015+C1018+C1021+C1026+C1031+C1051+C1054+C1057+C1059+C1062+C1066+C1069+C1172+C1178+C1185+C1188+C1191+C1201+C1208+C1218+C1220+C1223+C1226+C1229+C1231+C1244</f>
        <v>1951429662.0999999</v>
      </c>
      <c r="D845" s="1">
        <f t="shared" si="1231"/>
        <v>605629871.5</v>
      </c>
      <c r="E845" s="1">
        <f t="shared" si="1231"/>
        <v>162912351</v>
      </c>
      <c r="F845" s="1">
        <f t="shared" si="1231"/>
        <v>255554104</v>
      </c>
      <c r="G845" s="1">
        <f t="shared" si="1231"/>
        <v>68000396.5</v>
      </c>
      <c r="H845" s="1">
        <f t="shared" si="1231"/>
        <v>57796832</v>
      </c>
      <c r="I845" s="1">
        <f t="shared" si="1231"/>
        <v>61366188</v>
      </c>
      <c r="J845" s="1">
        <f t="shared" si="1231"/>
        <v>0</v>
      </c>
      <c r="K845" s="33">
        <f t="shared" si="1231"/>
        <v>14</v>
      </c>
      <c r="L845" s="1">
        <f t="shared" si="1231"/>
        <v>38120000</v>
      </c>
      <c r="M845" s="1">
        <f t="shared" si="1231"/>
        <v>142073.08999999997</v>
      </c>
      <c r="N845" s="1">
        <f t="shared" si="1231"/>
        <v>837504725</v>
      </c>
      <c r="O845" s="1">
        <f t="shared" si="1231"/>
        <v>12192.41</v>
      </c>
      <c r="P845" s="1">
        <f t="shared" si="1231"/>
        <v>14630892</v>
      </c>
      <c r="Q845" s="1">
        <f t="shared" si="1231"/>
        <v>133263.848</v>
      </c>
      <c r="R845" s="1">
        <f t="shared" si="1231"/>
        <v>430638873.60000002</v>
      </c>
      <c r="S845" s="1">
        <f t="shared" si="1231"/>
        <v>9150000</v>
      </c>
      <c r="T845" s="1">
        <f t="shared" si="1231"/>
        <v>20900000</v>
      </c>
      <c r="U845" s="3" t="e">
        <f>D845+L845+N845+P845+R845+S845+#REF!+T845</f>
        <v>#REF!</v>
      </c>
    </row>
    <row r="846" spans="1:29" ht="45" customHeight="1" x14ac:dyDescent="0.25">
      <c r="A846" s="44" t="s">
        <v>2194</v>
      </c>
      <c r="B846" s="45"/>
      <c r="C846" s="1">
        <f>SUM(C847:C849)</f>
        <v>12445638</v>
      </c>
      <c r="D846" s="1">
        <f t="shared" ref="D846:T846" si="1232">SUM(D847:D849)</f>
        <v>1352260</v>
      </c>
      <c r="E846" s="1">
        <f t="shared" si="1232"/>
        <v>364070</v>
      </c>
      <c r="F846" s="1">
        <f t="shared" si="1232"/>
        <v>676130</v>
      </c>
      <c r="G846" s="1">
        <f t="shared" si="1232"/>
        <v>156030</v>
      </c>
      <c r="H846" s="1">
        <f t="shared" si="1232"/>
        <v>0</v>
      </c>
      <c r="I846" s="1">
        <f t="shared" si="1232"/>
        <v>156030</v>
      </c>
      <c r="J846" s="1">
        <f t="shared" si="1232"/>
        <v>0</v>
      </c>
      <c r="K846" s="33">
        <f t="shared" si="1232"/>
        <v>0</v>
      </c>
      <c r="L846" s="1">
        <f t="shared" si="1232"/>
        <v>0</v>
      </c>
      <c r="M846" s="1">
        <f t="shared" si="1232"/>
        <v>1457.1299999999999</v>
      </c>
      <c r="N846" s="1">
        <f t="shared" si="1232"/>
        <v>9617058</v>
      </c>
      <c r="O846" s="1">
        <f t="shared" si="1232"/>
        <v>0</v>
      </c>
      <c r="P846" s="1">
        <f t="shared" si="1232"/>
        <v>0</v>
      </c>
      <c r="Q846" s="1">
        <f t="shared" si="1232"/>
        <v>430.1</v>
      </c>
      <c r="R846" s="1">
        <f t="shared" si="1232"/>
        <v>1376320</v>
      </c>
      <c r="S846" s="1">
        <f t="shared" si="1232"/>
        <v>0</v>
      </c>
      <c r="T846" s="1">
        <f t="shared" si="1232"/>
        <v>100000</v>
      </c>
      <c r="U846" s="3" t="e">
        <f>C846+#REF!+#REF!</f>
        <v>#REF!</v>
      </c>
    </row>
    <row r="847" spans="1:29" ht="22.9" customHeight="1" x14ac:dyDescent="0.25">
      <c r="A847" s="29" t="s">
        <v>1851</v>
      </c>
      <c r="B847" s="9" t="s">
        <v>1148</v>
      </c>
      <c r="C847" s="7">
        <f t="shared" ref="C847:C848" si="1233">D847+L847+N847+P847+R847+S847+T847</f>
        <v>4038840</v>
      </c>
      <c r="D847" s="2">
        <f t="shared" ref="D847:D848" si="1234">SUM(E847:J847)</f>
        <v>0</v>
      </c>
      <c r="E847" s="2">
        <v>0</v>
      </c>
      <c r="F847" s="2">
        <v>0</v>
      </c>
      <c r="G847" s="2">
        <v>0</v>
      </c>
      <c r="H847" s="2">
        <v>0</v>
      </c>
      <c r="I847" s="2">
        <v>0</v>
      </c>
      <c r="J847" s="2">
        <v>0</v>
      </c>
      <c r="K847" s="21">
        <v>0</v>
      </c>
      <c r="L847" s="2">
        <v>0</v>
      </c>
      <c r="M847" s="2">
        <v>519</v>
      </c>
      <c r="N847" s="2">
        <f t="shared" ref="N847:N857" si="1235">M847*6600</f>
        <v>3425400</v>
      </c>
      <c r="O847" s="2">
        <v>0</v>
      </c>
      <c r="P847" s="2">
        <v>0</v>
      </c>
      <c r="Q847" s="2">
        <v>191.7</v>
      </c>
      <c r="R847" s="2">
        <f t="shared" ref="R847" si="1236">Q847*3200</f>
        <v>613440</v>
      </c>
      <c r="S847" s="2">
        <v>0</v>
      </c>
      <c r="T847" s="2">
        <v>0</v>
      </c>
      <c r="U847" s="6">
        <f t="shared" ref="U847:U849" si="1237">N847/M847</f>
        <v>6600</v>
      </c>
    </row>
    <row r="848" spans="1:29" ht="22.9" customHeight="1" x14ac:dyDescent="0.25">
      <c r="A848" s="29" t="s">
        <v>1852</v>
      </c>
      <c r="B848" s="9" t="s">
        <v>1149</v>
      </c>
      <c r="C848" s="7">
        <f t="shared" si="1233"/>
        <v>3315180</v>
      </c>
      <c r="D848" s="2">
        <f t="shared" si="1234"/>
        <v>0</v>
      </c>
      <c r="E848" s="2">
        <v>0</v>
      </c>
      <c r="F848" s="2">
        <v>0</v>
      </c>
      <c r="G848" s="2">
        <v>0</v>
      </c>
      <c r="H848" s="2">
        <v>0</v>
      </c>
      <c r="I848" s="2">
        <v>0</v>
      </c>
      <c r="J848" s="2">
        <v>0</v>
      </c>
      <c r="K848" s="21">
        <v>0</v>
      </c>
      <c r="L848" s="2">
        <v>0</v>
      </c>
      <c r="M848" s="2">
        <v>502.3</v>
      </c>
      <c r="N848" s="2">
        <f t="shared" si="1235"/>
        <v>3315180</v>
      </c>
      <c r="O848" s="2">
        <v>0</v>
      </c>
      <c r="P848" s="2">
        <v>0</v>
      </c>
      <c r="Q848" s="2">
        <v>0</v>
      </c>
      <c r="R848" s="2">
        <v>0</v>
      </c>
      <c r="S848" s="2">
        <v>0</v>
      </c>
      <c r="T848" s="2">
        <v>0</v>
      </c>
      <c r="U848" s="6">
        <f t="shared" si="1237"/>
        <v>6600</v>
      </c>
    </row>
    <row r="849" spans="1:22" ht="22.9" customHeight="1" x14ac:dyDescent="0.25">
      <c r="A849" s="29" t="s">
        <v>1853</v>
      </c>
      <c r="B849" s="9" t="s">
        <v>1150</v>
      </c>
      <c r="C849" s="7">
        <f t="shared" ref="C849" si="1238">D849+L849+N849+P849+R849+S849+T849</f>
        <v>5091618</v>
      </c>
      <c r="D849" s="2">
        <f t="shared" ref="D849" si="1239">SUM(E849:J849)</f>
        <v>1352260</v>
      </c>
      <c r="E849" s="2">
        <f>700*520.1</f>
        <v>364070</v>
      </c>
      <c r="F849" s="2">
        <f>1300*520.1</f>
        <v>676130</v>
      </c>
      <c r="G849" s="2">
        <f>300*520.1</f>
        <v>156030</v>
      </c>
      <c r="H849" s="2">
        <v>0</v>
      </c>
      <c r="I849" s="2">
        <f>300*520.1</f>
        <v>156030</v>
      </c>
      <c r="J849" s="2">
        <v>0</v>
      </c>
      <c r="K849" s="21">
        <v>0</v>
      </c>
      <c r="L849" s="2">
        <v>0</v>
      </c>
      <c r="M849" s="2">
        <v>435.83</v>
      </c>
      <c r="N849" s="2">
        <f t="shared" si="1235"/>
        <v>2876478</v>
      </c>
      <c r="O849" s="2">
        <v>0</v>
      </c>
      <c r="P849" s="2">
        <v>0</v>
      </c>
      <c r="Q849" s="2">
        <v>238.4</v>
      </c>
      <c r="R849" s="2">
        <f t="shared" ref="R849:R861" si="1240">Q849*3200</f>
        <v>762880</v>
      </c>
      <c r="S849" s="2">
        <v>0</v>
      </c>
      <c r="T849" s="2">
        <v>100000</v>
      </c>
      <c r="U849" s="6">
        <f t="shared" si="1237"/>
        <v>6600</v>
      </c>
    </row>
    <row r="850" spans="1:22" ht="45" customHeight="1" x14ac:dyDescent="0.25">
      <c r="A850" s="43" t="s">
        <v>31</v>
      </c>
      <c r="B850" s="43"/>
      <c r="C850" s="1">
        <f>SUM(C851:C866)</f>
        <v>134717460</v>
      </c>
      <c r="D850" s="1">
        <f t="shared" ref="D850:T850" si="1241">SUM(D851:D866)</f>
        <v>60086288</v>
      </c>
      <c r="E850" s="1">
        <f t="shared" si="1241"/>
        <v>16781310</v>
      </c>
      <c r="F850" s="1">
        <f t="shared" si="1241"/>
        <v>26029718</v>
      </c>
      <c r="G850" s="1">
        <f t="shared" si="1241"/>
        <v>7191978</v>
      </c>
      <c r="H850" s="1">
        <f t="shared" si="1241"/>
        <v>2891304</v>
      </c>
      <c r="I850" s="1">
        <f t="shared" si="1241"/>
        <v>7191978</v>
      </c>
      <c r="J850" s="1">
        <f t="shared" si="1241"/>
        <v>0</v>
      </c>
      <c r="K850" s="33">
        <f t="shared" si="1241"/>
        <v>0</v>
      </c>
      <c r="L850" s="1">
        <f t="shared" si="1241"/>
        <v>0</v>
      </c>
      <c r="M850" s="1">
        <f t="shared" si="1241"/>
        <v>4574.8</v>
      </c>
      <c r="N850" s="1">
        <f t="shared" si="1241"/>
        <v>30193680</v>
      </c>
      <c r="O850" s="1">
        <f t="shared" si="1241"/>
        <v>1960.5900000000001</v>
      </c>
      <c r="P850" s="1">
        <f t="shared" si="1241"/>
        <v>2352708</v>
      </c>
      <c r="Q850" s="1">
        <f t="shared" si="1241"/>
        <v>12167.12</v>
      </c>
      <c r="R850" s="1">
        <f t="shared" si="1241"/>
        <v>38934784</v>
      </c>
      <c r="S850" s="1">
        <f t="shared" si="1241"/>
        <v>1650000</v>
      </c>
      <c r="T850" s="1">
        <f t="shared" si="1241"/>
        <v>1500000</v>
      </c>
      <c r="U850" s="3" t="e">
        <f>C850+#REF!+#REF!</f>
        <v>#REF!</v>
      </c>
    </row>
    <row r="851" spans="1:22" ht="22.9" customHeight="1" x14ac:dyDescent="0.25">
      <c r="A851" s="29" t="s">
        <v>1854</v>
      </c>
      <c r="B851" s="9" t="s">
        <v>62</v>
      </c>
      <c r="C851" s="7">
        <f t="shared" ref="C851:C866" si="1242">D851+L851+N851+P851+R851+S851+T851</f>
        <v>18471364</v>
      </c>
      <c r="D851" s="2">
        <f t="shared" ref="D851:D866" si="1243">SUM(E851:J851)</f>
        <v>7277764</v>
      </c>
      <c r="E851" s="2">
        <f>700*2799.14</f>
        <v>1959398</v>
      </c>
      <c r="F851" s="2">
        <f>1300*2799.14</f>
        <v>3638882</v>
      </c>
      <c r="G851" s="2">
        <f>300*2799.14</f>
        <v>839742</v>
      </c>
      <c r="H851" s="2">
        <v>0</v>
      </c>
      <c r="I851" s="2">
        <f>300*2799.14</f>
        <v>839742</v>
      </c>
      <c r="J851" s="2">
        <v>0</v>
      </c>
      <c r="K851" s="34">
        <v>0</v>
      </c>
      <c r="L851" s="18">
        <v>0</v>
      </c>
      <c r="M851" s="18">
        <v>720</v>
      </c>
      <c r="N851" s="2">
        <f t="shared" si="1235"/>
        <v>4752000</v>
      </c>
      <c r="O851" s="18">
        <v>553.16</v>
      </c>
      <c r="P851" s="18">
        <f>O851*1200</f>
        <v>663792</v>
      </c>
      <c r="Q851" s="18">
        <v>1727.44</v>
      </c>
      <c r="R851" s="2">
        <f t="shared" si="1240"/>
        <v>5527808</v>
      </c>
      <c r="S851" s="18">
        <v>150000</v>
      </c>
      <c r="T851" s="2">
        <v>100000</v>
      </c>
      <c r="U851" s="6">
        <f t="shared" ref="U851:U914" si="1244">N851/M851</f>
        <v>6600</v>
      </c>
    </row>
    <row r="852" spans="1:22" ht="22.9" customHeight="1" x14ac:dyDescent="0.25">
      <c r="A852" s="29" t="s">
        <v>1855</v>
      </c>
      <c r="B852" s="9" t="s">
        <v>14</v>
      </c>
      <c r="C852" s="7">
        <f t="shared" si="1242"/>
        <v>7778716</v>
      </c>
      <c r="D852" s="2">
        <f t="shared" si="1243"/>
        <v>7219368</v>
      </c>
      <c r="E852" s="2">
        <f>700*2776.68</f>
        <v>1943676</v>
      </c>
      <c r="F852" s="2">
        <f>1300*2776.68</f>
        <v>3609684</v>
      </c>
      <c r="G852" s="2">
        <f>300*2776.68</f>
        <v>833004</v>
      </c>
      <c r="H852" s="2">
        <v>0</v>
      </c>
      <c r="I852" s="2">
        <f>300*2776.68</f>
        <v>833004</v>
      </c>
      <c r="J852" s="2">
        <v>0</v>
      </c>
      <c r="K852" s="34">
        <v>0</v>
      </c>
      <c r="L852" s="18">
        <v>0</v>
      </c>
      <c r="M852" s="18">
        <v>0</v>
      </c>
      <c r="N852" s="18">
        <v>0</v>
      </c>
      <c r="O852" s="18">
        <v>257.79000000000002</v>
      </c>
      <c r="P852" s="18">
        <f t="shared" ref="P852:P853" si="1245">O852*1200</f>
        <v>309348</v>
      </c>
      <c r="Q852" s="18">
        <v>0</v>
      </c>
      <c r="R852" s="18">
        <f>Q852*5500</f>
        <v>0</v>
      </c>
      <c r="S852" s="18">
        <v>150000</v>
      </c>
      <c r="T852" s="2">
        <v>100000</v>
      </c>
      <c r="U852" s="6" t="e">
        <f t="shared" si="1244"/>
        <v>#DIV/0!</v>
      </c>
      <c r="V852" s="3"/>
    </row>
    <row r="853" spans="1:22" ht="22.9" customHeight="1" x14ac:dyDescent="0.25">
      <c r="A853" s="29" t="s">
        <v>1856</v>
      </c>
      <c r="B853" s="9" t="s">
        <v>63</v>
      </c>
      <c r="C853" s="7">
        <f t="shared" si="1242"/>
        <v>12135702</v>
      </c>
      <c r="D853" s="2">
        <f t="shared" si="1243"/>
        <v>4492514</v>
      </c>
      <c r="E853" s="2">
        <f>700*1727.89</f>
        <v>1209523</v>
      </c>
      <c r="F853" s="2">
        <f>1300*1727.89</f>
        <v>2246257</v>
      </c>
      <c r="G853" s="2">
        <f>300*1727.89</f>
        <v>518367.00000000006</v>
      </c>
      <c r="H853" s="2">
        <v>0</v>
      </c>
      <c r="I853" s="2">
        <f>300*1727.89</f>
        <v>518367.00000000006</v>
      </c>
      <c r="J853" s="2">
        <v>0</v>
      </c>
      <c r="K853" s="34">
        <v>0</v>
      </c>
      <c r="L853" s="18">
        <v>0</v>
      </c>
      <c r="M853" s="18">
        <v>520</v>
      </c>
      <c r="N853" s="2">
        <f t="shared" si="1235"/>
        <v>3432000</v>
      </c>
      <c r="O853" s="18">
        <v>257.79000000000002</v>
      </c>
      <c r="P853" s="18">
        <f t="shared" si="1245"/>
        <v>309348</v>
      </c>
      <c r="Q853" s="18">
        <v>1141.2</v>
      </c>
      <c r="R853" s="2">
        <f t="shared" si="1240"/>
        <v>3651840</v>
      </c>
      <c r="S853" s="18">
        <v>150000</v>
      </c>
      <c r="T853" s="2">
        <v>100000</v>
      </c>
      <c r="U853" s="6">
        <f t="shared" si="1244"/>
        <v>6600</v>
      </c>
      <c r="V853" s="3"/>
    </row>
    <row r="854" spans="1:22" ht="22.9" customHeight="1" x14ac:dyDescent="0.25">
      <c r="A854" s="29" t="s">
        <v>1857</v>
      </c>
      <c r="B854" s="9" t="s">
        <v>64</v>
      </c>
      <c r="C854" s="7">
        <f t="shared" si="1242"/>
        <v>4960896</v>
      </c>
      <c r="D854" s="2">
        <f t="shared" si="1243"/>
        <v>0</v>
      </c>
      <c r="E854" s="2">
        <v>0</v>
      </c>
      <c r="F854" s="2">
        <v>0</v>
      </c>
      <c r="G854" s="2">
        <v>0</v>
      </c>
      <c r="H854" s="2">
        <v>0</v>
      </c>
      <c r="I854" s="2">
        <v>0</v>
      </c>
      <c r="J854" s="2">
        <v>0</v>
      </c>
      <c r="K854" s="34">
        <v>0</v>
      </c>
      <c r="L854" s="18">
        <v>0</v>
      </c>
      <c r="M854" s="18">
        <v>0</v>
      </c>
      <c r="N854" s="18">
        <v>0</v>
      </c>
      <c r="O854" s="18">
        <v>0</v>
      </c>
      <c r="P854" s="18">
        <v>0</v>
      </c>
      <c r="Q854" s="18">
        <v>1550.28</v>
      </c>
      <c r="R854" s="2">
        <f t="shared" si="1240"/>
        <v>4960896</v>
      </c>
      <c r="S854" s="18">
        <v>0</v>
      </c>
      <c r="T854" s="2">
        <v>0</v>
      </c>
      <c r="U854" s="6" t="e">
        <f t="shared" si="1244"/>
        <v>#DIV/0!</v>
      </c>
    </row>
    <row r="855" spans="1:22" ht="22.9" customHeight="1" x14ac:dyDescent="0.25">
      <c r="A855" s="29" t="s">
        <v>1858</v>
      </c>
      <c r="B855" s="9" t="s">
        <v>65</v>
      </c>
      <c r="C855" s="7">
        <f t="shared" si="1242"/>
        <v>6884560</v>
      </c>
      <c r="D855" s="2">
        <f t="shared" si="1243"/>
        <v>1620600.0000000002</v>
      </c>
      <c r="E855" s="2">
        <f>700*540.2</f>
        <v>378140.00000000006</v>
      </c>
      <c r="F855" s="2">
        <f>1300*540.2</f>
        <v>702260.00000000012</v>
      </c>
      <c r="G855" s="2">
        <f>300*540.2</f>
        <v>162060</v>
      </c>
      <c r="H855" s="2">
        <f>400*540.2</f>
        <v>216080.00000000003</v>
      </c>
      <c r="I855" s="2">
        <f>300*540.2</f>
        <v>162060</v>
      </c>
      <c r="J855" s="2">
        <v>0</v>
      </c>
      <c r="K855" s="34">
        <v>0</v>
      </c>
      <c r="L855" s="18">
        <v>0</v>
      </c>
      <c r="M855" s="18">
        <v>506.6</v>
      </c>
      <c r="N855" s="2">
        <f t="shared" si="1235"/>
        <v>3343560</v>
      </c>
      <c r="O855" s="18">
        <v>0</v>
      </c>
      <c r="P855" s="18">
        <v>0</v>
      </c>
      <c r="Q855" s="18">
        <v>522</v>
      </c>
      <c r="R855" s="2">
        <f t="shared" si="1240"/>
        <v>1670400</v>
      </c>
      <c r="S855" s="18">
        <v>150000</v>
      </c>
      <c r="T855" s="2">
        <v>100000</v>
      </c>
      <c r="U855" s="6">
        <f t="shared" si="1244"/>
        <v>6600</v>
      </c>
    </row>
    <row r="856" spans="1:22" ht="22.9" customHeight="1" x14ac:dyDescent="0.25">
      <c r="A856" s="29" t="s">
        <v>1859</v>
      </c>
      <c r="B856" s="9" t="s">
        <v>66</v>
      </c>
      <c r="C856" s="7">
        <f t="shared" si="1242"/>
        <v>6977030</v>
      </c>
      <c r="D856" s="2">
        <f t="shared" si="1243"/>
        <v>1658670</v>
      </c>
      <c r="E856" s="2">
        <f>700*552.89</f>
        <v>387023</v>
      </c>
      <c r="F856" s="2">
        <f>1300*552.89</f>
        <v>718757</v>
      </c>
      <c r="G856" s="2">
        <f>300*552.89</f>
        <v>165867</v>
      </c>
      <c r="H856" s="2">
        <f>400*552.89</f>
        <v>221156</v>
      </c>
      <c r="I856" s="2">
        <f>300*552.89</f>
        <v>165867</v>
      </c>
      <c r="J856" s="2">
        <v>0</v>
      </c>
      <c r="K856" s="34">
        <v>0</v>
      </c>
      <c r="L856" s="18">
        <v>0</v>
      </c>
      <c r="M856" s="18">
        <v>509.8</v>
      </c>
      <c r="N856" s="2">
        <f t="shared" si="1235"/>
        <v>3364680</v>
      </c>
      <c r="O856" s="18">
        <v>0</v>
      </c>
      <c r="P856" s="18">
        <v>0</v>
      </c>
      <c r="Q856" s="18">
        <v>532.4</v>
      </c>
      <c r="R856" s="2">
        <f t="shared" si="1240"/>
        <v>1703680</v>
      </c>
      <c r="S856" s="18">
        <v>150000</v>
      </c>
      <c r="T856" s="2">
        <v>100000</v>
      </c>
      <c r="U856" s="6">
        <f t="shared" si="1244"/>
        <v>6600</v>
      </c>
    </row>
    <row r="857" spans="1:22" ht="22.9" customHeight="1" x14ac:dyDescent="0.25">
      <c r="A857" s="29" t="s">
        <v>1860</v>
      </c>
      <c r="B857" s="9" t="s">
        <v>67</v>
      </c>
      <c r="C857" s="7">
        <f t="shared" si="1242"/>
        <v>12224380</v>
      </c>
      <c r="D857" s="2">
        <f t="shared" si="1243"/>
        <v>8578680</v>
      </c>
      <c r="E857" s="2">
        <f>700*2859.56</f>
        <v>2001692</v>
      </c>
      <c r="F857" s="2">
        <f>1300*2859.56</f>
        <v>3717428</v>
      </c>
      <c r="G857" s="2">
        <f>300*2859.56</f>
        <v>857868</v>
      </c>
      <c r="H857" s="2">
        <f>400*2859.56</f>
        <v>1143824</v>
      </c>
      <c r="I857" s="2">
        <f>300*2859.56</f>
        <v>857868</v>
      </c>
      <c r="J857" s="2">
        <v>0</v>
      </c>
      <c r="K857" s="34">
        <v>0</v>
      </c>
      <c r="L857" s="18">
        <v>0</v>
      </c>
      <c r="M857" s="18">
        <v>514.5</v>
      </c>
      <c r="N857" s="2">
        <f t="shared" si="1235"/>
        <v>3395700</v>
      </c>
      <c r="O857" s="18">
        <v>0</v>
      </c>
      <c r="P857" s="18">
        <v>0</v>
      </c>
      <c r="Q857" s="18">
        <v>0</v>
      </c>
      <c r="R857" s="18">
        <f>Q857*3000</f>
        <v>0</v>
      </c>
      <c r="S857" s="18">
        <v>150000</v>
      </c>
      <c r="T857" s="2">
        <v>100000</v>
      </c>
      <c r="U857" s="6">
        <f t="shared" si="1244"/>
        <v>6600</v>
      </c>
      <c r="V857" s="3"/>
    </row>
    <row r="858" spans="1:22" ht="22.9" customHeight="1" x14ac:dyDescent="0.25">
      <c r="A858" s="29" t="s">
        <v>1861</v>
      </c>
      <c r="B858" s="9" t="s">
        <v>68</v>
      </c>
      <c r="C858" s="7">
        <f t="shared" si="1242"/>
        <v>10169284</v>
      </c>
      <c r="D858" s="2">
        <f t="shared" si="1243"/>
        <v>5215444</v>
      </c>
      <c r="E858" s="2">
        <f>700*2005.94</f>
        <v>1404158</v>
      </c>
      <c r="F858" s="2">
        <f>1300*2005.94</f>
        <v>2607722</v>
      </c>
      <c r="G858" s="2">
        <f>300*2005.94</f>
        <v>601782</v>
      </c>
      <c r="H858" s="2">
        <v>0</v>
      </c>
      <c r="I858" s="2">
        <f>300*2005.94</f>
        <v>601782</v>
      </c>
      <c r="J858" s="2">
        <v>0</v>
      </c>
      <c r="K858" s="34">
        <v>0</v>
      </c>
      <c r="L858" s="18">
        <v>0</v>
      </c>
      <c r="M858" s="18">
        <v>0</v>
      </c>
      <c r="N858" s="18">
        <v>0</v>
      </c>
      <c r="O858" s="18">
        <v>429.2</v>
      </c>
      <c r="P858" s="18">
        <f t="shared" ref="P858:P859" si="1246">O858*1200</f>
        <v>515040</v>
      </c>
      <c r="Q858" s="18">
        <v>1309</v>
      </c>
      <c r="R858" s="2">
        <f t="shared" si="1240"/>
        <v>4188800</v>
      </c>
      <c r="S858" s="18">
        <v>150000</v>
      </c>
      <c r="T858" s="2">
        <v>100000</v>
      </c>
      <c r="U858" s="6" t="e">
        <f t="shared" si="1244"/>
        <v>#DIV/0!</v>
      </c>
      <c r="V858" s="3"/>
    </row>
    <row r="859" spans="1:22" ht="22.9" customHeight="1" x14ac:dyDescent="0.25">
      <c r="A859" s="29" t="s">
        <v>1862</v>
      </c>
      <c r="B859" s="9" t="s">
        <v>15</v>
      </c>
      <c r="C859" s="7">
        <f t="shared" si="1242"/>
        <v>15048808</v>
      </c>
      <c r="D859" s="2">
        <f t="shared" si="1243"/>
        <v>7992036</v>
      </c>
      <c r="E859" s="2">
        <f>700*3073.86</f>
        <v>2151702</v>
      </c>
      <c r="F859" s="2">
        <f>1300*3073.86</f>
        <v>3996018</v>
      </c>
      <c r="G859" s="2">
        <f>300*3073.86</f>
        <v>922158</v>
      </c>
      <c r="H859" s="2">
        <v>0</v>
      </c>
      <c r="I859" s="2">
        <f>300*3073.86</f>
        <v>922158</v>
      </c>
      <c r="J859" s="2">
        <v>0</v>
      </c>
      <c r="K859" s="34">
        <v>0</v>
      </c>
      <c r="L859" s="18">
        <v>0</v>
      </c>
      <c r="M859" s="18">
        <v>0</v>
      </c>
      <c r="N859" s="18">
        <v>0</v>
      </c>
      <c r="O859" s="18">
        <v>286.70999999999998</v>
      </c>
      <c r="P859" s="18">
        <f t="shared" si="1246"/>
        <v>344052</v>
      </c>
      <c r="Q859" s="18">
        <v>2019.6</v>
      </c>
      <c r="R859" s="2">
        <f t="shared" si="1240"/>
        <v>6462720</v>
      </c>
      <c r="S859" s="18">
        <v>150000</v>
      </c>
      <c r="T859" s="2">
        <v>100000</v>
      </c>
      <c r="U859" s="6" t="e">
        <f t="shared" si="1244"/>
        <v>#DIV/0!</v>
      </c>
      <c r="V859" s="3"/>
    </row>
    <row r="860" spans="1:22" ht="22.9" customHeight="1" x14ac:dyDescent="0.25">
      <c r="A860" s="29" t="s">
        <v>1863</v>
      </c>
      <c r="B860" s="9" t="s">
        <v>69</v>
      </c>
      <c r="C860" s="7">
        <f t="shared" si="1242"/>
        <v>15631192</v>
      </c>
      <c r="D860" s="2">
        <f t="shared" si="1243"/>
        <v>6096240</v>
      </c>
      <c r="E860" s="2">
        <f>700*2032.08</f>
        <v>1422456</v>
      </c>
      <c r="F860" s="2">
        <f>1300*2032.08</f>
        <v>2641704</v>
      </c>
      <c r="G860" s="2">
        <f>300*2032.08</f>
        <v>609624</v>
      </c>
      <c r="H860" s="2">
        <f>400*2032.08</f>
        <v>812832</v>
      </c>
      <c r="I860" s="2">
        <f>300*2032.08</f>
        <v>609624</v>
      </c>
      <c r="J860" s="2">
        <v>0</v>
      </c>
      <c r="K860" s="34">
        <v>0</v>
      </c>
      <c r="L860" s="18">
        <v>0</v>
      </c>
      <c r="M860" s="18">
        <v>887</v>
      </c>
      <c r="N860" s="2">
        <f t="shared" ref="N860:N861" si="1247">M860*6600</f>
        <v>5854200</v>
      </c>
      <c r="O860" s="18">
        <v>0</v>
      </c>
      <c r="P860" s="18">
        <v>0</v>
      </c>
      <c r="Q860" s="18">
        <v>1072.1099999999999</v>
      </c>
      <c r="R860" s="2">
        <f t="shared" si="1240"/>
        <v>3430751.9999999995</v>
      </c>
      <c r="S860" s="18">
        <v>150000</v>
      </c>
      <c r="T860" s="2">
        <v>100000</v>
      </c>
      <c r="U860" s="6">
        <f t="shared" si="1244"/>
        <v>6600</v>
      </c>
      <c r="V860" s="3"/>
    </row>
    <row r="861" spans="1:22" ht="22.9" customHeight="1" x14ac:dyDescent="0.25">
      <c r="A861" s="29" t="s">
        <v>1864</v>
      </c>
      <c r="B861" s="9" t="s">
        <v>70</v>
      </c>
      <c r="C861" s="7">
        <f t="shared" si="1242"/>
        <v>5339654</v>
      </c>
      <c r="D861" s="2">
        <f t="shared" si="1243"/>
        <v>1068834</v>
      </c>
      <c r="E861" s="2">
        <f>700*411.09</f>
        <v>287763</v>
      </c>
      <c r="F861" s="2">
        <f>1300*411.09</f>
        <v>534417</v>
      </c>
      <c r="G861" s="2">
        <f>300*411.09</f>
        <v>123326.99999999999</v>
      </c>
      <c r="H861" s="2">
        <v>0</v>
      </c>
      <c r="I861" s="2">
        <f>300*411.09</f>
        <v>123326.99999999999</v>
      </c>
      <c r="J861" s="2">
        <v>0</v>
      </c>
      <c r="K861" s="34">
        <v>0</v>
      </c>
      <c r="L861" s="18">
        <v>0</v>
      </c>
      <c r="M861" s="18">
        <v>396.9</v>
      </c>
      <c r="N861" s="2">
        <f t="shared" si="1247"/>
        <v>2619540</v>
      </c>
      <c r="O861" s="18">
        <v>0</v>
      </c>
      <c r="P861" s="18">
        <v>0</v>
      </c>
      <c r="Q861" s="18">
        <v>437.9</v>
      </c>
      <c r="R861" s="2">
        <f t="shared" si="1240"/>
        <v>1401280</v>
      </c>
      <c r="S861" s="18">
        <v>150000</v>
      </c>
      <c r="T861" s="2">
        <v>100000</v>
      </c>
      <c r="U861" s="6">
        <f t="shared" si="1244"/>
        <v>6600</v>
      </c>
    </row>
    <row r="862" spans="1:22" ht="22.9" customHeight="1" x14ac:dyDescent="0.25">
      <c r="A862" s="29" t="s">
        <v>1865</v>
      </c>
      <c r="B862" s="9" t="s">
        <v>71</v>
      </c>
      <c r="C862" s="7">
        <f t="shared" si="1242"/>
        <v>1204792</v>
      </c>
      <c r="D862" s="2">
        <f t="shared" si="1243"/>
        <v>1104792</v>
      </c>
      <c r="E862" s="2">
        <f>700*849.84</f>
        <v>594888</v>
      </c>
      <c r="F862" s="2">
        <v>0</v>
      </c>
      <c r="G862" s="2">
        <f>300*849.84</f>
        <v>254952</v>
      </c>
      <c r="H862" s="2">
        <v>0</v>
      </c>
      <c r="I862" s="2">
        <f>300*849.84</f>
        <v>254952</v>
      </c>
      <c r="J862" s="2">
        <v>0</v>
      </c>
      <c r="K862" s="34">
        <v>0</v>
      </c>
      <c r="L862" s="18">
        <v>0</v>
      </c>
      <c r="M862" s="18">
        <v>0</v>
      </c>
      <c r="N862" s="18">
        <v>0</v>
      </c>
      <c r="O862" s="18">
        <v>0</v>
      </c>
      <c r="P862" s="18">
        <v>0</v>
      </c>
      <c r="Q862" s="18">
        <v>0</v>
      </c>
      <c r="R862" s="18">
        <v>0</v>
      </c>
      <c r="S862" s="18">
        <v>0</v>
      </c>
      <c r="T862" s="2">
        <v>100000</v>
      </c>
      <c r="U862" s="6" t="e">
        <f t="shared" si="1244"/>
        <v>#DIV/0!</v>
      </c>
    </row>
    <row r="863" spans="1:22" ht="22.9" customHeight="1" x14ac:dyDescent="0.25">
      <c r="A863" s="29" t="s">
        <v>1866</v>
      </c>
      <c r="B863" s="9" t="s">
        <v>72</v>
      </c>
      <c r="C863" s="7">
        <f t="shared" si="1242"/>
        <v>1318620</v>
      </c>
      <c r="D863" s="2">
        <f t="shared" si="1243"/>
        <v>1218620</v>
      </c>
      <c r="E863" s="2">
        <f>700*937.4</f>
        <v>656180</v>
      </c>
      <c r="F863" s="2">
        <v>0</v>
      </c>
      <c r="G863" s="2">
        <f>300*937.4</f>
        <v>281220</v>
      </c>
      <c r="H863" s="2">
        <v>0</v>
      </c>
      <c r="I863" s="2">
        <f>300*937.4</f>
        <v>281220</v>
      </c>
      <c r="J863" s="2">
        <v>0</v>
      </c>
      <c r="K863" s="34">
        <v>0</v>
      </c>
      <c r="L863" s="18">
        <v>0</v>
      </c>
      <c r="M863" s="18">
        <v>0</v>
      </c>
      <c r="N863" s="18">
        <v>0</v>
      </c>
      <c r="O863" s="18">
        <v>0</v>
      </c>
      <c r="P863" s="18">
        <v>0</v>
      </c>
      <c r="Q863" s="18">
        <v>0</v>
      </c>
      <c r="R863" s="18">
        <v>0</v>
      </c>
      <c r="S863" s="18">
        <v>0</v>
      </c>
      <c r="T863" s="2">
        <v>100000</v>
      </c>
      <c r="U863" s="6" t="e">
        <f t="shared" si="1244"/>
        <v>#DIV/0!</v>
      </c>
    </row>
    <row r="864" spans="1:22" ht="22.9" customHeight="1" x14ac:dyDescent="0.25">
      <c r="A864" s="29" t="s">
        <v>1867</v>
      </c>
      <c r="B864" s="9" t="s">
        <v>73</v>
      </c>
      <c r="C864" s="7">
        <f t="shared" si="1242"/>
        <v>1314358</v>
      </c>
      <c r="D864" s="2">
        <f t="shared" si="1243"/>
        <v>1214358</v>
      </c>
      <c r="E864" s="2">
        <f>700*934.14</f>
        <v>653898</v>
      </c>
      <c r="F864" s="2">
        <v>0</v>
      </c>
      <c r="G864" s="2">
        <f>300*934.1</f>
        <v>280230</v>
      </c>
      <c r="H864" s="2">
        <v>0</v>
      </c>
      <c r="I864" s="2">
        <f>300*934.1</f>
        <v>280230</v>
      </c>
      <c r="J864" s="2">
        <v>0</v>
      </c>
      <c r="K864" s="34">
        <v>0</v>
      </c>
      <c r="L864" s="18">
        <v>0</v>
      </c>
      <c r="M864" s="18">
        <v>0</v>
      </c>
      <c r="N864" s="18">
        <v>0</v>
      </c>
      <c r="O864" s="18">
        <v>0</v>
      </c>
      <c r="P864" s="18">
        <v>0</v>
      </c>
      <c r="Q864" s="18">
        <v>0</v>
      </c>
      <c r="R864" s="18">
        <v>0</v>
      </c>
      <c r="S864" s="18">
        <v>0</v>
      </c>
      <c r="T864" s="2">
        <v>100000</v>
      </c>
      <c r="U864" s="6" t="e">
        <f t="shared" si="1244"/>
        <v>#DIV/0!</v>
      </c>
    </row>
    <row r="865" spans="1:26" ht="22.9" customHeight="1" x14ac:dyDescent="0.25">
      <c r="A865" s="29" t="s">
        <v>1868</v>
      </c>
      <c r="B865" s="9" t="s">
        <v>74</v>
      </c>
      <c r="C865" s="7">
        <f t="shared" si="1242"/>
        <v>1697778</v>
      </c>
      <c r="D865" s="2">
        <f t="shared" si="1243"/>
        <v>1597778</v>
      </c>
      <c r="E865" s="2">
        <f>700*1229.06</f>
        <v>860342</v>
      </c>
      <c r="F865" s="2">
        <v>0</v>
      </c>
      <c r="G865" s="2">
        <f>300*1229.06</f>
        <v>368718</v>
      </c>
      <c r="H865" s="2">
        <v>0</v>
      </c>
      <c r="I865" s="2">
        <f>300*1229.06</f>
        <v>368718</v>
      </c>
      <c r="J865" s="2">
        <v>0</v>
      </c>
      <c r="K865" s="34">
        <v>0</v>
      </c>
      <c r="L865" s="18">
        <v>0</v>
      </c>
      <c r="M865" s="18">
        <v>0</v>
      </c>
      <c r="N865" s="18">
        <v>0</v>
      </c>
      <c r="O865" s="18">
        <v>0</v>
      </c>
      <c r="P865" s="18">
        <v>0</v>
      </c>
      <c r="Q865" s="18">
        <v>0</v>
      </c>
      <c r="R865" s="18">
        <v>0</v>
      </c>
      <c r="S865" s="18">
        <v>0</v>
      </c>
      <c r="T865" s="2">
        <v>100000</v>
      </c>
      <c r="U865" s="6" t="e">
        <f t="shared" si="1244"/>
        <v>#DIV/0!</v>
      </c>
    </row>
    <row r="866" spans="1:26" ht="22.9" customHeight="1" x14ac:dyDescent="0.25">
      <c r="A866" s="29" t="s">
        <v>1869</v>
      </c>
      <c r="B866" s="9" t="s">
        <v>75</v>
      </c>
      <c r="C866" s="7">
        <f t="shared" si="1242"/>
        <v>13560326</v>
      </c>
      <c r="D866" s="2">
        <f t="shared" si="1243"/>
        <v>3730590</v>
      </c>
      <c r="E866" s="2">
        <f>700*1243.53</f>
        <v>870471</v>
      </c>
      <c r="F866" s="2">
        <f>1300*1243.53</f>
        <v>1616589</v>
      </c>
      <c r="G866" s="2">
        <f>300*1243.53</f>
        <v>373059</v>
      </c>
      <c r="H866" s="2">
        <f>400*1243.53</f>
        <v>497412</v>
      </c>
      <c r="I866" s="2">
        <f>300*1243.53</f>
        <v>373059</v>
      </c>
      <c r="J866" s="2">
        <v>0</v>
      </c>
      <c r="K866" s="34">
        <v>0</v>
      </c>
      <c r="L866" s="18">
        <v>0</v>
      </c>
      <c r="M866" s="18">
        <v>520</v>
      </c>
      <c r="N866" s="2">
        <f t="shared" ref="N866:N871" si="1248">M866*6600</f>
        <v>3432000</v>
      </c>
      <c r="O866" s="18">
        <v>175.94</v>
      </c>
      <c r="P866" s="18">
        <f>O866*1200</f>
        <v>211128</v>
      </c>
      <c r="Q866" s="18">
        <v>1855.19</v>
      </c>
      <c r="R866" s="2">
        <f t="shared" ref="R866:R871" si="1249">Q866*3200</f>
        <v>5936608</v>
      </c>
      <c r="S866" s="18">
        <v>150000</v>
      </c>
      <c r="T866" s="2">
        <v>100000</v>
      </c>
      <c r="U866" s="6">
        <f t="shared" si="1244"/>
        <v>6600</v>
      </c>
    </row>
    <row r="867" spans="1:26" ht="45" customHeight="1" x14ac:dyDescent="0.25">
      <c r="A867" s="43" t="s">
        <v>77</v>
      </c>
      <c r="B867" s="43"/>
      <c r="C867" s="1">
        <f>SUM(C868:C871)</f>
        <v>20587559</v>
      </c>
      <c r="D867" s="1">
        <f t="shared" ref="D867:T867" si="1250">SUM(D868:D871)</f>
        <v>4521559</v>
      </c>
      <c r="E867" s="1">
        <f t="shared" si="1250"/>
        <v>2611000</v>
      </c>
      <c r="F867" s="1">
        <f t="shared" si="1250"/>
        <v>0</v>
      </c>
      <c r="G867" s="1">
        <f t="shared" si="1250"/>
        <v>861000</v>
      </c>
      <c r="H867" s="1">
        <f t="shared" si="1250"/>
        <v>0</v>
      </c>
      <c r="I867" s="1">
        <f t="shared" si="1250"/>
        <v>1049559</v>
      </c>
      <c r="J867" s="1">
        <f t="shared" si="1250"/>
        <v>0</v>
      </c>
      <c r="K867" s="33">
        <f t="shared" si="1250"/>
        <v>0</v>
      </c>
      <c r="L867" s="1">
        <f t="shared" si="1250"/>
        <v>0</v>
      </c>
      <c r="M867" s="1">
        <f t="shared" si="1250"/>
        <v>1270</v>
      </c>
      <c r="N867" s="1">
        <f t="shared" si="1250"/>
        <v>8382000</v>
      </c>
      <c r="O867" s="1">
        <f t="shared" si="1250"/>
        <v>530</v>
      </c>
      <c r="P867" s="1">
        <f t="shared" si="1250"/>
        <v>636000</v>
      </c>
      <c r="Q867" s="1">
        <f t="shared" si="1250"/>
        <v>1890</v>
      </c>
      <c r="R867" s="1">
        <f t="shared" si="1250"/>
        <v>6048000</v>
      </c>
      <c r="S867" s="1">
        <f t="shared" si="1250"/>
        <v>600000</v>
      </c>
      <c r="T867" s="1">
        <f t="shared" si="1250"/>
        <v>400000</v>
      </c>
      <c r="U867" s="3" t="e">
        <f>C867+#REF!+#REF!</f>
        <v>#REF!</v>
      </c>
    </row>
    <row r="868" spans="1:26" ht="22.9" customHeight="1" x14ac:dyDescent="0.25">
      <c r="A868" s="29" t="s">
        <v>1870</v>
      </c>
      <c r="B868" s="9" t="s">
        <v>87</v>
      </c>
      <c r="C868" s="7">
        <f t="shared" ref="C868:C871" si="1251">D868+L868+N868+P868+R868+S868+T868</f>
        <v>6604059</v>
      </c>
      <c r="D868" s="2">
        <f t="shared" ref="D868:D871" si="1252">SUM(E868:J868)</f>
        <v>988059</v>
      </c>
      <c r="E868" s="2">
        <f>700*615</f>
        <v>430500</v>
      </c>
      <c r="F868" s="2">
        <v>0</v>
      </c>
      <c r="G868" s="2">
        <f>300*615</f>
        <v>184500</v>
      </c>
      <c r="H868" s="2">
        <v>0</v>
      </c>
      <c r="I868" s="2">
        <f>300*1243.53</f>
        <v>373059</v>
      </c>
      <c r="J868" s="2">
        <v>0</v>
      </c>
      <c r="K868" s="34">
        <v>0</v>
      </c>
      <c r="L868" s="18">
        <v>0</v>
      </c>
      <c r="M868" s="18">
        <v>590</v>
      </c>
      <c r="N868" s="2">
        <f t="shared" si="1248"/>
        <v>3894000</v>
      </c>
      <c r="O868" s="18">
        <v>0</v>
      </c>
      <c r="P868" s="18">
        <v>0</v>
      </c>
      <c r="Q868" s="18">
        <v>460</v>
      </c>
      <c r="R868" s="2">
        <f t="shared" si="1249"/>
        <v>1472000</v>
      </c>
      <c r="S868" s="18">
        <v>150000</v>
      </c>
      <c r="T868" s="2">
        <v>100000</v>
      </c>
      <c r="U868" s="6">
        <f t="shared" si="1244"/>
        <v>6600</v>
      </c>
      <c r="V868" s="3"/>
    </row>
    <row r="869" spans="1:26" ht="22.9" customHeight="1" x14ac:dyDescent="0.25">
      <c r="A869" s="29" t="s">
        <v>1871</v>
      </c>
      <c r="B869" s="9" t="s">
        <v>88</v>
      </c>
      <c r="C869" s="7">
        <f t="shared" si="1251"/>
        <v>6313500</v>
      </c>
      <c r="D869" s="2">
        <f t="shared" si="1252"/>
        <v>2931500</v>
      </c>
      <c r="E869" s="2">
        <f>700*2255</f>
        <v>1578500</v>
      </c>
      <c r="F869" s="2">
        <v>0</v>
      </c>
      <c r="G869" s="2">
        <f>300*2255</f>
        <v>676500</v>
      </c>
      <c r="H869" s="2">
        <v>0</v>
      </c>
      <c r="I869" s="2">
        <f>300*2255</f>
        <v>676500</v>
      </c>
      <c r="J869" s="2">
        <v>0</v>
      </c>
      <c r="K869" s="34">
        <v>0</v>
      </c>
      <c r="L869" s="18">
        <v>0</v>
      </c>
      <c r="M869" s="18">
        <v>0</v>
      </c>
      <c r="N869" s="18">
        <v>0</v>
      </c>
      <c r="O869" s="18">
        <v>530</v>
      </c>
      <c r="P869" s="18">
        <f>O869*1200</f>
        <v>636000</v>
      </c>
      <c r="Q869" s="18">
        <v>780</v>
      </c>
      <c r="R869" s="2">
        <f t="shared" si="1249"/>
        <v>2496000</v>
      </c>
      <c r="S869" s="18">
        <v>150000</v>
      </c>
      <c r="T869" s="2">
        <v>100000</v>
      </c>
      <c r="U869" s="6" t="e">
        <f t="shared" si="1244"/>
        <v>#DIV/0!</v>
      </c>
      <c r="V869" s="3"/>
    </row>
    <row r="870" spans="1:26" ht="22.9" customHeight="1" x14ac:dyDescent="0.25">
      <c r="A870" s="29" t="s">
        <v>1872</v>
      </c>
      <c r="B870" s="9" t="s">
        <v>89</v>
      </c>
      <c r="C870" s="7">
        <f t="shared" si="1251"/>
        <v>3835000</v>
      </c>
      <c r="D870" s="2">
        <f t="shared" si="1252"/>
        <v>301000</v>
      </c>
      <c r="E870" s="2">
        <f>700*430</f>
        <v>301000</v>
      </c>
      <c r="F870" s="2">
        <v>0</v>
      </c>
      <c r="G870" s="2">
        <v>0</v>
      </c>
      <c r="H870" s="2">
        <v>0</v>
      </c>
      <c r="I870" s="2">
        <v>0</v>
      </c>
      <c r="J870" s="2">
        <v>0</v>
      </c>
      <c r="K870" s="34">
        <v>0</v>
      </c>
      <c r="L870" s="18">
        <v>0</v>
      </c>
      <c r="M870" s="18">
        <v>340</v>
      </c>
      <c r="N870" s="2">
        <f t="shared" si="1248"/>
        <v>2244000</v>
      </c>
      <c r="O870" s="18">
        <v>0</v>
      </c>
      <c r="P870" s="18">
        <v>0</v>
      </c>
      <c r="Q870" s="18">
        <v>325</v>
      </c>
      <c r="R870" s="2">
        <f t="shared" si="1249"/>
        <v>1040000</v>
      </c>
      <c r="S870" s="18">
        <v>150000</v>
      </c>
      <c r="T870" s="2">
        <v>100000</v>
      </c>
      <c r="U870" s="6">
        <f t="shared" si="1244"/>
        <v>6600</v>
      </c>
      <c r="V870" s="3"/>
    </row>
    <row r="871" spans="1:26" ht="22.9" customHeight="1" x14ac:dyDescent="0.25">
      <c r="A871" s="29" t="s">
        <v>1873</v>
      </c>
      <c r="B871" s="9" t="s">
        <v>90</v>
      </c>
      <c r="C871" s="7">
        <f t="shared" si="1251"/>
        <v>3835000</v>
      </c>
      <c r="D871" s="2">
        <f t="shared" si="1252"/>
        <v>301000</v>
      </c>
      <c r="E871" s="2">
        <f>700*430</f>
        <v>301000</v>
      </c>
      <c r="F871" s="2">
        <v>0</v>
      </c>
      <c r="G871" s="2">
        <v>0</v>
      </c>
      <c r="H871" s="2">
        <v>0</v>
      </c>
      <c r="I871" s="2">
        <v>0</v>
      </c>
      <c r="J871" s="2">
        <v>0</v>
      </c>
      <c r="K871" s="34">
        <v>0</v>
      </c>
      <c r="L871" s="18">
        <v>0</v>
      </c>
      <c r="M871" s="18">
        <v>340</v>
      </c>
      <c r="N871" s="2">
        <f t="shared" si="1248"/>
        <v>2244000</v>
      </c>
      <c r="O871" s="18">
        <v>0</v>
      </c>
      <c r="P871" s="18">
        <v>0</v>
      </c>
      <c r="Q871" s="18">
        <v>325</v>
      </c>
      <c r="R871" s="2">
        <f t="shared" si="1249"/>
        <v>1040000</v>
      </c>
      <c r="S871" s="18">
        <v>150000</v>
      </c>
      <c r="T871" s="2">
        <v>100000</v>
      </c>
      <c r="U871" s="6">
        <f t="shared" si="1244"/>
        <v>6600</v>
      </c>
      <c r="V871" s="3"/>
    </row>
    <row r="872" spans="1:26" ht="45" customHeight="1" x14ac:dyDescent="0.25">
      <c r="A872" s="43" t="s">
        <v>91</v>
      </c>
      <c r="B872" s="43"/>
      <c r="C872" s="1">
        <f>SUM(C873)</f>
        <v>266160</v>
      </c>
      <c r="D872" s="1">
        <f t="shared" ref="D872:T872" si="1253">SUM(D873)</f>
        <v>216160</v>
      </c>
      <c r="E872" s="1">
        <f t="shared" si="1253"/>
        <v>216160</v>
      </c>
      <c r="F872" s="1">
        <f t="shared" si="1253"/>
        <v>0</v>
      </c>
      <c r="G872" s="1">
        <f t="shared" si="1253"/>
        <v>0</v>
      </c>
      <c r="H872" s="1">
        <f t="shared" si="1253"/>
        <v>0</v>
      </c>
      <c r="I872" s="1">
        <f t="shared" si="1253"/>
        <v>0</v>
      </c>
      <c r="J872" s="1">
        <f t="shared" si="1253"/>
        <v>0</v>
      </c>
      <c r="K872" s="33">
        <f t="shared" si="1253"/>
        <v>0</v>
      </c>
      <c r="L872" s="1">
        <f t="shared" si="1253"/>
        <v>0</v>
      </c>
      <c r="M872" s="1">
        <f t="shared" si="1253"/>
        <v>0</v>
      </c>
      <c r="N872" s="1">
        <f t="shared" si="1253"/>
        <v>0</v>
      </c>
      <c r="O872" s="1">
        <f t="shared" si="1253"/>
        <v>0</v>
      </c>
      <c r="P872" s="1">
        <f t="shared" si="1253"/>
        <v>0</v>
      </c>
      <c r="Q872" s="1">
        <f t="shared" si="1253"/>
        <v>0</v>
      </c>
      <c r="R872" s="1">
        <f t="shared" si="1253"/>
        <v>0</v>
      </c>
      <c r="S872" s="1">
        <f t="shared" si="1253"/>
        <v>0</v>
      </c>
      <c r="T872" s="1">
        <f t="shared" si="1253"/>
        <v>50000</v>
      </c>
      <c r="U872" s="3" t="e">
        <f>C872+#REF!+#REF!</f>
        <v>#REF!</v>
      </c>
    </row>
    <row r="873" spans="1:26" ht="22.9" customHeight="1" x14ac:dyDescent="0.25">
      <c r="A873" s="39" t="s">
        <v>1874</v>
      </c>
      <c r="B873" s="9" t="s">
        <v>96</v>
      </c>
      <c r="C873" s="7">
        <f t="shared" ref="C873" si="1254">D873+L873+N873+P873+R873+S873+T873</f>
        <v>266160</v>
      </c>
      <c r="D873" s="2">
        <f t="shared" ref="D873" si="1255">SUM(E873:J873)</f>
        <v>216160</v>
      </c>
      <c r="E873" s="2">
        <f>700*308.8</f>
        <v>216160</v>
      </c>
      <c r="F873" s="2">
        <v>0</v>
      </c>
      <c r="G873" s="2">
        <v>0</v>
      </c>
      <c r="H873" s="2">
        <v>0</v>
      </c>
      <c r="I873" s="2">
        <v>0</v>
      </c>
      <c r="J873" s="2">
        <v>0</v>
      </c>
      <c r="K873" s="21">
        <v>0</v>
      </c>
      <c r="L873" s="2">
        <v>0</v>
      </c>
      <c r="M873" s="2">
        <v>0</v>
      </c>
      <c r="N873" s="2">
        <v>0</v>
      </c>
      <c r="O873" s="2">
        <v>0</v>
      </c>
      <c r="P873" s="2">
        <v>0</v>
      </c>
      <c r="Q873" s="2">
        <v>0</v>
      </c>
      <c r="R873" s="2">
        <v>0</v>
      </c>
      <c r="S873" s="2">
        <v>0</v>
      </c>
      <c r="T873" s="18">
        <v>50000</v>
      </c>
      <c r="U873" s="6" t="e">
        <f t="shared" si="1244"/>
        <v>#DIV/0!</v>
      </c>
      <c r="V873" s="3"/>
    </row>
    <row r="874" spans="1:26" ht="45" customHeight="1" x14ac:dyDescent="0.25">
      <c r="A874" s="43" t="s">
        <v>97</v>
      </c>
      <c r="B874" s="43"/>
      <c r="C874" s="1">
        <f>SUM(C875)</f>
        <v>6017440</v>
      </c>
      <c r="D874" s="1">
        <f t="shared" ref="D874:T874" si="1256">SUM(D875)</f>
        <v>1187200</v>
      </c>
      <c r="E874" s="1">
        <f t="shared" si="1256"/>
        <v>415520</v>
      </c>
      <c r="F874" s="1">
        <f t="shared" si="1256"/>
        <v>771680</v>
      </c>
      <c r="G874" s="1">
        <f t="shared" si="1256"/>
        <v>0</v>
      </c>
      <c r="H874" s="1">
        <f t="shared" si="1256"/>
        <v>0</v>
      </c>
      <c r="I874" s="1">
        <f t="shared" si="1256"/>
        <v>0</v>
      </c>
      <c r="J874" s="1">
        <f t="shared" si="1256"/>
        <v>0</v>
      </c>
      <c r="K874" s="33">
        <f t="shared" si="1256"/>
        <v>0</v>
      </c>
      <c r="L874" s="1">
        <f t="shared" si="1256"/>
        <v>0</v>
      </c>
      <c r="M874" s="1">
        <f t="shared" si="1256"/>
        <v>474</v>
      </c>
      <c r="N874" s="1">
        <f t="shared" si="1256"/>
        <v>3128400</v>
      </c>
      <c r="O874" s="1">
        <f t="shared" si="1256"/>
        <v>0</v>
      </c>
      <c r="P874" s="1">
        <f t="shared" si="1256"/>
        <v>0</v>
      </c>
      <c r="Q874" s="1">
        <f t="shared" si="1256"/>
        <v>453.7</v>
      </c>
      <c r="R874" s="1">
        <f t="shared" si="1256"/>
        <v>1451840</v>
      </c>
      <c r="S874" s="1">
        <f t="shared" si="1256"/>
        <v>150000</v>
      </c>
      <c r="T874" s="1">
        <f t="shared" si="1256"/>
        <v>100000</v>
      </c>
      <c r="U874" s="3" t="e">
        <f>C874+#REF!+#REF!</f>
        <v>#REF!</v>
      </c>
    </row>
    <row r="875" spans="1:26" ht="22.9" customHeight="1" x14ac:dyDescent="0.25">
      <c r="A875" s="39" t="s">
        <v>1875</v>
      </c>
      <c r="B875" s="9" t="s">
        <v>102</v>
      </c>
      <c r="C875" s="7">
        <f t="shared" ref="C875" si="1257">D875+L875+N875+P875+R875+S875+T875</f>
        <v>6017440</v>
      </c>
      <c r="D875" s="2">
        <f t="shared" ref="D875" si="1258">SUM(E875:J875)</f>
        <v>1187200</v>
      </c>
      <c r="E875" s="2">
        <f>700*593.6</f>
        <v>415520</v>
      </c>
      <c r="F875" s="2">
        <f>1300*593.6</f>
        <v>771680</v>
      </c>
      <c r="G875" s="2">
        <v>0</v>
      </c>
      <c r="H875" s="2">
        <v>0</v>
      </c>
      <c r="I875" s="2">
        <v>0</v>
      </c>
      <c r="J875" s="2">
        <v>0</v>
      </c>
      <c r="K875" s="21">
        <v>0</v>
      </c>
      <c r="L875" s="2">
        <v>0</v>
      </c>
      <c r="M875" s="19">
        <v>474</v>
      </c>
      <c r="N875" s="2">
        <f t="shared" ref="N875:N878" si="1259">M875*6600</f>
        <v>3128400</v>
      </c>
      <c r="O875" s="19">
        <v>0</v>
      </c>
      <c r="P875" s="19">
        <v>0</v>
      </c>
      <c r="Q875" s="19">
        <v>453.7</v>
      </c>
      <c r="R875" s="2">
        <f t="shared" ref="R875:R878" si="1260">Q875*3200</f>
        <v>1451840</v>
      </c>
      <c r="S875" s="18">
        <v>150000</v>
      </c>
      <c r="T875" s="2">
        <v>100000</v>
      </c>
      <c r="U875" s="6">
        <f t="shared" si="1244"/>
        <v>6600</v>
      </c>
      <c r="V875" s="1"/>
      <c r="W875" s="1"/>
      <c r="X875" s="3"/>
    </row>
    <row r="876" spans="1:26" ht="45" customHeight="1" x14ac:dyDescent="0.25">
      <c r="A876" s="43" t="s">
        <v>103</v>
      </c>
      <c r="B876" s="43"/>
      <c r="C876" s="1">
        <f>SUM(C877:C879)</f>
        <v>6626220</v>
      </c>
      <c r="D876" s="1">
        <f t="shared" ref="D876:T876" si="1261">SUM(D877:D879)</f>
        <v>1842220.0000000002</v>
      </c>
      <c r="E876" s="1">
        <f t="shared" si="1261"/>
        <v>744590</v>
      </c>
      <c r="F876" s="1">
        <f t="shared" si="1261"/>
        <v>751010.00000000012</v>
      </c>
      <c r="G876" s="1">
        <f t="shared" si="1261"/>
        <v>173310</v>
      </c>
      <c r="H876" s="1">
        <f t="shared" si="1261"/>
        <v>0</v>
      </c>
      <c r="I876" s="1">
        <f t="shared" si="1261"/>
        <v>173310</v>
      </c>
      <c r="J876" s="1">
        <f t="shared" si="1261"/>
        <v>0</v>
      </c>
      <c r="K876" s="33">
        <f t="shared" si="1261"/>
        <v>0</v>
      </c>
      <c r="L876" s="1">
        <f t="shared" si="1261"/>
        <v>0</v>
      </c>
      <c r="M876" s="1">
        <f t="shared" si="1261"/>
        <v>330</v>
      </c>
      <c r="N876" s="1">
        <f t="shared" si="1261"/>
        <v>2178000</v>
      </c>
      <c r="O876" s="1">
        <f t="shared" si="1261"/>
        <v>0</v>
      </c>
      <c r="P876" s="1">
        <f t="shared" si="1261"/>
        <v>0</v>
      </c>
      <c r="Q876" s="1">
        <f t="shared" si="1261"/>
        <v>580</v>
      </c>
      <c r="R876" s="1">
        <f t="shared" si="1261"/>
        <v>1856000</v>
      </c>
      <c r="S876" s="1">
        <f t="shared" si="1261"/>
        <v>450000</v>
      </c>
      <c r="T876" s="1">
        <f t="shared" si="1261"/>
        <v>300000</v>
      </c>
      <c r="U876" s="3" t="e">
        <f>C876+#REF!+#REF!</f>
        <v>#REF!</v>
      </c>
    </row>
    <row r="877" spans="1:26" ht="22.9" customHeight="1" x14ac:dyDescent="0.25">
      <c r="A877" s="39" t="s">
        <v>1876</v>
      </c>
      <c r="B877" s="9" t="s">
        <v>110</v>
      </c>
      <c r="C877" s="7">
        <f t="shared" ref="C877:C879" si="1262">D877+L877+N877+P877+R877+S877+T877</f>
        <v>2501400</v>
      </c>
      <c r="D877" s="2">
        <f t="shared" ref="D877:D879" si="1263">SUM(E877:J877)</f>
        <v>169400</v>
      </c>
      <c r="E877" s="2">
        <f>700*242</f>
        <v>169400</v>
      </c>
      <c r="F877" s="2">
        <v>0</v>
      </c>
      <c r="G877" s="2">
        <v>0</v>
      </c>
      <c r="H877" s="2">
        <v>0</v>
      </c>
      <c r="I877" s="2">
        <v>0</v>
      </c>
      <c r="J877" s="2">
        <v>0</v>
      </c>
      <c r="K877" s="21">
        <v>0</v>
      </c>
      <c r="L877" s="2">
        <v>0</v>
      </c>
      <c r="M877" s="18">
        <v>170</v>
      </c>
      <c r="N877" s="2">
        <f t="shared" si="1259"/>
        <v>1122000</v>
      </c>
      <c r="O877" s="2">
        <v>0</v>
      </c>
      <c r="P877" s="18">
        <v>0</v>
      </c>
      <c r="Q877" s="18">
        <v>300</v>
      </c>
      <c r="R877" s="2">
        <f t="shared" si="1260"/>
        <v>960000</v>
      </c>
      <c r="S877" s="18">
        <v>150000</v>
      </c>
      <c r="T877" s="2">
        <v>100000</v>
      </c>
      <c r="U877" s="6">
        <f t="shared" si="1244"/>
        <v>6600</v>
      </c>
      <c r="V877" s="1"/>
      <c r="W877" s="1"/>
      <c r="X877" s="1"/>
      <c r="Y877" s="1"/>
      <c r="Z877" s="3"/>
    </row>
    <row r="878" spans="1:26" ht="22.9" customHeight="1" x14ac:dyDescent="0.25">
      <c r="A878" s="39" t="s">
        <v>1877</v>
      </c>
      <c r="B878" s="9" t="s">
        <v>111</v>
      </c>
      <c r="C878" s="7">
        <f t="shared" si="1262"/>
        <v>2372800</v>
      </c>
      <c r="D878" s="2">
        <f t="shared" si="1263"/>
        <v>170800</v>
      </c>
      <c r="E878" s="2">
        <f>700*244</f>
        <v>170800</v>
      </c>
      <c r="F878" s="2">
        <v>0</v>
      </c>
      <c r="G878" s="2">
        <v>0</v>
      </c>
      <c r="H878" s="2">
        <v>0</v>
      </c>
      <c r="I878" s="2">
        <v>0</v>
      </c>
      <c r="J878" s="2">
        <v>0</v>
      </c>
      <c r="K878" s="34">
        <v>0</v>
      </c>
      <c r="L878" s="18">
        <v>0</v>
      </c>
      <c r="M878" s="18">
        <v>160</v>
      </c>
      <c r="N878" s="2">
        <f t="shared" si="1259"/>
        <v>1056000</v>
      </c>
      <c r="O878" s="2">
        <v>0</v>
      </c>
      <c r="P878" s="18">
        <v>0</v>
      </c>
      <c r="Q878" s="18">
        <v>280</v>
      </c>
      <c r="R878" s="2">
        <f t="shared" si="1260"/>
        <v>896000</v>
      </c>
      <c r="S878" s="18">
        <v>150000</v>
      </c>
      <c r="T878" s="2">
        <v>100000</v>
      </c>
      <c r="U878" s="6">
        <f t="shared" si="1244"/>
        <v>6600</v>
      </c>
      <c r="V878" s="1"/>
      <c r="W878" s="1"/>
      <c r="X878" s="1"/>
      <c r="Y878" s="1"/>
      <c r="Z878" s="3"/>
    </row>
    <row r="879" spans="1:26" ht="22.9" customHeight="1" x14ac:dyDescent="0.25">
      <c r="A879" s="39" t="s">
        <v>1878</v>
      </c>
      <c r="B879" s="9" t="s">
        <v>112</v>
      </c>
      <c r="C879" s="7">
        <f t="shared" si="1262"/>
        <v>1752020.0000000002</v>
      </c>
      <c r="D879" s="2">
        <f t="shared" si="1263"/>
        <v>1502020.0000000002</v>
      </c>
      <c r="E879" s="2">
        <f>700*577.7</f>
        <v>404390.00000000006</v>
      </c>
      <c r="F879" s="2">
        <f>1300*577.7</f>
        <v>751010.00000000012</v>
      </c>
      <c r="G879" s="2">
        <f>300*577.7</f>
        <v>173310</v>
      </c>
      <c r="H879" s="2">
        <v>0</v>
      </c>
      <c r="I879" s="2">
        <f>300*577.7</f>
        <v>173310</v>
      </c>
      <c r="J879" s="2">
        <v>0</v>
      </c>
      <c r="K879" s="34">
        <v>0</v>
      </c>
      <c r="L879" s="18">
        <v>0</v>
      </c>
      <c r="M879" s="18">
        <v>0</v>
      </c>
      <c r="N879" s="18">
        <v>0</v>
      </c>
      <c r="O879" s="18">
        <v>0</v>
      </c>
      <c r="P879" s="18">
        <v>0</v>
      </c>
      <c r="Q879" s="18">
        <v>0</v>
      </c>
      <c r="R879" s="18">
        <v>0</v>
      </c>
      <c r="S879" s="18">
        <v>150000</v>
      </c>
      <c r="T879" s="2">
        <v>100000</v>
      </c>
      <c r="U879" s="6" t="e">
        <f t="shared" si="1244"/>
        <v>#DIV/0!</v>
      </c>
      <c r="V879" s="1"/>
      <c r="W879" s="1"/>
      <c r="X879" s="1"/>
      <c r="Y879" s="1"/>
      <c r="Z879" s="3"/>
    </row>
    <row r="880" spans="1:26" ht="45" customHeight="1" x14ac:dyDescent="0.25">
      <c r="A880" s="43" t="s">
        <v>113</v>
      </c>
      <c r="B880" s="43"/>
      <c r="C880" s="1">
        <f>SUM(C881:C883)</f>
        <v>9832014</v>
      </c>
      <c r="D880" s="1">
        <f t="shared" ref="D880:T880" si="1264">SUM(D881:D883)</f>
        <v>593054</v>
      </c>
      <c r="E880" s="1">
        <f t="shared" si="1264"/>
        <v>593054</v>
      </c>
      <c r="F880" s="1">
        <f t="shared" si="1264"/>
        <v>0</v>
      </c>
      <c r="G880" s="1">
        <f t="shared" si="1264"/>
        <v>0</v>
      </c>
      <c r="H880" s="1">
        <f t="shared" si="1264"/>
        <v>0</v>
      </c>
      <c r="I880" s="1">
        <f t="shared" si="1264"/>
        <v>0</v>
      </c>
      <c r="J880" s="1">
        <f t="shared" si="1264"/>
        <v>0</v>
      </c>
      <c r="K880" s="33">
        <f t="shared" si="1264"/>
        <v>0</v>
      </c>
      <c r="L880" s="1">
        <f t="shared" si="1264"/>
        <v>0</v>
      </c>
      <c r="M880" s="1">
        <f t="shared" si="1264"/>
        <v>880</v>
      </c>
      <c r="N880" s="1">
        <f t="shared" si="1264"/>
        <v>5808000</v>
      </c>
      <c r="O880" s="1">
        <f t="shared" si="1264"/>
        <v>0</v>
      </c>
      <c r="P880" s="1">
        <f t="shared" si="1264"/>
        <v>0</v>
      </c>
      <c r="Q880" s="1">
        <f t="shared" si="1264"/>
        <v>837.8</v>
      </c>
      <c r="R880" s="1">
        <f t="shared" si="1264"/>
        <v>2680960</v>
      </c>
      <c r="S880" s="1">
        <f t="shared" si="1264"/>
        <v>450000</v>
      </c>
      <c r="T880" s="1">
        <f t="shared" si="1264"/>
        <v>300000</v>
      </c>
      <c r="U880" s="3" t="e">
        <f>C880+#REF!+#REF!</f>
        <v>#REF!</v>
      </c>
    </row>
    <row r="881" spans="1:26" ht="22.9" customHeight="1" x14ac:dyDescent="0.25">
      <c r="A881" s="39" t="s">
        <v>1879</v>
      </c>
      <c r="B881" s="9" t="s">
        <v>121</v>
      </c>
      <c r="C881" s="7">
        <f t="shared" ref="C881:C882" si="1265">D881+L881+N881+P881+R881+S881+T881</f>
        <v>4805488</v>
      </c>
      <c r="D881" s="2">
        <f t="shared" ref="D881:D882" si="1266">SUM(E881:J881)</f>
        <v>297248</v>
      </c>
      <c r="E881" s="2">
        <f>700*424.64</f>
        <v>297248</v>
      </c>
      <c r="F881" s="2">
        <v>0</v>
      </c>
      <c r="G881" s="2">
        <v>0</v>
      </c>
      <c r="H881" s="2">
        <v>0</v>
      </c>
      <c r="I881" s="2">
        <v>0</v>
      </c>
      <c r="J881" s="2">
        <v>0</v>
      </c>
      <c r="K881" s="34">
        <v>0</v>
      </c>
      <c r="L881" s="18">
        <v>0</v>
      </c>
      <c r="M881" s="18">
        <v>440</v>
      </c>
      <c r="N881" s="2">
        <f t="shared" ref="N881:N882" si="1267">M881*6600</f>
        <v>2904000</v>
      </c>
      <c r="O881" s="18">
        <v>0</v>
      </c>
      <c r="P881" s="18">
        <v>0</v>
      </c>
      <c r="Q881" s="18">
        <v>423.2</v>
      </c>
      <c r="R881" s="2">
        <f t="shared" ref="R881:R882" si="1268">Q881*3200</f>
        <v>1354240</v>
      </c>
      <c r="S881" s="18">
        <v>150000</v>
      </c>
      <c r="T881" s="2">
        <v>100000</v>
      </c>
      <c r="U881" s="6">
        <f t="shared" si="1244"/>
        <v>6600</v>
      </c>
      <c r="V881" s="1"/>
      <c r="W881" s="1"/>
      <c r="X881" s="3"/>
    </row>
    <row r="882" spans="1:26" ht="22.9" customHeight="1" x14ac:dyDescent="0.25">
      <c r="A882" s="39" t="s">
        <v>1880</v>
      </c>
      <c r="B882" s="9" t="s">
        <v>122</v>
      </c>
      <c r="C882" s="7">
        <f t="shared" si="1265"/>
        <v>4776526</v>
      </c>
      <c r="D882" s="2">
        <f t="shared" si="1266"/>
        <v>295806</v>
      </c>
      <c r="E882" s="2">
        <f>700*422.58</f>
        <v>295806</v>
      </c>
      <c r="F882" s="2">
        <v>0</v>
      </c>
      <c r="G882" s="2">
        <v>0</v>
      </c>
      <c r="H882" s="2">
        <v>0</v>
      </c>
      <c r="I882" s="2">
        <v>0</v>
      </c>
      <c r="J882" s="2">
        <v>0</v>
      </c>
      <c r="K882" s="34">
        <v>0</v>
      </c>
      <c r="L882" s="18">
        <v>0</v>
      </c>
      <c r="M882" s="18">
        <v>440</v>
      </c>
      <c r="N882" s="2">
        <f t="shared" si="1267"/>
        <v>2904000</v>
      </c>
      <c r="O882" s="18">
        <v>0</v>
      </c>
      <c r="P882" s="18">
        <v>0</v>
      </c>
      <c r="Q882" s="18">
        <v>414.6</v>
      </c>
      <c r="R882" s="2">
        <f t="shared" si="1268"/>
        <v>1326720</v>
      </c>
      <c r="S882" s="18">
        <v>150000</v>
      </c>
      <c r="T882" s="2">
        <v>100000</v>
      </c>
      <c r="U882" s="6">
        <f t="shared" si="1244"/>
        <v>6600</v>
      </c>
      <c r="V882" s="1"/>
      <c r="W882" s="1"/>
      <c r="X882" s="1"/>
      <c r="Y882" s="3"/>
    </row>
    <row r="883" spans="1:26" ht="22.9" customHeight="1" x14ac:dyDescent="0.25">
      <c r="A883" s="39" t="s">
        <v>1881</v>
      </c>
      <c r="B883" s="9" t="s">
        <v>123</v>
      </c>
      <c r="C883" s="13">
        <f t="shared" ref="C883" si="1269">D883+L883+N883+P883+R883+S883+T883</f>
        <v>250000</v>
      </c>
      <c r="D883" s="2">
        <f t="shared" ref="D883" si="1270">SUM(E883:J883)</f>
        <v>0</v>
      </c>
      <c r="E883" s="18">
        <v>0</v>
      </c>
      <c r="F883" s="18">
        <v>0</v>
      </c>
      <c r="G883" s="18">
        <v>0</v>
      </c>
      <c r="H883" s="18">
        <v>0</v>
      </c>
      <c r="I883" s="18">
        <v>0</v>
      </c>
      <c r="J883" s="18">
        <v>0</v>
      </c>
      <c r="K883" s="34">
        <v>0</v>
      </c>
      <c r="L883" s="18">
        <v>0</v>
      </c>
      <c r="M883" s="18">
        <v>0</v>
      </c>
      <c r="N883" s="18">
        <v>0</v>
      </c>
      <c r="O883" s="18">
        <v>0</v>
      </c>
      <c r="P883" s="18">
        <v>0</v>
      </c>
      <c r="Q883" s="18">
        <v>0</v>
      </c>
      <c r="R883" s="18">
        <v>0</v>
      </c>
      <c r="S883" s="18">
        <v>150000</v>
      </c>
      <c r="T883" s="2">
        <v>100000</v>
      </c>
      <c r="U883" s="6" t="e">
        <f t="shared" si="1244"/>
        <v>#DIV/0!</v>
      </c>
      <c r="V883" s="1"/>
      <c r="W883" s="1"/>
      <c r="X883" s="1"/>
      <c r="Y883" s="3"/>
    </row>
    <row r="884" spans="1:26" ht="45" customHeight="1" x14ac:dyDescent="0.25">
      <c r="A884" s="43" t="s">
        <v>124</v>
      </c>
      <c r="B884" s="43"/>
      <c r="C884" s="1">
        <f>SUM(C885:C886)</f>
        <v>8347240</v>
      </c>
      <c r="D884" s="1">
        <f t="shared" ref="D884:T884" si="1271">SUM(D885:D886)</f>
        <v>1007240</v>
      </c>
      <c r="E884" s="1">
        <f t="shared" si="1271"/>
        <v>542360</v>
      </c>
      <c r="F884" s="1">
        <f t="shared" si="1271"/>
        <v>0</v>
      </c>
      <c r="G884" s="1">
        <f t="shared" si="1271"/>
        <v>232440</v>
      </c>
      <c r="H884" s="1">
        <f t="shared" si="1271"/>
        <v>0</v>
      </c>
      <c r="I884" s="1">
        <f t="shared" si="1271"/>
        <v>232440</v>
      </c>
      <c r="J884" s="1">
        <f t="shared" si="1271"/>
        <v>0</v>
      </c>
      <c r="K884" s="33">
        <f t="shared" si="1271"/>
        <v>0</v>
      </c>
      <c r="L884" s="1">
        <f t="shared" si="1271"/>
        <v>0</v>
      </c>
      <c r="M884" s="1">
        <f t="shared" si="1271"/>
        <v>600</v>
      </c>
      <c r="N884" s="1">
        <f t="shared" si="1271"/>
        <v>3960000</v>
      </c>
      <c r="O884" s="1">
        <f t="shared" si="1271"/>
        <v>0</v>
      </c>
      <c r="P884" s="1">
        <f t="shared" si="1271"/>
        <v>0</v>
      </c>
      <c r="Q884" s="1">
        <f t="shared" si="1271"/>
        <v>900</v>
      </c>
      <c r="R884" s="1">
        <f t="shared" si="1271"/>
        <v>2880000</v>
      </c>
      <c r="S884" s="1">
        <f t="shared" si="1271"/>
        <v>300000</v>
      </c>
      <c r="T884" s="1">
        <f t="shared" si="1271"/>
        <v>200000</v>
      </c>
      <c r="U884" s="3" t="e">
        <f>C884+#REF!+#REF!</f>
        <v>#REF!</v>
      </c>
    </row>
    <row r="885" spans="1:26" ht="22.9" customHeight="1" x14ac:dyDescent="0.25">
      <c r="A885" s="39" t="s">
        <v>1882</v>
      </c>
      <c r="B885" s="9" t="s">
        <v>129</v>
      </c>
      <c r="C885" s="7">
        <f t="shared" ref="C885:C886" si="1272">D885+L885+N885+P885+R885+S885+T885</f>
        <v>4183110</v>
      </c>
      <c r="D885" s="2">
        <f t="shared" ref="D885:D886" si="1273">SUM(E885:J885)</f>
        <v>513110</v>
      </c>
      <c r="E885" s="2">
        <f>700*394.7</f>
        <v>276290</v>
      </c>
      <c r="F885" s="18">
        <v>0</v>
      </c>
      <c r="G885" s="2">
        <f>300*394.7</f>
        <v>118410</v>
      </c>
      <c r="H885" s="18">
        <v>0</v>
      </c>
      <c r="I885" s="2">
        <f>300*394.7</f>
        <v>118410</v>
      </c>
      <c r="J885" s="2">
        <v>0</v>
      </c>
      <c r="K885" s="34">
        <v>0</v>
      </c>
      <c r="L885" s="18">
        <v>0</v>
      </c>
      <c r="M885" s="18">
        <v>300</v>
      </c>
      <c r="N885" s="2">
        <f t="shared" ref="N885:N886" si="1274">M885*6600</f>
        <v>1980000</v>
      </c>
      <c r="O885" s="18">
        <v>0</v>
      </c>
      <c r="P885" s="18">
        <v>0</v>
      </c>
      <c r="Q885" s="18">
        <v>450</v>
      </c>
      <c r="R885" s="2">
        <f t="shared" ref="R885:R896" si="1275">Q885*3200</f>
        <v>1440000</v>
      </c>
      <c r="S885" s="18">
        <v>150000</v>
      </c>
      <c r="T885" s="2">
        <v>100000</v>
      </c>
      <c r="U885" s="6">
        <f t="shared" si="1244"/>
        <v>6600</v>
      </c>
      <c r="V885" s="1"/>
      <c r="W885" s="1"/>
      <c r="X885" s="1"/>
      <c r="Y885" s="3"/>
    </row>
    <row r="886" spans="1:26" ht="22.9" customHeight="1" x14ac:dyDescent="0.25">
      <c r="A886" s="39" t="s">
        <v>1883</v>
      </c>
      <c r="B886" s="9" t="s">
        <v>130</v>
      </c>
      <c r="C886" s="7">
        <f t="shared" si="1272"/>
        <v>4164130</v>
      </c>
      <c r="D886" s="2">
        <f t="shared" si="1273"/>
        <v>494130</v>
      </c>
      <c r="E886" s="2">
        <f>700*380.1</f>
        <v>266070</v>
      </c>
      <c r="F886" s="18">
        <v>0</v>
      </c>
      <c r="G886" s="2">
        <f>300*380.1</f>
        <v>114030</v>
      </c>
      <c r="H886" s="18">
        <v>0</v>
      </c>
      <c r="I886" s="2">
        <f>300*380.1</f>
        <v>114030</v>
      </c>
      <c r="J886" s="2">
        <v>0</v>
      </c>
      <c r="K886" s="34">
        <v>0</v>
      </c>
      <c r="L886" s="18">
        <v>0</v>
      </c>
      <c r="M886" s="18">
        <v>300</v>
      </c>
      <c r="N886" s="2">
        <f t="shared" si="1274"/>
        <v>1980000</v>
      </c>
      <c r="O886" s="18">
        <v>0</v>
      </c>
      <c r="P886" s="18">
        <v>0</v>
      </c>
      <c r="Q886" s="18">
        <v>450</v>
      </c>
      <c r="R886" s="2">
        <f t="shared" si="1275"/>
        <v>1440000</v>
      </c>
      <c r="S886" s="18">
        <v>150000</v>
      </c>
      <c r="T886" s="2">
        <v>100000</v>
      </c>
      <c r="U886" s="6">
        <f t="shared" si="1244"/>
        <v>6600</v>
      </c>
      <c r="V886" s="1"/>
      <c r="W886" s="1"/>
      <c r="X886" s="1"/>
      <c r="Y886" s="1"/>
      <c r="Z886" s="3"/>
    </row>
    <row r="887" spans="1:26" ht="45" customHeight="1" x14ac:dyDescent="0.25">
      <c r="A887" s="43" t="s">
        <v>131</v>
      </c>
      <c r="B887" s="43"/>
      <c r="C887" s="1">
        <f>SUM(C888:C897)</f>
        <v>94813046</v>
      </c>
      <c r="D887" s="1">
        <f t="shared" ref="D887:T887" si="1276">SUM(D888:D897)</f>
        <v>43399630</v>
      </c>
      <c r="E887" s="1">
        <f t="shared" si="1276"/>
        <v>10123547</v>
      </c>
      <c r="F887" s="1">
        <f t="shared" si="1276"/>
        <v>18813873</v>
      </c>
      <c r="G887" s="1">
        <f t="shared" si="1276"/>
        <v>4338663</v>
      </c>
      <c r="H887" s="1">
        <f t="shared" si="1276"/>
        <v>5784884</v>
      </c>
      <c r="I887" s="1">
        <f t="shared" si="1276"/>
        <v>4338663</v>
      </c>
      <c r="J887" s="1">
        <f t="shared" si="1276"/>
        <v>0</v>
      </c>
      <c r="K887" s="33">
        <f t="shared" si="1276"/>
        <v>0</v>
      </c>
      <c r="L887" s="1">
        <f t="shared" si="1276"/>
        <v>0</v>
      </c>
      <c r="M887" s="1">
        <f t="shared" si="1276"/>
        <v>1717.8000000000002</v>
      </c>
      <c r="N887" s="1">
        <f t="shared" si="1276"/>
        <v>11337480</v>
      </c>
      <c r="O887" s="1">
        <f t="shared" si="1276"/>
        <v>0</v>
      </c>
      <c r="P887" s="1">
        <f t="shared" si="1276"/>
        <v>0</v>
      </c>
      <c r="Q887" s="1">
        <f t="shared" si="1276"/>
        <v>12211.23</v>
      </c>
      <c r="R887" s="1">
        <f t="shared" si="1276"/>
        <v>39075936</v>
      </c>
      <c r="S887" s="1">
        <f t="shared" si="1276"/>
        <v>0</v>
      </c>
      <c r="T887" s="1">
        <f t="shared" si="1276"/>
        <v>1000000</v>
      </c>
      <c r="U887" s="3" t="e">
        <f>C887+#REF!+#REF!</f>
        <v>#REF!</v>
      </c>
    </row>
    <row r="888" spans="1:26" ht="22.9" customHeight="1" x14ac:dyDescent="0.25">
      <c r="A888" s="39" t="s">
        <v>1884</v>
      </c>
      <c r="B888" s="9" t="s">
        <v>152</v>
      </c>
      <c r="C888" s="7">
        <f t="shared" ref="C888:C897" si="1277">D888+L888+N888+P888+R888+S888+T888</f>
        <v>12570680</v>
      </c>
      <c r="D888" s="2">
        <f t="shared" ref="D888:D897" si="1278">SUM(E888:J888)</f>
        <v>6034200</v>
      </c>
      <c r="E888" s="2">
        <f>700*2011.4</f>
        <v>1407980</v>
      </c>
      <c r="F888" s="2">
        <f>1300*2011.4</f>
        <v>2614820</v>
      </c>
      <c r="G888" s="2">
        <f>300*2011.4</f>
        <v>603420</v>
      </c>
      <c r="H888" s="2">
        <f>400*2011.4</f>
        <v>804560</v>
      </c>
      <c r="I888" s="2">
        <f>300*2011.4</f>
        <v>603420</v>
      </c>
      <c r="J888" s="2">
        <v>0</v>
      </c>
      <c r="K888" s="34">
        <v>0</v>
      </c>
      <c r="L888" s="18">
        <v>0</v>
      </c>
      <c r="M888" s="18">
        <v>0</v>
      </c>
      <c r="N888" s="18">
        <v>0</v>
      </c>
      <c r="O888" s="18">
        <v>0</v>
      </c>
      <c r="P888" s="18">
        <v>0</v>
      </c>
      <c r="Q888" s="2">
        <v>2011.4</v>
      </c>
      <c r="R888" s="2">
        <f t="shared" si="1275"/>
        <v>6436480</v>
      </c>
      <c r="S888" s="18">
        <v>0</v>
      </c>
      <c r="T888" s="2">
        <v>100000</v>
      </c>
      <c r="U888" s="6" t="e">
        <f t="shared" si="1244"/>
        <v>#DIV/0!</v>
      </c>
      <c r="V888" s="1"/>
      <c r="W888" s="1"/>
      <c r="X888" s="1"/>
      <c r="Y888" s="3"/>
    </row>
    <row r="889" spans="1:26" ht="22.9" customHeight="1" x14ac:dyDescent="0.25">
      <c r="A889" s="39" t="s">
        <v>1885</v>
      </c>
      <c r="B889" s="9" t="s">
        <v>153</v>
      </c>
      <c r="C889" s="7">
        <f t="shared" si="1277"/>
        <v>6572180.0000000009</v>
      </c>
      <c r="D889" s="2">
        <f t="shared" si="1278"/>
        <v>3131700.0000000005</v>
      </c>
      <c r="E889" s="2">
        <f>700*1043.9</f>
        <v>730730.00000000012</v>
      </c>
      <c r="F889" s="2">
        <f>1300*1043.9</f>
        <v>1357070.0000000002</v>
      </c>
      <c r="G889" s="2">
        <f>300*1043.9</f>
        <v>313170</v>
      </c>
      <c r="H889" s="2">
        <f>400*1043.9</f>
        <v>417560.00000000006</v>
      </c>
      <c r="I889" s="2">
        <f>300*1043.9</f>
        <v>313170</v>
      </c>
      <c r="J889" s="2">
        <v>0</v>
      </c>
      <c r="K889" s="34">
        <v>0</v>
      </c>
      <c r="L889" s="18">
        <v>0</v>
      </c>
      <c r="M889" s="18">
        <v>0</v>
      </c>
      <c r="N889" s="18">
        <v>0</v>
      </c>
      <c r="O889" s="18">
        <v>0</v>
      </c>
      <c r="P889" s="18">
        <v>0</v>
      </c>
      <c r="Q889" s="2">
        <v>1043.9000000000001</v>
      </c>
      <c r="R889" s="2">
        <f t="shared" si="1275"/>
        <v>3340480.0000000005</v>
      </c>
      <c r="S889" s="18">
        <v>0</v>
      </c>
      <c r="T889" s="2">
        <v>100000</v>
      </c>
      <c r="U889" s="6" t="e">
        <f t="shared" si="1244"/>
        <v>#DIV/0!</v>
      </c>
      <c r="V889" s="1"/>
      <c r="W889" s="1"/>
      <c r="X889" s="1"/>
      <c r="Y889" s="3"/>
    </row>
    <row r="890" spans="1:26" ht="22.9" customHeight="1" x14ac:dyDescent="0.25">
      <c r="A890" s="39" t="s">
        <v>1886</v>
      </c>
      <c r="B890" s="9" t="s">
        <v>154</v>
      </c>
      <c r="C890" s="7">
        <f t="shared" si="1277"/>
        <v>21412500</v>
      </c>
      <c r="D890" s="2">
        <f t="shared" si="1278"/>
        <v>10312500</v>
      </c>
      <c r="E890" s="2">
        <f>700*3437.5</f>
        <v>2406250</v>
      </c>
      <c r="F890" s="2">
        <f>1300*3437.5</f>
        <v>4468750</v>
      </c>
      <c r="G890" s="2">
        <f>300*3437.5</f>
        <v>1031250</v>
      </c>
      <c r="H890" s="2">
        <f>400*3437.5</f>
        <v>1375000</v>
      </c>
      <c r="I890" s="2">
        <f>300*3437.5</f>
        <v>1031250</v>
      </c>
      <c r="J890" s="2">
        <v>0</v>
      </c>
      <c r="K890" s="34">
        <v>0</v>
      </c>
      <c r="L890" s="18">
        <v>0</v>
      </c>
      <c r="M890" s="18">
        <v>0</v>
      </c>
      <c r="N890" s="18">
        <v>0</v>
      </c>
      <c r="O890" s="18">
        <v>0</v>
      </c>
      <c r="P890" s="18">
        <v>0</v>
      </c>
      <c r="Q890" s="2">
        <v>3437.5</v>
      </c>
      <c r="R890" s="2">
        <f t="shared" si="1275"/>
        <v>11000000</v>
      </c>
      <c r="S890" s="18">
        <v>0</v>
      </c>
      <c r="T890" s="2">
        <v>100000</v>
      </c>
      <c r="U890" s="6" t="e">
        <f t="shared" si="1244"/>
        <v>#DIV/0!</v>
      </c>
      <c r="V890" s="1"/>
      <c r="W890" s="1"/>
      <c r="X890" s="1"/>
      <c r="Y890" s="3"/>
    </row>
    <row r="891" spans="1:26" ht="22.9" customHeight="1" x14ac:dyDescent="0.25">
      <c r="A891" s="39" t="s">
        <v>1887</v>
      </c>
      <c r="B891" s="9" t="s">
        <v>155</v>
      </c>
      <c r="C891" s="7">
        <f t="shared" si="1277"/>
        <v>13986760.000000002</v>
      </c>
      <c r="D891" s="2">
        <f t="shared" si="1278"/>
        <v>6719400.0000000009</v>
      </c>
      <c r="E891" s="2">
        <f>700*2239.8</f>
        <v>1567860.0000000002</v>
      </c>
      <c r="F891" s="2">
        <f>1300*2239.8</f>
        <v>2911740.0000000005</v>
      </c>
      <c r="G891" s="2">
        <f>300*2239.8</f>
        <v>671940</v>
      </c>
      <c r="H891" s="2">
        <f>400*2239.8</f>
        <v>895920.00000000012</v>
      </c>
      <c r="I891" s="2">
        <f>300*2239.8</f>
        <v>671940</v>
      </c>
      <c r="J891" s="2">
        <v>0</v>
      </c>
      <c r="K891" s="34">
        <v>0</v>
      </c>
      <c r="L891" s="18">
        <v>0</v>
      </c>
      <c r="M891" s="18">
        <v>0</v>
      </c>
      <c r="N891" s="18">
        <v>0</v>
      </c>
      <c r="O891" s="18">
        <v>0</v>
      </c>
      <c r="P891" s="18">
        <v>0</v>
      </c>
      <c r="Q891" s="2">
        <v>2239.8000000000002</v>
      </c>
      <c r="R891" s="2">
        <f t="shared" si="1275"/>
        <v>7167360.0000000009</v>
      </c>
      <c r="S891" s="18">
        <v>0</v>
      </c>
      <c r="T891" s="2">
        <v>100000</v>
      </c>
      <c r="U891" s="6" t="e">
        <f t="shared" si="1244"/>
        <v>#DIV/0!</v>
      </c>
      <c r="V891" s="1"/>
      <c r="W891" s="1"/>
      <c r="X891" s="1"/>
      <c r="Y891" s="3"/>
    </row>
    <row r="892" spans="1:26" ht="22.9" customHeight="1" x14ac:dyDescent="0.25">
      <c r="A892" s="39" t="s">
        <v>1888</v>
      </c>
      <c r="B892" s="9" t="s">
        <v>156</v>
      </c>
      <c r="C892" s="7">
        <f t="shared" si="1277"/>
        <v>2208000</v>
      </c>
      <c r="D892" s="2">
        <f t="shared" si="1278"/>
        <v>1020000</v>
      </c>
      <c r="E892" s="2">
        <f>700*340</f>
        <v>238000</v>
      </c>
      <c r="F892" s="2">
        <f>1300*340</f>
        <v>442000</v>
      </c>
      <c r="G892" s="2">
        <f>300*340</f>
        <v>102000</v>
      </c>
      <c r="H892" s="2">
        <f>400*340</f>
        <v>136000</v>
      </c>
      <c r="I892" s="2">
        <f>300*340</f>
        <v>102000</v>
      </c>
      <c r="J892" s="2">
        <v>0</v>
      </c>
      <c r="K892" s="34">
        <v>0</v>
      </c>
      <c r="L892" s="18">
        <v>0</v>
      </c>
      <c r="M892" s="18">
        <v>0</v>
      </c>
      <c r="N892" s="18">
        <v>0</v>
      </c>
      <c r="O892" s="18">
        <v>0</v>
      </c>
      <c r="P892" s="18">
        <v>0</v>
      </c>
      <c r="Q892" s="2">
        <v>340</v>
      </c>
      <c r="R892" s="2">
        <f t="shared" si="1275"/>
        <v>1088000</v>
      </c>
      <c r="S892" s="18">
        <v>0</v>
      </c>
      <c r="T892" s="2">
        <v>100000</v>
      </c>
      <c r="U892" s="6" t="e">
        <f t="shared" si="1244"/>
        <v>#DIV/0!</v>
      </c>
      <c r="V892" s="1"/>
      <c r="W892" s="1"/>
      <c r="X892" s="1"/>
      <c r="Y892" s="3"/>
    </row>
    <row r="893" spans="1:26" ht="22.9" customHeight="1" x14ac:dyDescent="0.25">
      <c r="A893" s="39" t="s">
        <v>1889</v>
      </c>
      <c r="B893" s="9" t="s">
        <v>157</v>
      </c>
      <c r="C893" s="7">
        <f t="shared" si="1277"/>
        <v>1284400</v>
      </c>
      <c r="D893" s="2">
        <f t="shared" si="1278"/>
        <v>1184400</v>
      </c>
      <c r="E893" s="2">
        <f>700*394.8</f>
        <v>276360</v>
      </c>
      <c r="F893" s="2">
        <f>1300*394.8</f>
        <v>513240</v>
      </c>
      <c r="G893" s="2">
        <f>300*394.8</f>
        <v>118440</v>
      </c>
      <c r="H893" s="2">
        <f>400*394.8</f>
        <v>157920</v>
      </c>
      <c r="I893" s="2">
        <f>300*394.8</f>
        <v>118440</v>
      </c>
      <c r="J893" s="2">
        <v>0</v>
      </c>
      <c r="K893" s="34">
        <v>0</v>
      </c>
      <c r="L893" s="18">
        <v>0</v>
      </c>
      <c r="M893" s="18">
        <v>0</v>
      </c>
      <c r="N893" s="18">
        <v>0</v>
      </c>
      <c r="O893" s="18">
        <v>0</v>
      </c>
      <c r="P893" s="18">
        <v>0</v>
      </c>
      <c r="Q893" s="18">
        <v>0</v>
      </c>
      <c r="R893" s="18">
        <v>0</v>
      </c>
      <c r="S893" s="18">
        <v>0</v>
      </c>
      <c r="T893" s="2">
        <v>100000</v>
      </c>
      <c r="U893" s="6" t="e">
        <f t="shared" si="1244"/>
        <v>#DIV/0!</v>
      </c>
      <c r="V893" s="1"/>
      <c r="W893" s="1"/>
      <c r="X893" s="1"/>
      <c r="Y893" s="3"/>
    </row>
    <row r="894" spans="1:26" ht="22.9" customHeight="1" x14ac:dyDescent="0.25">
      <c r="A894" s="39" t="s">
        <v>1890</v>
      </c>
      <c r="B894" s="9" t="s">
        <v>158</v>
      </c>
      <c r="C894" s="7">
        <f t="shared" si="1277"/>
        <v>7598280.0000000009</v>
      </c>
      <c r="D894" s="2">
        <f t="shared" si="1278"/>
        <v>3628200.0000000005</v>
      </c>
      <c r="E894" s="2">
        <f>700*1209.4</f>
        <v>846580.00000000012</v>
      </c>
      <c r="F894" s="2">
        <f>1300*1209.4</f>
        <v>1572220.0000000002</v>
      </c>
      <c r="G894" s="2">
        <f>300*1209.4</f>
        <v>362820</v>
      </c>
      <c r="H894" s="2">
        <f>400*1209.4</f>
        <v>483760.00000000006</v>
      </c>
      <c r="I894" s="2">
        <f>300*1209.4</f>
        <v>362820</v>
      </c>
      <c r="J894" s="2">
        <v>0</v>
      </c>
      <c r="K894" s="34">
        <v>0</v>
      </c>
      <c r="L894" s="18">
        <v>0</v>
      </c>
      <c r="M894" s="18">
        <v>0</v>
      </c>
      <c r="N894" s="18">
        <v>0</v>
      </c>
      <c r="O894" s="18">
        <v>0</v>
      </c>
      <c r="P894" s="18">
        <v>0</v>
      </c>
      <c r="Q894" s="2">
        <v>1209.4000000000001</v>
      </c>
      <c r="R894" s="2">
        <f t="shared" si="1275"/>
        <v>3870080.0000000005</v>
      </c>
      <c r="S894" s="18">
        <v>0</v>
      </c>
      <c r="T894" s="2">
        <v>100000</v>
      </c>
      <c r="U894" s="6" t="e">
        <f t="shared" si="1244"/>
        <v>#DIV/0!</v>
      </c>
      <c r="V894" s="1"/>
      <c r="W894" s="1"/>
      <c r="X894" s="1"/>
      <c r="Y894" s="3"/>
    </row>
    <row r="895" spans="1:26" ht="22.9" customHeight="1" x14ac:dyDescent="0.25">
      <c r="A895" s="39" t="s">
        <v>1891</v>
      </c>
      <c r="B895" s="9" t="s">
        <v>159</v>
      </c>
      <c r="C895" s="7">
        <f t="shared" si="1277"/>
        <v>7785760</v>
      </c>
      <c r="D895" s="2">
        <f t="shared" si="1278"/>
        <v>2401800</v>
      </c>
      <c r="E895" s="2">
        <f>700*800.6</f>
        <v>560420</v>
      </c>
      <c r="F895" s="2">
        <f>1300*800.6</f>
        <v>1040780</v>
      </c>
      <c r="G895" s="2">
        <f>300*800.6</f>
        <v>240180</v>
      </c>
      <c r="H895" s="2">
        <f>400*800.6</f>
        <v>320240</v>
      </c>
      <c r="I895" s="2">
        <f>300*800.6</f>
        <v>240180</v>
      </c>
      <c r="J895" s="2">
        <v>0</v>
      </c>
      <c r="K895" s="34">
        <v>0</v>
      </c>
      <c r="L895" s="18">
        <v>0</v>
      </c>
      <c r="M895" s="2">
        <v>800.6</v>
      </c>
      <c r="N895" s="2">
        <f t="shared" ref="N895:N896" si="1279">M895*6600</f>
        <v>5283960</v>
      </c>
      <c r="O895" s="18">
        <v>0</v>
      </c>
      <c r="P895" s="18">
        <v>0</v>
      </c>
      <c r="Q895" s="18">
        <v>0</v>
      </c>
      <c r="R895" s="18">
        <v>0</v>
      </c>
      <c r="S895" s="18">
        <v>0</v>
      </c>
      <c r="T895" s="2">
        <v>100000</v>
      </c>
      <c r="U895" s="6">
        <f t="shared" si="1244"/>
        <v>6600</v>
      </c>
      <c r="V895" s="1"/>
      <c r="W895" s="1"/>
      <c r="X895" s="1"/>
      <c r="Y895" s="3"/>
    </row>
    <row r="896" spans="1:26" ht="22.9" customHeight="1" x14ac:dyDescent="0.25">
      <c r="A896" s="39" t="s">
        <v>1892</v>
      </c>
      <c r="B896" s="9" t="s">
        <v>160</v>
      </c>
      <c r="C896" s="7">
        <f t="shared" si="1277"/>
        <v>18639550</v>
      </c>
      <c r="D896" s="2">
        <f t="shared" si="1278"/>
        <v>7682830</v>
      </c>
      <c r="E896" s="2">
        <f>700*2556.61</f>
        <v>1789627</v>
      </c>
      <c r="F896" s="2">
        <f>1300*2566.61</f>
        <v>3336593</v>
      </c>
      <c r="G896" s="2">
        <f>300*2556.61</f>
        <v>766983</v>
      </c>
      <c r="H896" s="2">
        <f>400*2556.61</f>
        <v>1022644</v>
      </c>
      <c r="I896" s="2">
        <f>300*2556.61</f>
        <v>766983</v>
      </c>
      <c r="J896" s="2">
        <v>0</v>
      </c>
      <c r="K896" s="34">
        <v>0</v>
      </c>
      <c r="L896" s="18">
        <v>0</v>
      </c>
      <c r="M896" s="2">
        <v>917.2</v>
      </c>
      <c r="N896" s="2">
        <f t="shared" si="1279"/>
        <v>6053520</v>
      </c>
      <c r="O896" s="18">
        <v>0</v>
      </c>
      <c r="P896" s="18">
        <v>0</v>
      </c>
      <c r="Q896" s="2">
        <v>1501</v>
      </c>
      <c r="R896" s="2">
        <f t="shared" si="1275"/>
        <v>4803200</v>
      </c>
      <c r="S896" s="18">
        <v>0</v>
      </c>
      <c r="T896" s="2">
        <v>100000</v>
      </c>
      <c r="U896" s="6">
        <f t="shared" si="1244"/>
        <v>6600</v>
      </c>
      <c r="V896" s="1"/>
      <c r="W896" s="1"/>
      <c r="X896" s="1"/>
      <c r="Y896" s="3"/>
    </row>
    <row r="897" spans="1:26" ht="22.9" customHeight="1" x14ac:dyDescent="0.25">
      <c r="A897" s="39" t="s">
        <v>1893</v>
      </c>
      <c r="B897" s="9" t="s">
        <v>161</v>
      </c>
      <c r="C897" s="7">
        <f t="shared" si="1277"/>
        <v>2754936</v>
      </c>
      <c r="D897" s="2">
        <f t="shared" si="1278"/>
        <v>1284600</v>
      </c>
      <c r="E897" s="2">
        <f>700*428.2</f>
        <v>299740</v>
      </c>
      <c r="F897" s="2">
        <f>1300*428.2</f>
        <v>556660</v>
      </c>
      <c r="G897" s="2">
        <f>300*428.2</f>
        <v>128460</v>
      </c>
      <c r="H897" s="2">
        <f>400*428.2</f>
        <v>171280</v>
      </c>
      <c r="I897" s="2">
        <f>300*428.2</f>
        <v>128460</v>
      </c>
      <c r="J897" s="2">
        <v>0</v>
      </c>
      <c r="K897" s="34">
        <v>0</v>
      </c>
      <c r="L897" s="18">
        <v>0</v>
      </c>
      <c r="M897" s="18">
        <v>0</v>
      </c>
      <c r="N897" s="18">
        <v>0</v>
      </c>
      <c r="O897" s="18">
        <v>0</v>
      </c>
      <c r="P897" s="18">
        <v>0</v>
      </c>
      <c r="Q897" s="2">
        <v>428.23</v>
      </c>
      <c r="R897" s="2">
        <f t="shared" ref="R897" si="1280">Q897*3200</f>
        <v>1370336</v>
      </c>
      <c r="S897" s="18">
        <v>0</v>
      </c>
      <c r="T897" s="2">
        <v>100000</v>
      </c>
      <c r="U897" s="6" t="e">
        <f t="shared" si="1244"/>
        <v>#DIV/0!</v>
      </c>
      <c r="V897" s="1"/>
      <c r="W897" s="1"/>
      <c r="X897" s="1"/>
      <c r="Y897" s="1"/>
      <c r="Z897" s="3"/>
    </row>
    <row r="898" spans="1:26" ht="45" customHeight="1" x14ac:dyDescent="0.25">
      <c r="A898" s="43" t="s">
        <v>162</v>
      </c>
      <c r="B898" s="43"/>
      <c r="C898" s="1">
        <f>SUM(C899:C901)</f>
        <v>9769200</v>
      </c>
      <c r="D898" s="1">
        <f t="shared" ref="D898:T898" si="1281">SUM(D899:D901)</f>
        <v>5437200</v>
      </c>
      <c r="E898" s="1">
        <f t="shared" si="1281"/>
        <v>1268680</v>
      </c>
      <c r="F898" s="1">
        <f t="shared" si="1281"/>
        <v>2356120</v>
      </c>
      <c r="G898" s="1">
        <f t="shared" si="1281"/>
        <v>543720</v>
      </c>
      <c r="H898" s="1">
        <f t="shared" si="1281"/>
        <v>724960</v>
      </c>
      <c r="I898" s="1">
        <f t="shared" si="1281"/>
        <v>543720</v>
      </c>
      <c r="J898" s="1">
        <f t="shared" si="1281"/>
        <v>0</v>
      </c>
      <c r="K898" s="33">
        <f t="shared" si="1281"/>
        <v>0</v>
      </c>
      <c r="L898" s="1">
        <f t="shared" si="1281"/>
        <v>0</v>
      </c>
      <c r="M898" s="1">
        <f t="shared" si="1281"/>
        <v>390</v>
      </c>
      <c r="N898" s="1">
        <f t="shared" si="1281"/>
        <v>2574000</v>
      </c>
      <c r="O898" s="1">
        <f t="shared" si="1281"/>
        <v>50</v>
      </c>
      <c r="P898" s="1">
        <f t="shared" si="1281"/>
        <v>60000</v>
      </c>
      <c r="Q898" s="1">
        <f t="shared" si="1281"/>
        <v>390</v>
      </c>
      <c r="R898" s="1">
        <f t="shared" si="1281"/>
        <v>1248000</v>
      </c>
      <c r="S898" s="1">
        <f t="shared" si="1281"/>
        <v>150000</v>
      </c>
      <c r="T898" s="1">
        <f t="shared" si="1281"/>
        <v>300000</v>
      </c>
      <c r="U898" s="3" t="e">
        <f>C898+#REF!+#REF!</f>
        <v>#REF!</v>
      </c>
    </row>
    <row r="899" spans="1:26" ht="22.9" customHeight="1" x14ac:dyDescent="0.25">
      <c r="A899" s="39" t="s">
        <v>1894</v>
      </c>
      <c r="B899" s="9" t="s">
        <v>169</v>
      </c>
      <c r="C899" s="7">
        <f t="shared" ref="C899:C901" si="1282">D899+L899+N899+P899+R899+S899+T899</f>
        <v>2236000</v>
      </c>
      <c r="D899" s="2">
        <f t="shared" ref="D899:D901" si="1283">SUM(E899:J899)</f>
        <v>2136000</v>
      </c>
      <c r="E899" s="2">
        <f>700*712</f>
        <v>498400</v>
      </c>
      <c r="F899" s="2">
        <f>1300*712</f>
        <v>925600</v>
      </c>
      <c r="G899" s="2">
        <f>300*712</f>
        <v>213600</v>
      </c>
      <c r="H899" s="2">
        <f>400*712</f>
        <v>284800</v>
      </c>
      <c r="I899" s="2">
        <f>300*712</f>
        <v>213600</v>
      </c>
      <c r="J899" s="2">
        <v>0</v>
      </c>
      <c r="K899" s="34">
        <v>0</v>
      </c>
      <c r="L899" s="18">
        <v>0</v>
      </c>
      <c r="M899" s="18">
        <v>0</v>
      </c>
      <c r="N899" s="18">
        <v>0</v>
      </c>
      <c r="O899" s="18">
        <v>0</v>
      </c>
      <c r="P899" s="18">
        <v>0</v>
      </c>
      <c r="Q899" s="18">
        <v>0</v>
      </c>
      <c r="R899" s="18">
        <v>0</v>
      </c>
      <c r="S899" s="18">
        <v>0</v>
      </c>
      <c r="T899" s="2">
        <v>100000</v>
      </c>
      <c r="U899" s="6" t="e">
        <f t="shared" si="1244"/>
        <v>#DIV/0!</v>
      </c>
      <c r="V899" s="1"/>
      <c r="W899" s="1"/>
      <c r="X899" s="1"/>
      <c r="Y899" s="1"/>
      <c r="Z899" s="3"/>
    </row>
    <row r="900" spans="1:26" ht="22.9" customHeight="1" x14ac:dyDescent="0.25">
      <c r="A900" s="39" t="s">
        <v>1895</v>
      </c>
      <c r="B900" s="9" t="s">
        <v>170</v>
      </c>
      <c r="C900" s="7">
        <f t="shared" si="1282"/>
        <v>2231200</v>
      </c>
      <c r="D900" s="2">
        <f t="shared" si="1283"/>
        <v>2131200</v>
      </c>
      <c r="E900" s="2">
        <f>700*710.4</f>
        <v>497280</v>
      </c>
      <c r="F900" s="2">
        <f>1300*710.4</f>
        <v>923520</v>
      </c>
      <c r="G900" s="2">
        <f>300*710.4</f>
        <v>213120</v>
      </c>
      <c r="H900" s="2">
        <f>400*710.4</f>
        <v>284160</v>
      </c>
      <c r="I900" s="2">
        <f>300*710.4</f>
        <v>213120</v>
      </c>
      <c r="J900" s="2">
        <v>0</v>
      </c>
      <c r="K900" s="34">
        <v>0</v>
      </c>
      <c r="L900" s="18">
        <v>0</v>
      </c>
      <c r="M900" s="18">
        <v>0</v>
      </c>
      <c r="N900" s="18">
        <v>0</v>
      </c>
      <c r="O900" s="18">
        <v>0</v>
      </c>
      <c r="P900" s="18">
        <v>0</v>
      </c>
      <c r="Q900" s="18">
        <v>0</v>
      </c>
      <c r="R900" s="18">
        <v>0</v>
      </c>
      <c r="S900" s="18">
        <v>0</v>
      </c>
      <c r="T900" s="2">
        <v>100000</v>
      </c>
      <c r="U900" s="6" t="e">
        <f t="shared" si="1244"/>
        <v>#DIV/0!</v>
      </c>
    </row>
    <row r="901" spans="1:26" ht="22.9" customHeight="1" x14ac:dyDescent="0.25">
      <c r="A901" s="39" t="s">
        <v>1896</v>
      </c>
      <c r="B901" s="9" t="s">
        <v>171</v>
      </c>
      <c r="C901" s="7">
        <f t="shared" si="1282"/>
        <v>5302000</v>
      </c>
      <c r="D901" s="2">
        <f t="shared" si="1283"/>
        <v>1170000</v>
      </c>
      <c r="E901" s="2">
        <f>700*390</f>
        <v>273000</v>
      </c>
      <c r="F901" s="2">
        <f>1300*390</f>
        <v>507000</v>
      </c>
      <c r="G901" s="2">
        <f>300*390</f>
        <v>117000</v>
      </c>
      <c r="H901" s="2">
        <f>400*390</f>
        <v>156000</v>
      </c>
      <c r="I901" s="2">
        <f>300*390</f>
        <v>117000</v>
      </c>
      <c r="J901" s="2">
        <v>0</v>
      </c>
      <c r="K901" s="34">
        <v>0</v>
      </c>
      <c r="L901" s="18">
        <v>0</v>
      </c>
      <c r="M901" s="2">
        <v>390</v>
      </c>
      <c r="N901" s="2">
        <f t="shared" ref="N901:N904" si="1284">M901*6600</f>
        <v>2574000</v>
      </c>
      <c r="O901" s="2">
        <v>50</v>
      </c>
      <c r="P901" s="2">
        <f>O901*1200</f>
        <v>60000</v>
      </c>
      <c r="Q901" s="2">
        <v>390</v>
      </c>
      <c r="R901" s="2">
        <f t="shared" ref="R901:R914" si="1285">Q901*3200</f>
        <v>1248000</v>
      </c>
      <c r="S901" s="2">
        <v>150000</v>
      </c>
      <c r="T901" s="2">
        <v>100000</v>
      </c>
      <c r="U901" s="6">
        <f t="shared" si="1244"/>
        <v>6600</v>
      </c>
    </row>
    <row r="902" spans="1:26" ht="45" customHeight="1" x14ac:dyDescent="0.25">
      <c r="A902" s="43" t="s">
        <v>172</v>
      </c>
      <c r="B902" s="43"/>
      <c r="C902" s="1">
        <f>SUM(C903:C904)</f>
        <v>12380340</v>
      </c>
      <c r="D902" s="1">
        <f t="shared" ref="D902:T902" si="1286">SUM(D903:D904)</f>
        <v>0</v>
      </c>
      <c r="E902" s="1">
        <f t="shared" si="1286"/>
        <v>0</v>
      </c>
      <c r="F902" s="1">
        <f t="shared" si="1286"/>
        <v>0</v>
      </c>
      <c r="G902" s="1">
        <f t="shared" si="1286"/>
        <v>0</v>
      </c>
      <c r="H902" s="1">
        <f t="shared" si="1286"/>
        <v>0</v>
      </c>
      <c r="I902" s="1">
        <f t="shared" si="1286"/>
        <v>0</v>
      </c>
      <c r="J902" s="1">
        <f t="shared" si="1286"/>
        <v>0</v>
      </c>
      <c r="K902" s="33">
        <f t="shared" si="1286"/>
        <v>0</v>
      </c>
      <c r="L902" s="1">
        <f t="shared" si="1286"/>
        <v>0</v>
      </c>
      <c r="M902" s="1">
        <f t="shared" si="1286"/>
        <v>1263.3</v>
      </c>
      <c r="N902" s="1">
        <f t="shared" si="1286"/>
        <v>8337780</v>
      </c>
      <c r="O902" s="1">
        <f t="shared" si="1286"/>
        <v>0</v>
      </c>
      <c r="P902" s="1">
        <f t="shared" si="1286"/>
        <v>0</v>
      </c>
      <c r="Q902" s="1">
        <f t="shared" si="1286"/>
        <v>1263.3</v>
      </c>
      <c r="R902" s="1">
        <f t="shared" si="1286"/>
        <v>4042560</v>
      </c>
      <c r="S902" s="1">
        <f t="shared" si="1286"/>
        <v>0</v>
      </c>
      <c r="T902" s="1">
        <f t="shared" si="1286"/>
        <v>0</v>
      </c>
      <c r="U902" s="3" t="e">
        <f>C902+#REF!+#REF!</f>
        <v>#REF!</v>
      </c>
    </row>
    <row r="903" spans="1:26" ht="22.9" customHeight="1" x14ac:dyDescent="0.25">
      <c r="A903" s="39" t="s">
        <v>1897</v>
      </c>
      <c r="B903" s="9" t="s">
        <v>179</v>
      </c>
      <c r="C903" s="7">
        <f t="shared" ref="C903:C904" si="1287">D903+L903+N903+P903+R903+S903+T903</f>
        <v>6010339.9999999991</v>
      </c>
      <c r="D903" s="2">
        <f t="shared" ref="D903:D904" si="1288">SUM(E903:J903)</f>
        <v>0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  <c r="J903" s="2">
        <v>0</v>
      </c>
      <c r="K903" s="21">
        <v>0</v>
      </c>
      <c r="L903" s="2">
        <v>0</v>
      </c>
      <c r="M903" s="2">
        <v>613.29999999999995</v>
      </c>
      <c r="N903" s="2">
        <f t="shared" si="1284"/>
        <v>4047779.9999999995</v>
      </c>
      <c r="O903" s="2">
        <v>0</v>
      </c>
      <c r="P903" s="2">
        <v>0</v>
      </c>
      <c r="Q903" s="2">
        <v>613.29999999999995</v>
      </c>
      <c r="R903" s="2">
        <f t="shared" si="1285"/>
        <v>1962559.9999999998</v>
      </c>
      <c r="S903" s="2">
        <v>0</v>
      </c>
      <c r="T903" s="2">
        <v>0</v>
      </c>
      <c r="U903" s="6">
        <f t="shared" si="1244"/>
        <v>6600</v>
      </c>
      <c r="V903" s="1"/>
      <c r="W903" s="1"/>
      <c r="X903" s="1"/>
      <c r="Y903" s="1"/>
      <c r="Z903" s="3"/>
    </row>
    <row r="904" spans="1:26" ht="22.9" customHeight="1" x14ac:dyDescent="0.25">
      <c r="A904" s="39" t="s">
        <v>1898</v>
      </c>
      <c r="B904" s="9" t="s">
        <v>180</v>
      </c>
      <c r="C904" s="7">
        <f t="shared" si="1287"/>
        <v>6370000</v>
      </c>
      <c r="D904" s="2">
        <f t="shared" si="1288"/>
        <v>0</v>
      </c>
      <c r="E904" s="2">
        <v>0</v>
      </c>
      <c r="F904" s="2">
        <v>0</v>
      </c>
      <c r="G904" s="2">
        <v>0</v>
      </c>
      <c r="H904" s="2">
        <v>0</v>
      </c>
      <c r="I904" s="2">
        <v>0</v>
      </c>
      <c r="J904" s="2">
        <v>0</v>
      </c>
      <c r="K904" s="21">
        <v>0</v>
      </c>
      <c r="L904" s="2">
        <v>0</v>
      </c>
      <c r="M904" s="2">
        <v>650</v>
      </c>
      <c r="N904" s="2">
        <f t="shared" si="1284"/>
        <v>4290000</v>
      </c>
      <c r="O904" s="2">
        <v>0</v>
      </c>
      <c r="P904" s="2">
        <v>0</v>
      </c>
      <c r="Q904" s="2">
        <v>650</v>
      </c>
      <c r="R904" s="2">
        <f t="shared" si="1285"/>
        <v>2080000</v>
      </c>
      <c r="S904" s="2">
        <v>0</v>
      </c>
      <c r="T904" s="2">
        <v>0</v>
      </c>
      <c r="U904" s="6">
        <f t="shared" si="1244"/>
        <v>6600</v>
      </c>
      <c r="V904" s="1"/>
      <c r="W904" s="1"/>
      <c r="X904" s="1"/>
      <c r="Y904" s="1"/>
      <c r="Z904" s="3"/>
    </row>
    <row r="905" spans="1:26" ht="45" customHeight="1" x14ac:dyDescent="0.25">
      <c r="A905" s="43" t="s">
        <v>181</v>
      </c>
      <c r="B905" s="43"/>
      <c r="C905" s="1">
        <f>SUM(C906:C907)</f>
        <v>5714800</v>
      </c>
      <c r="D905" s="1">
        <f t="shared" ref="D905:T905" si="1289">SUM(D906:D907)</f>
        <v>2470800</v>
      </c>
      <c r="E905" s="1">
        <f t="shared" si="1289"/>
        <v>576520</v>
      </c>
      <c r="F905" s="1">
        <f t="shared" si="1289"/>
        <v>1070680</v>
      </c>
      <c r="G905" s="1">
        <f t="shared" si="1289"/>
        <v>247080</v>
      </c>
      <c r="H905" s="1">
        <f t="shared" si="1289"/>
        <v>329440</v>
      </c>
      <c r="I905" s="1">
        <f t="shared" si="1289"/>
        <v>247080</v>
      </c>
      <c r="J905" s="1">
        <f t="shared" si="1289"/>
        <v>0</v>
      </c>
      <c r="K905" s="33">
        <f t="shared" si="1289"/>
        <v>0</v>
      </c>
      <c r="L905" s="1">
        <f t="shared" si="1289"/>
        <v>0</v>
      </c>
      <c r="M905" s="1">
        <f t="shared" si="1289"/>
        <v>0</v>
      </c>
      <c r="N905" s="1">
        <f t="shared" si="1289"/>
        <v>0</v>
      </c>
      <c r="O905" s="1">
        <f t="shared" si="1289"/>
        <v>100</v>
      </c>
      <c r="P905" s="1">
        <f t="shared" si="1289"/>
        <v>120000</v>
      </c>
      <c r="Q905" s="1">
        <f t="shared" si="1289"/>
        <v>820</v>
      </c>
      <c r="R905" s="1">
        <f t="shared" si="1289"/>
        <v>2624000</v>
      </c>
      <c r="S905" s="1">
        <f t="shared" si="1289"/>
        <v>300000</v>
      </c>
      <c r="T905" s="1">
        <f t="shared" si="1289"/>
        <v>200000</v>
      </c>
      <c r="U905" s="3" t="e">
        <f>C905+#REF!+#REF!</f>
        <v>#REF!</v>
      </c>
    </row>
    <row r="906" spans="1:26" ht="22.9" customHeight="1" x14ac:dyDescent="0.25">
      <c r="A906" s="39" t="s">
        <v>1899</v>
      </c>
      <c r="B906" s="9" t="s">
        <v>185</v>
      </c>
      <c r="C906" s="7">
        <f t="shared" ref="C906:C907" si="1290">D906+L906+N906+P906+R906+S906+T906</f>
        <v>2854400</v>
      </c>
      <c r="D906" s="2">
        <f t="shared" ref="D906:D907" si="1291">SUM(E906:J906)</f>
        <v>1232400</v>
      </c>
      <c r="E906" s="2">
        <f>700*410.8</f>
        <v>287560</v>
      </c>
      <c r="F906" s="2">
        <f>1300*410.8</f>
        <v>534040</v>
      </c>
      <c r="G906" s="2">
        <f>300*410.8</f>
        <v>123240</v>
      </c>
      <c r="H906" s="2">
        <f>400*410.8</f>
        <v>164320</v>
      </c>
      <c r="I906" s="2">
        <f>300*410.8</f>
        <v>123240</v>
      </c>
      <c r="J906" s="2">
        <v>0</v>
      </c>
      <c r="K906" s="21">
        <v>0</v>
      </c>
      <c r="L906" s="2">
        <v>0</v>
      </c>
      <c r="M906" s="2">
        <v>0</v>
      </c>
      <c r="N906" s="2">
        <v>0</v>
      </c>
      <c r="O906" s="2">
        <v>50</v>
      </c>
      <c r="P906" s="2">
        <f t="shared" ref="P906:P907" si="1292">O906*1200</f>
        <v>60000</v>
      </c>
      <c r="Q906" s="2">
        <v>410</v>
      </c>
      <c r="R906" s="2">
        <f t="shared" si="1285"/>
        <v>1312000</v>
      </c>
      <c r="S906" s="2">
        <v>150000</v>
      </c>
      <c r="T906" s="2">
        <v>100000</v>
      </c>
      <c r="U906" s="6" t="e">
        <f t="shared" si="1244"/>
        <v>#DIV/0!</v>
      </c>
      <c r="V906" s="1"/>
      <c r="W906" s="1"/>
      <c r="X906" s="1"/>
      <c r="Y906" s="3"/>
    </row>
    <row r="907" spans="1:26" ht="22.9" customHeight="1" x14ac:dyDescent="0.25">
      <c r="A907" s="39" t="s">
        <v>1900</v>
      </c>
      <c r="B907" s="9" t="s">
        <v>186</v>
      </c>
      <c r="C907" s="7">
        <f t="shared" si="1290"/>
        <v>2860400</v>
      </c>
      <c r="D907" s="2">
        <f t="shared" si="1291"/>
        <v>1238400</v>
      </c>
      <c r="E907" s="2">
        <f>700*412.8</f>
        <v>288960</v>
      </c>
      <c r="F907" s="2">
        <f>1300*412.8</f>
        <v>536640</v>
      </c>
      <c r="G907" s="2">
        <f>300*412.8</f>
        <v>123840</v>
      </c>
      <c r="H907" s="2">
        <f>400*412.8</f>
        <v>165120</v>
      </c>
      <c r="I907" s="2">
        <f>300*412.8</f>
        <v>123840</v>
      </c>
      <c r="J907" s="2">
        <v>0</v>
      </c>
      <c r="K907" s="21">
        <v>0</v>
      </c>
      <c r="L907" s="2">
        <v>0</v>
      </c>
      <c r="M907" s="2">
        <v>0</v>
      </c>
      <c r="N907" s="2">
        <v>0</v>
      </c>
      <c r="O907" s="2">
        <v>50</v>
      </c>
      <c r="P907" s="2">
        <f t="shared" si="1292"/>
        <v>60000</v>
      </c>
      <c r="Q907" s="2">
        <v>410</v>
      </c>
      <c r="R907" s="2">
        <f t="shared" si="1285"/>
        <v>1312000</v>
      </c>
      <c r="S907" s="2">
        <v>150000</v>
      </c>
      <c r="T907" s="2">
        <v>100000</v>
      </c>
      <c r="U907" s="6" t="e">
        <f t="shared" si="1244"/>
        <v>#DIV/0!</v>
      </c>
      <c r="V907" s="1"/>
      <c r="W907" s="1"/>
      <c r="X907" s="1"/>
      <c r="Y907" s="3"/>
    </row>
    <row r="908" spans="1:26" ht="45" customHeight="1" x14ac:dyDescent="0.25">
      <c r="A908" s="43" t="s">
        <v>187</v>
      </c>
      <c r="B908" s="43"/>
      <c r="C908" s="1">
        <f>SUM(C909)</f>
        <v>2339424</v>
      </c>
      <c r="D908" s="1">
        <f t="shared" ref="D908:T908" si="1293">SUM(D909)</f>
        <v>1194000</v>
      </c>
      <c r="E908" s="1">
        <f t="shared" si="1293"/>
        <v>278600</v>
      </c>
      <c r="F908" s="1">
        <f t="shared" si="1293"/>
        <v>517400</v>
      </c>
      <c r="G908" s="1">
        <f t="shared" si="1293"/>
        <v>119400</v>
      </c>
      <c r="H908" s="1">
        <f t="shared" si="1293"/>
        <v>159200</v>
      </c>
      <c r="I908" s="1">
        <f t="shared" si="1293"/>
        <v>119400</v>
      </c>
      <c r="J908" s="1">
        <f t="shared" si="1293"/>
        <v>0</v>
      </c>
      <c r="K908" s="33">
        <f t="shared" si="1293"/>
        <v>0</v>
      </c>
      <c r="L908" s="1">
        <f t="shared" si="1293"/>
        <v>0</v>
      </c>
      <c r="M908" s="1">
        <f t="shared" si="1293"/>
        <v>0</v>
      </c>
      <c r="N908" s="1">
        <f t="shared" si="1293"/>
        <v>0</v>
      </c>
      <c r="O908" s="1">
        <f t="shared" si="1293"/>
        <v>0</v>
      </c>
      <c r="P908" s="1">
        <f t="shared" si="1293"/>
        <v>0</v>
      </c>
      <c r="Q908" s="1">
        <f t="shared" si="1293"/>
        <v>279.82</v>
      </c>
      <c r="R908" s="1">
        <f t="shared" si="1293"/>
        <v>895424</v>
      </c>
      <c r="S908" s="1">
        <f t="shared" si="1293"/>
        <v>150000</v>
      </c>
      <c r="T908" s="1">
        <f t="shared" si="1293"/>
        <v>100000</v>
      </c>
      <c r="U908" s="3" t="e">
        <f>C908+#REF!+#REF!</f>
        <v>#REF!</v>
      </c>
    </row>
    <row r="909" spans="1:26" ht="22.9" customHeight="1" x14ac:dyDescent="0.25">
      <c r="A909" s="39" t="s">
        <v>1901</v>
      </c>
      <c r="B909" s="9" t="s">
        <v>189</v>
      </c>
      <c r="C909" s="7">
        <f t="shared" ref="C909" si="1294">D909+L909+N909+P909+R909+S909+T909</f>
        <v>2339424</v>
      </c>
      <c r="D909" s="2">
        <f t="shared" ref="D909" si="1295">SUM(E909:J909)</f>
        <v>1194000</v>
      </c>
      <c r="E909" s="2">
        <f>700*398</f>
        <v>278600</v>
      </c>
      <c r="F909" s="2">
        <f>1300*398</f>
        <v>517400</v>
      </c>
      <c r="G909" s="2">
        <f>300*398</f>
        <v>119400</v>
      </c>
      <c r="H909" s="2">
        <f>400*398</f>
        <v>159200</v>
      </c>
      <c r="I909" s="2">
        <f>300*398</f>
        <v>119400</v>
      </c>
      <c r="J909" s="2">
        <v>0</v>
      </c>
      <c r="K909" s="21">
        <v>0</v>
      </c>
      <c r="L909" s="2">
        <v>0</v>
      </c>
      <c r="M909" s="2">
        <v>0</v>
      </c>
      <c r="N909" s="2">
        <v>0</v>
      </c>
      <c r="O909" s="2">
        <v>0</v>
      </c>
      <c r="P909" s="2">
        <v>0</v>
      </c>
      <c r="Q909" s="19">
        <v>279.82</v>
      </c>
      <c r="R909" s="2">
        <f t="shared" si="1285"/>
        <v>895424</v>
      </c>
      <c r="S909" s="2">
        <v>150000</v>
      </c>
      <c r="T909" s="2">
        <v>100000</v>
      </c>
      <c r="U909" s="6" t="e">
        <f t="shared" si="1244"/>
        <v>#DIV/0!</v>
      </c>
      <c r="V909" s="1"/>
      <c r="W909" s="1"/>
      <c r="X909" s="1"/>
      <c r="Y909" s="3"/>
    </row>
    <row r="910" spans="1:26" ht="45" customHeight="1" x14ac:dyDescent="0.25">
      <c r="A910" s="43" t="s">
        <v>190</v>
      </c>
      <c r="B910" s="43"/>
      <c r="C910" s="1">
        <f>SUM(C911:C915)</f>
        <v>18818470</v>
      </c>
      <c r="D910" s="1">
        <f t="shared" ref="D910:T910" si="1296">SUM(D911:D915)</f>
        <v>2573870</v>
      </c>
      <c r="E910" s="1">
        <f t="shared" si="1296"/>
        <v>1385930</v>
      </c>
      <c r="F910" s="1">
        <f t="shared" si="1296"/>
        <v>0</v>
      </c>
      <c r="G910" s="1">
        <f t="shared" si="1296"/>
        <v>593970</v>
      </c>
      <c r="H910" s="1">
        <f t="shared" si="1296"/>
        <v>0</v>
      </c>
      <c r="I910" s="1">
        <f t="shared" si="1296"/>
        <v>593970</v>
      </c>
      <c r="J910" s="1">
        <f t="shared" si="1296"/>
        <v>0</v>
      </c>
      <c r="K910" s="33">
        <f t="shared" si="1296"/>
        <v>0</v>
      </c>
      <c r="L910" s="1">
        <f t="shared" si="1296"/>
        <v>0</v>
      </c>
      <c r="M910" s="1">
        <f t="shared" si="1296"/>
        <v>1590</v>
      </c>
      <c r="N910" s="1">
        <f t="shared" si="1296"/>
        <v>9075000</v>
      </c>
      <c r="O910" s="1">
        <f t="shared" si="1296"/>
        <v>0</v>
      </c>
      <c r="P910" s="1">
        <f t="shared" si="1296"/>
        <v>0</v>
      </c>
      <c r="Q910" s="1">
        <f t="shared" si="1296"/>
        <v>2178</v>
      </c>
      <c r="R910" s="1">
        <f t="shared" si="1296"/>
        <v>6969600</v>
      </c>
      <c r="S910" s="1">
        <f t="shared" si="1296"/>
        <v>0</v>
      </c>
      <c r="T910" s="1">
        <f t="shared" si="1296"/>
        <v>200000</v>
      </c>
      <c r="U910" s="3" t="e">
        <f>C910+#REF!+#REF!</f>
        <v>#REF!</v>
      </c>
    </row>
    <row r="911" spans="1:26" ht="22.9" customHeight="1" x14ac:dyDescent="0.25">
      <c r="A911" s="39" t="s">
        <v>1902</v>
      </c>
      <c r="B911" s="3" t="s">
        <v>203</v>
      </c>
      <c r="C911" s="7">
        <f t="shared" ref="C911:C915" si="1297">D911+L911+N911+P911+R911+S911+T911</f>
        <v>9210000</v>
      </c>
      <c r="D911" s="2">
        <f t="shared" ref="D911:D915" si="1298">SUM(E911:J911)</f>
        <v>0</v>
      </c>
      <c r="E911" s="2">
        <v>0</v>
      </c>
      <c r="F911" s="2">
        <v>0</v>
      </c>
      <c r="G911" s="2">
        <v>0</v>
      </c>
      <c r="H911" s="2">
        <v>0</v>
      </c>
      <c r="I911" s="2">
        <v>0</v>
      </c>
      <c r="J911" s="2">
        <v>0</v>
      </c>
      <c r="K911" s="21">
        <v>0</v>
      </c>
      <c r="L911" s="2">
        <v>0</v>
      </c>
      <c r="M911" s="2">
        <v>930</v>
      </c>
      <c r="N911" s="2">
        <f t="shared" ref="N911" si="1299">M911*6600</f>
        <v>6138000</v>
      </c>
      <c r="O911" s="2">
        <v>0</v>
      </c>
      <c r="P911" s="2">
        <v>0</v>
      </c>
      <c r="Q911" s="2">
        <v>960</v>
      </c>
      <c r="R911" s="2">
        <f t="shared" si="1285"/>
        <v>3072000</v>
      </c>
      <c r="S911" s="2">
        <v>0</v>
      </c>
      <c r="T911" s="2">
        <v>0</v>
      </c>
      <c r="U911" s="6">
        <f t="shared" si="1244"/>
        <v>6600</v>
      </c>
      <c r="V911" s="1"/>
      <c r="W911" s="1"/>
      <c r="X911" s="1"/>
      <c r="Y911" s="1"/>
      <c r="Z911" s="3"/>
    </row>
    <row r="912" spans="1:26" ht="22.9" customHeight="1" x14ac:dyDescent="0.25">
      <c r="A912" s="39" t="s">
        <v>1903</v>
      </c>
      <c r="B912" s="3" t="s">
        <v>201</v>
      </c>
      <c r="C912" s="7">
        <f t="shared" si="1297"/>
        <v>3962720</v>
      </c>
      <c r="D912" s="2">
        <f t="shared" si="1298"/>
        <v>1277120</v>
      </c>
      <c r="E912" s="2">
        <f>700*982.4</f>
        <v>687680</v>
      </c>
      <c r="F912" s="2">
        <v>0</v>
      </c>
      <c r="G912" s="2">
        <f>300*982.4</f>
        <v>294720</v>
      </c>
      <c r="H912" s="2">
        <v>0</v>
      </c>
      <c r="I912" s="2">
        <f>300*982.4</f>
        <v>294720</v>
      </c>
      <c r="J912" s="2">
        <v>0</v>
      </c>
      <c r="K912" s="21">
        <v>0</v>
      </c>
      <c r="L912" s="2">
        <v>0</v>
      </c>
      <c r="M912" s="2">
        <v>0</v>
      </c>
      <c r="N912" s="2">
        <v>0</v>
      </c>
      <c r="O912" s="2">
        <v>0</v>
      </c>
      <c r="P912" s="2">
        <v>0</v>
      </c>
      <c r="Q912" s="2">
        <v>808</v>
      </c>
      <c r="R912" s="2">
        <f t="shared" si="1285"/>
        <v>2585600</v>
      </c>
      <c r="S912" s="2">
        <v>0</v>
      </c>
      <c r="T912" s="2">
        <v>100000</v>
      </c>
      <c r="U912" s="6" t="e">
        <f t="shared" si="1244"/>
        <v>#DIV/0!</v>
      </c>
      <c r="V912" s="1"/>
      <c r="W912" s="1"/>
      <c r="X912" s="1"/>
      <c r="Y912" s="1"/>
      <c r="Z912" s="3"/>
    </row>
    <row r="913" spans="1:26" ht="22.9" customHeight="1" x14ac:dyDescent="0.25">
      <c r="A913" s="39" t="s">
        <v>1904</v>
      </c>
      <c r="B913" s="3" t="s">
        <v>202</v>
      </c>
      <c r="C913" s="7">
        <f t="shared" si="1297"/>
        <v>1396750</v>
      </c>
      <c r="D913" s="2">
        <f t="shared" si="1298"/>
        <v>1296750</v>
      </c>
      <c r="E913" s="2">
        <f>700*997.5</f>
        <v>698250</v>
      </c>
      <c r="F913" s="2">
        <v>0</v>
      </c>
      <c r="G913" s="2">
        <f>300*997.5</f>
        <v>299250</v>
      </c>
      <c r="H913" s="2">
        <v>0</v>
      </c>
      <c r="I913" s="2">
        <f>300*997.5</f>
        <v>299250</v>
      </c>
      <c r="J913" s="2">
        <v>0</v>
      </c>
      <c r="K913" s="21">
        <v>0</v>
      </c>
      <c r="L913" s="2">
        <v>0</v>
      </c>
      <c r="M913" s="2">
        <v>0</v>
      </c>
      <c r="N913" s="2">
        <v>0</v>
      </c>
      <c r="O913" s="2">
        <v>0</v>
      </c>
      <c r="P913" s="2">
        <v>0</v>
      </c>
      <c r="Q913" s="2">
        <v>0</v>
      </c>
      <c r="R913" s="2">
        <v>0</v>
      </c>
      <c r="S913" s="2">
        <v>0</v>
      </c>
      <c r="T913" s="2">
        <v>100000</v>
      </c>
      <c r="U913" s="6" t="e">
        <f t="shared" si="1244"/>
        <v>#DIV/0!</v>
      </c>
      <c r="V913" s="1"/>
      <c r="W913" s="1"/>
      <c r="X913" s="1"/>
      <c r="Y913" s="1"/>
      <c r="Z913" s="3"/>
    </row>
    <row r="914" spans="1:26" ht="22.9" customHeight="1" x14ac:dyDescent="0.25">
      <c r="A914" s="39" t="s">
        <v>1905</v>
      </c>
      <c r="B914" s="3" t="s">
        <v>204</v>
      </c>
      <c r="C914" s="7">
        <f t="shared" si="1297"/>
        <v>2825000</v>
      </c>
      <c r="D914" s="2">
        <f t="shared" si="1298"/>
        <v>0</v>
      </c>
      <c r="E914" s="2">
        <v>0</v>
      </c>
      <c r="F914" s="2">
        <v>0</v>
      </c>
      <c r="G914" s="2">
        <v>0</v>
      </c>
      <c r="H914" s="2">
        <v>0</v>
      </c>
      <c r="I914" s="2">
        <v>0</v>
      </c>
      <c r="J914" s="2">
        <v>0</v>
      </c>
      <c r="K914" s="21">
        <v>0</v>
      </c>
      <c r="L914" s="2">
        <v>0</v>
      </c>
      <c r="M914" s="2">
        <v>340</v>
      </c>
      <c r="N914" s="2">
        <f>M914*4450</f>
        <v>1513000</v>
      </c>
      <c r="O914" s="2">
        <v>0</v>
      </c>
      <c r="P914" s="2">
        <v>0</v>
      </c>
      <c r="Q914" s="2">
        <v>410</v>
      </c>
      <c r="R914" s="2">
        <f t="shared" si="1285"/>
        <v>1312000</v>
      </c>
      <c r="S914" s="2">
        <v>0</v>
      </c>
      <c r="T914" s="2">
        <v>0</v>
      </c>
      <c r="U914" s="6">
        <f t="shared" si="1244"/>
        <v>4450</v>
      </c>
      <c r="V914" s="1"/>
      <c r="W914" s="1"/>
      <c r="X914" s="1"/>
      <c r="Y914" s="1"/>
      <c r="Z914" s="3"/>
    </row>
    <row r="915" spans="1:26" ht="22.9" customHeight="1" x14ac:dyDescent="0.25">
      <c r="A915" s="39" t="s">
        <v>1906</v>
      </c>
      <c r="B915" s="3" t="s">
        <v>205</v>
      </c>
      <c r="C915" s="7">
        <f t="shared" si="1297"/>
        <v>1424000</v>
      </c>
      <c r="D915" s="2">
        <f t="shared" si="1298"/>
        <v>0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  <c r="J915" s="2">
        <v>0</v>
      </c>
      <c r="K915" s="21">
        <v>0</v>
      </c>
      <c r="L915" s="2">
        <v>0</v>
      </c>
      <c r="M915" s="2">
        <v>320</v>
      </c>
      <c r="N915" s="2">
        <f>M915*4450</f>
        <v>1424000</v>
      </c>
      <c r="O915" s="2">
        <v>0</v>
      </c>
      <c r="P915" s="2">
        <v>0</v>
      </c>
      <c r="Q915" s="2">
        <v>0</v>
      </c>
      <c r="R915" s="2">
        <v>0</v>
      </c>
      <c r="S915" s="2">
        <v>0</v>
      </c>
      <c r="T915" s="2">
        <v>0</v>
      </c>
      <c r="U915" s="6">
        <f t="shared" ref="U915" si="1300">N915/M915</f>
        <v>4450</v>
      </c>
      <c r="V915" s="1"/>
      <c r="W915" s="1"/>
      <c r="X915" s="1"/>
      <c r="Y915" s="1"/>
      <c r="Z915" s="3"/>
    </row>
    <row r="916" spans="1:26" ht="45" customHeight="1" x14ac:dyDescent="0.25">
      <c r="A916" s="43" t="s">
        <v>210</v>
      </c>
      <c r="B916" s="43"/>
      <c r="C916" s="1">
        <f>SUM(C917)</f>
        <v>5683540</v>
      </c>
      <c r="D916" s="1">
        <f t="shared" ref="D916:T916" si="1301">SUM(D917)</f>
        <v>0</v>
      </c>
      <c r="E916" s="1">
        <f t="shared" si="1301"/>
        <v>0</v>
      </c>
      <c r="F916" s="1">
        <f t="shared" si="1301"/>
        <v>0</v>
      </c>
      <c r="G916" s="1">
        <f t="shared" si="1301"/>
        <v>0</v>
      </c>
      <c r="H916" s="1">
        <f t="shared" si="1301"/>
        <v>0</v>
      </c>
      <c r="I916" s="1">
        <f t="shared" si="1301"/>
        <v>0</v>
      </c>
      <c r="J916" s="1">
        <f t="shared" si="1301"/>
        <v>0</v>
      </c>
      <c r="K916" s="33">
        <f t="shared" si="1301"/>
        <v>0</v>
      </c>
      <c r="L916" s="1">
        <f t="shared" si="1301"/>
        <v>0</v>
      </c>
      <c r="M916" s="1">
        <f t="shared" si="1301"/>
        <v>1277.2</v>
      </c>
      <c r="N916" s="1">
        <f t="shared" si="1301"/>
        <v>5683540</v>
      </c>
      <c r="O916" s="1">
        <f t="shared" si="1301"/>
        <v>0</v>
      </c>
      <c r="P916" s="1">
        <f t="shared" si="1301"/>
        <v>0</v>
      </c>
      <c r="Q916" s="1">
        <f t="shared" si="1301"/>
        <v>0</v>
      </c>
      <c r="R916" s="1">
        <f t="shared" si="1301"/>
        <v>0</v>
      </c>
      <c r="S916" s="1">
        <f t="shared" si="1301"/>
        <v>0</v>
      </c>
      <c r="T916" s="1">
        <f t="shared" si="1301"/>
        <v>0</v>
      </c>
      <c r="U916" s="3" t="e">
        <f>C916+#REF!+#REF!</f>
        <v>#REF!</v>
      </c>
    </row>
    <row r="917" spans="1:26" ht="22.9" customHeight="1" x14ac:dyDescent="0.25">
      <c r="A917" s="39" t="s">
        <v>1907</v>
      </c>
      <c r="B917" s="9" t="s">
        <v>214</v>
      </c>
      <c r="C917" s="7">
        <f t="shared" ref="C917" si="1302">D917+L917+N917+P917+R917+S917+T917</f>
        <v>5683540</v>
      </c>
      <c r="D917" s="2">
        <f t="shared" ref="D917" si="1303">SUM(E917:J917)</f>
        <v>0</v>
      </c>
      <c r="E917" s="2">
        <v>0</v>
      </c>
      <c r="F917" s="2">
        <v>0</v>
      </c>
      <c r="G917" s="2">
        <v>0</v>
      </c>
      <c r="H917" s="2">
        <v>0</v>
      </c>
      <c r="I917" s="2">
        <v>0</v>
      </c>
      <c r="J917" s="2">
        <v>0</v>
      </c>
      <c r="K917" s="21">
        <v>0</v>
      </c>
      <c r="L917" s="2">
        <v>0</v>
      </c>
      <c r="M917" s="2">
        <v>1277.2</v>
      </c>
      <c r="N917" s="2">
        <f>M917*4450</f>
        <v>5683540</v>
      </c>
      <c r="O917" s="2">
        <v>0</v>
      </c>
      <c r="P917" s="2">
        <v>0</v>
      </c>
      <c r="Q917" s="2">
        <v>0</v>
      </c>
      <c r="R917" s="2">
        <v>0</v>
      </c>
      <c r="S917" s="2">
        <v>0</v>
      </c>
      <c r="T917" s="2">
        <v>0</v>
      </c>
      <c r="U917" s="6">
        <f t="shared" ref="U917" si="1304">N917/M917</f>
        <v>4450</v>
      </c>
      <c r="V917" s="1"/>
      <c r="W917" s="1"/>
      <c r="X917" s="1"/>
      <c r="Y917" s="1"/>
      <c r="Z917" s="3"/>
    </row>
    <row r="918" spans="1:26" ht="45" customHeight="1" x14ac:dyDescent="0.25">
      <c r="A918" s="43" t="s">
        <v>215</v>
      </c>
      <c r="B918" s="43"/>
      <c r="C918" s="1">
        <f>SUM(C919:C928)</f>
        <v>61306930</v>
      </c>
      <c r="D918" s="1">
        <f t="shared" ref="D918:T918" si="1305">SUM(D919:D928)</f>
        <v>30537600</v>
      </c>
      <c r="E918" s="1">
        <f t="shared" si="1305"/>
        <v>7125440</v>
      </c>
      <c r="F918" s="1">
        <f t="shared" si="1305"/>
        <v>13232960</v>
      </c>
      <c r="G918" s="1">
        <f t="shared" si="1305"/>
        <v>3053760</v>
      </c>
      <c r="H918" s="1">
        <f t="shared" si="1305"/>
        <v>4071680</v>
      </c>
      <c r="I918" s="1">
        <f t="shared" si="1305"/>
        <v>3053760</v>
      </c>
      <c r="J918" s="1">
        <f t="shared" si="1305"/>
        <v>0</v>
      </c>
      <c r="K918" s="33">
        <f t="shared" si="1305"/>
        <v>0</v>
      </c>
      <c r="L918" s="1">
        <f t="shared" si="1305"/>
        <v>0</v>
      </c>
      <c r="M918" s="1">
        <f t="shared" si="1305"/>
        <v>1521</v>
      </c>
      <c r="N918" s="1">
        <f t="shared" si="1305"/>
        <v>6768450</v>
      </c>
      <c r="O918" s="1">
        <f t="shared" si="1305"/>
        <v>871</v>
      </c>
      <c r="P918" s="1">
        <f t="shared" si="1305"/>
        <v>1045200</v>
      </c>
      <c r="Q918" s="1">
        <f t="shared" si="1305"/>
        <v>6767.4</v>
      </c>
      <c r="R918" s="1">
        <f t="shared" si="1305"/>
        <v>21655680</v>
      </c>
      <c r="S918" s="1">
        <f t="shared" si="1305"/>
        <v>300000</v>
      </c>
      <c r="T918" s="1">
        <f t="shared" si="1305"/>
        <v>1000000</v>
      </c>
      <c r="U918" s="3" t="e">
        <f>C918+#REF!+#REF!</f>
        <v>#REF!</v>
      </c>
    </row>
    <row r="919" spans="1:26" ht="22.9" customHeight="1" x14ac:dyDescent="0.25">
      <c r="A919" s="39" t="s">
        <v>1908</v>
      </c>
      <c r="B919" s="9" t="s">
        <v>236</v>
      </c>
      <c r="C919" s="7">
        <f t="shared" ref="C919:C928" si="1306">D919+L919+N919+P919+R919+S919+T919</f>
        <v>21488150</v>
      </c>
      <c r="D919" s="2">
        <f t="shared" ref="D919:D928" si="1307">SUM(E919:J919)</f>
        <v>10380600</v>
      </c>
      <c r="E919" s="2">
        <f>700*3460.2</f>
        <v>2422140</v>
      </c>
      <c r="F919" s="2">
        <f>1300*3460.2</f>
        <v>4498260</v>
      </c>
      <c r="G919" s="2">
        <f>300*3460.2</f>
        <v>1038060</v>
      </c>
      <c r="H919" s="2">
        <f>400*3460.2</f>
        <v>1384080</v>
      </c>
      <c r="I919" s="2">
        <f>300*3460.2</f>
        <v>1038060</v>
      </c>
      <c r="J919" s="2">
        <v>0</v>
      </c>
      <c r="K919" s="21">
        <v>0</v>
      </c>
      <c r="L919" s="2">
        <v>0</v>
      </c>
      <c r="M919" s="8">
        <v>871</v>
      </c>
      <c r="N919" s="2">
        <f>M919*4450</f>
        <v>3875950</v>
      </c>
      <c r="O919" s="2">
        <v>871</v>
      </c>
      <c r="P919" s="2">
        <f t="shared" ref="P919" si="1308">O919*1200</f>
        <v>1045200</v>
      </c>
      <c r="Q919" s="2">
        <v>1902</v>
      </c>
      <c r="R919" s="2">
        <f t="shared" ref="R919:R928" si="1309">Q919*3200</f>
        <v>6086400</v>
      </c>
      <c r="S919" s="2">
        <v>0</v>
      </c>
      <c r="T919" s="2">
        <v>100000</v>
      </c>
      <c r="U919" s="6">
        <f t="shared" ref="U919:U928" si="1310">N919/M919</f>
        <v>4450</v>
      </c>
      <c r="V919" s="1"/>
      <c r="W919" s="1"/>
      <c r="X919" s="1"/>
      <c r="Y919" s="1"/>
      <c r="Z919" s="3"/>
    </row>
    <row r="920" spans="1:26" ht="22.9" customHeight="1" x14ac:dyDescent="0.25">
      <c r="A920" s="39" t="s">
        <v>1909</v>
      </c>
      <c r="B920" s="9" t="s">
        <v>237</v>
      </c>
      <c r="C920" s="7">
        <f t="shared" si="1306"/>
        <v>3797000</v>
      </c>
      <c r="D920" s="2">
        <f t="shared" si="1307"/>
        <v>2039399.9999999998</v>
      </c>
      <c r="E920" s="2">
        <f>700*679.8</f>
        <v>475859.99999999994</v>
      </c>
      <c r="F920" s="2">
        <f>1300*679.8</f>
        <v>883739.99999999988</v>
      </c>
      <c r="G920" s="2">
        <f>300*679.8</f>
        <v>203940</v>
      </c>
      <c r="H920" s="2">
        <f>400*679.8</f>
        <v>271920</v>
      </c>
      <c r="I920" s="2">
        <f>300*679.8</f>
        <v>203940</v>
      </c>
      <c r="J920" s="2">
        <v>0</v>
      </c>
      <c r="K920" s="21">
        <v>0</v>
      </c>
      <c r="L920" s="2">
        <v>0</v>
      </c>
      <c r="M920" s="2">
        <v>0</v>
      </c>
      <c r="N920" s="2">
        <v>0</v>
      </c>
      <c r="O920" s="2">
        <v>0</v>
      </c>
      <c r="P920" s="2">
        <v>0</v>
      </c>
      <c r="Q920" s="2">
        <v>518</v>
      </c>
      <c r="R920" s="2">
        <f t="shared" si="1309"/>
        <v>1657600</v>
      </c>
      <c r="S920" s="2">
        <v>0</v>
      </c>
      <c r="T920" s="2">
        <v>100000</v>
      </c>
      <c r="U920" s="6" t="e">
        <f t="shared" si="1310"/>
        <v>#DIV/0!</v>
      </c>
      <c r="V920" s="1"/>
      <c r="W920" s="1"/>
      <c r="X920" s="1"/>
      <c r="Y920" s="1"/>
      <c r="Z920" s="3"/>
    </row>
    <row r="921" spans="1:26" ht="22.9" customHeight="1" x14ac:dyDescent="0.25">
      <c r="A921" s="39" t="s">
        <v>1910</v>
      </c>
      <c r="B921" s="9" t="s">
        <v>238</v>
      </c>
      <c r="C921" s="7">
        <f t="shared" si="1306"/>
        <v>4891460</v>
      </c>
      <c r="D921" s="2">
        <f t="shared" si="1307"/>
        <v>2728500</v>
      </c>
      <c r="E921" s="2">
        <f>700*909.5</f>
        <v>636650</v>
      </c>
      <c r="F921" s="2">
        <f>1300*909.5</f>
        <v>1182350</v>
      </c>
      <c r="G921" s="2">
        <f>300*909.5</f>
        <v>272850</v>
      </c>
      <c r="H921" s="2">
        <f>400*909.5</f>
        <v>363800</v>
      </c>
      <c r="I921" s="2">
        <f>300*909.5</f>
        <v>272850</v>
      </c>
      <c r="J921" s="2">
        <v>0</v>
      </c>
      <c r="K921" s="21">
        <v>0</v>
      </c>
      <c r="L921" s="2">
        <v>0</v>
      </c>
      <c r="M921" s="2">
        <v>0</v>
      </c>
      <c r="N921" s="2">
        <v>0</v>
      </c>
      <c r="O921" s="2">
        <v>0</v>
      </c>
      <c r="P921" s="2">
        <v>0</v>
      </c>
      <c r="Q921" s="2">
        <v>597.79999999999995</v>
      </c>
      <c r="R921" s="2">
        <f t="shared" si="1309"/>
        <v>1912959.9999999998</v>
      </c>
      <c r="S921" s="2">
        <v>150000</v>
      </c>
      <c r="T921" s="2">
        <v>100000</v>
      </c>
      <c r="U921" s="6" t="e">
        <f t="shared" si="1310"/>
        <v>#DIV/0!</v>
      </c>
      <c r="V921" s="1"/>
      <c r="W921" s="1"/>
      <c r="X921" s="1"/>
      <c r="Y921" s="1"/>
      <c r="Z921" s="3"/>
    </row>
    <row r="922" spans="1:26" ht="22.9" customHeight="1" x14ac:dyDescent="0.25">
      <c r="A922" s="39" t="s">
        <v>1911</v>
      </c>
      <c r="B922" s="9" t="s">
        <v>239</v>
      </c>
      <c r="C922" s="7">
        <f t="shared" si="1306"/>
        <v>4689200</v>
      </c>
      <c r="D922" s="2">
        <f t="shared" si="1307"/>
        <v>2701200</v>
      </c>
      <c r="E922" s="2">
        <f>700*900.4</f>
        <v>630280</v>
      </c>
      <c r="F922" s="2">
        <f>1300*900.4</f>
        <v>1170520</v>
      </c>
      <c r="G922" s="2">
        <f>300*900.4</f>
        <v>270120</v>
      </c>
      <c r="H922" s="2">
        <f>400*900.4</f>
        <v>360160</v>
      </c>
      <c r="I922" s="2">
        <f>300*900.4</f>
        <v>270120</v>
      </c>
      <c r="J922" s="2">
        <v>0</v>
      </c>
      <c r="K922" s="21">
        <v>0</v>
      </c>
      <c r="L922" s="2">
        <v>0</v>
      </c>
      <c r="M922" s="2">
        <v>0</v>
      </c>
      <c r="N922" s="2">
        <v>0</v>
      </c>
      <c r="O922" s="2">
        <v>0</v>
      </c>
      <c r="P922" s="2">
        <v>0</v>
      </c>
      <c r="Q922" s="2">
        <v>590</v>
      </c>
      <c r="R922" s="2">
        <f t="shared" si="1309"/>
        <v>1888000</v>
      </c>
      <c r="S922" s="2">
        <v>0</v>
      </c>
      <c r="T922" s="2">
        <v>100000</v>
      </c>
      <c r="U922" s="6" t="e">
        <f t="shared" si="1310"/>
        <v>#DIV/0!</v>
      </c>
      <c r="V922" s="1"/>
      <c r="W922" s="1"/>
      <c r="X922" s="1"/>
      <c r="Y922" s="1"/>
      <c r="Z922" s="3"/>
    </row>
    <row r="923" spans="1:26" ht="22.9" customHeight="1" x14ac:dyDescent="0.25">
      <c r="A923" s="39" t="s">
        <v>1912</v>
      </c>
      <c r="B923" s="9" t="s">
        <v>240</v>
      </c>
      <c r="C923" s="7">
        <f t="shared" si="1306"/>
        <v>3785380</v>
      </c>
      <c r="D923" s="2">
        <f t="shared" si="1307"/>
        <v>2031300</v>
      </c>
      <c r="E923" s="2">
        <f>700*677.1</f>
        <v>473970</v>
      </c>
      <c r="F923" s="2">
        <f>1300*677.1</f>
        <v>880230</v>
      </c>
      <c r="G923" s="2">
        <f>300*677.1</f>
        <v>203130</v>
      </c>
      <c r="H923" s="2">
        <f>400*677.1</f>
        <v>270840</v>
      </c>
      <c r="I923" s="2">
        <f>300*677.1</f>
        <v>203130</v>
      </c>
      <c r="J923" s="2">
        <v>0</v>
      </c>
      <c r="K923" s="21">
        <v>0</v>
      </c>
      <c r="L923" s="2">
        <v>0</v>
      </c>
      <c r="M923" s="2">
        <v>0</v>
      </c>
      <c r="N923" s="2">
        <f>M923*3300</f>
        <v>0</v>
      </c>
      <c r="O923" s="2">
        <v>0</v>
      </c>
      <c r="P923" s="2">
        <v>0</v>
      </c>
      <c r="Q923" s="2">
        <v>516.9</v>
      </c>
      <c r="R923" s="2">
        <f t="shared" si="1309"/>
        <v>1654080</v>
      </c>
      <c r="S923" s="2">
        <v>0</v>
      </c>
      <c r="T923" s="2">
        <v>100000</v>
      </c>
      <c r="U923" s="6" t="e">
        <f t="shared" si="1310"/>
        <v>#DIV/0!</v>
      </c>
      <c r="V923" s="1"/>
      <c r="W923" s="1"/>
      <c r="X923" s="1"/>
      <c r="Y923" s="1"/>
      <c r="Z923" s="3"/>
    </row>
    <row r="924" spans="1:26" ht="22.9" customHeight="1" x14ac:dyDescent="0.25">
      <c r="A924" s="39" t="s">
        <v>1913</v>
      </c>
      <c r="B924" s="9" t="s">
        <v>241</v>
      </c>
      <c r="C924" s="7">
        <f t="shared" si="1306"/>
        <v>3849180</v>
      </c>
      <c r="D924" s="2">
        <f t="shared" si="1307"/>
        <v>2077500</v>
      </c>
      <c r="E924" s="2">
        <f>700*692.5</f>
        <v>484750</v>
      </c>
      <c r="F924" s="2">
        <f>1300*692.5</f>
        <v>900250</v>
      </c>
      <c r="G924" s="2">
        <f>300*692.5</f>
        <v>207750</v>
      </c>
      <c r="H924" s="2">
        <f>400*692.5</f>
        <v>277000</v>
      </c>
      <c r="I924" s="2">
        <f>300*692.5</f>
        <v>207750</v>
      </c>
      <c r="J924" s="2">
        <v>0</v>
      </c>
      <c r="K924" s="21">
        <v>0</v>
      </c>
      <c r="L924" s="2">
        <v>0</v>
      </c>
      <c r="M924" s="2">
        <v>0</v>
      </c>
      <c r="N924" s="2">
        <v>0</v>
      </c>
      <c r="O924" s="2">
        <v>0</v>
      </c>
      <c r="P924" s="2">
        <v>0</v>
      </c>
      <c r="Q924" s="2">
        <v>522.4</v>
      </c>
      <c r="R924" s="2">
        <f t="shared" si="1309"/>
        <v>1671680</v>
      </c>
      <c r="S924" s="2">
        <v>0</v>
      </c>
      <c r="T924" s="2">
        <v>100000</v>
      </c>
      <c r="U924" s="6" t="e">
        <f t="shared" si="1310"/>
        <v>#DIV/0!</v>
      </c>
      <c r="V924" s="1"/>
      <c r="W924" s="1"/>
      <c r="X924" s="1"/>
      <c r="Y924" s="1"/>
      <c r="Z924" s="3"/>
    </row>
    <row r="925" spans="1:26" ht="22.9" customHeight="1" x14ac:dyDescent="0.25">
      <c r="A925" s="39" t="s">
        <v>1914</v>
      </c>
      <c r="B925" s="9" t="s">
        <v>242</v>
      </c>
      <c r="C925" s="7">
        <f t="shared" si="1306"/>
        <v>6719700</v>
      </c>
      <c r="D925" s="2">
        <f t="shared" si="1307"/>
        <v>2061600.0000000002</v>
      </c>
      <c r="E925" s="2">
        <f>700*687.2</f>
        <v>481040.00000000006</v>
      </c>
      <c r="F925" s="2">
        <f>1300*687.2</f>
        <v>893360.00000000012</v>
      </c>
      <c r="G925" s="2">
        <f>300*687.2</f>
        <v>206160</v>
      </c>
      <c r="H925" s="2">
        <f>400*687.2</f>
        <v>274880</v>
      </c>
      <c r="I925" s="2">
        <f>300*687.2</f>
        <v>206160</v>
      </c>
      <c r="J925" s="2">
        <v>0</v>
      </c>
      <c r="K925" s="21">
        <v>0</v>
      </c>
      <c r="L925" s="2">
        <v>0</v>
      </c>
      <c r="M925" s="2">
        <v>650</v>
      </c>
      <c r="N925" s="2">
        <f>M925*4450</f>
        <v>2892500</v>
      </c>
      <c r="O925" s="2">
        <v>0</v>
      </c>
      <c r="P925" s="2">
        <v>0</v>
      </c>
      <c r="Q925" s="2">
        <v>520.5</v>
      </c>
      <c r="R925" s="2">
        <f t="shared" si="1309"/>
        <v>1665600</v>
      </c>
      <c r="S925" s="2">
        <v>0</v>
      </c>
      <c r="T925" s="2">
        <v>100000</v>
      </c>
      <c r="U925" s="6">
        <f t="shared" si="1310"/>
        <v>4450</v>
      </c>
      <c r="V925" s="1"/>
      <c r="W925" s="1"/>
      <c r="X925" s="1"/>
      <c r="Y925" s="1"/>
      <c r="Z925" s="3"/>
    </row>
    <row r="926" spans="1:26" ht="22.9" customHeight="1" x14ac:dyDescent="0.25">
      <c r="A926" s="39" t="s">
        <v>1915</v>
      </c>
      <c r="B926" s="9" t="s">
        <v>243</v>
      </c>
      <c r="C926" s="7">
        <f t="shared" si="1306"/>
        <v>4741460</v>
      </c>
      <c r="D926" s="2">
        <f t="shared" si="1307"/>
        <v>2728500</v>
      </c>
      <c r="E926" s="2">
        <f>700*909.5</f>
        <v>636650</v>
      </c>
      <c r="F926" s="2">
        <f>1300*909.5</f>
        <v>1182350</v>
      </c>
      <c r="G926" s="2">
        <f>300*909.5</f>
        <v>272850</v>
      </c>
      <c r="H926" s="2">
        <f>400*909.5</f>
        <v>363800</v>
      </c>
      <c r="I926" s="2">
        <f>300*909.5</f>
        <v>272850</v>
      </c>
      <c r="J926" s="2">
        <v>0</v>
      </c>
      <c r="K926" s="21">
        <v>0</v>
      </c>
      <c r="L926" s="8">
        <v>0</v>
      </c>
      <c r="M926" s="2">
        <v>0</v>
      </c>
      <c r="N926" s="8">
        <v>0</v>
      </c>
      <c r="O926" s="2">
        <v>0</v>
      </c>
      <c r="P926" s="2">
        <v>0</v>
      </c>
      <c r="Q926" s="2">
        <v>597.79999999999995</v>
      </c>
      <c r="R926" s="2">
        <f t="shared" si="1309"/>
        <v>1912959.9999999998</v>
      </c>
      <c r="S926" s="2">
        <v>0</v>
      </c>
      <c r="T926" s="2">
        <v>100000</v>
      </c>
      <c r="U926" s="6" t="e">
        <f t="shared" si="1310"/>
        <v>#DIV/0!</v>
      </c>
      <c r="V926" s="1"/>
      <c r="W926" s="1"/>
      <c r="X926" s="1"/>
      <c r="Y926" s="1"/>
      <c r="Z926" s="3"/>
    </row>
    <row r="927" spans="1:26" ht="22.9" customHeight="1" x14ac:dyDescent="0.25">
      <c r="A927" s="39" t="s">
        <v>1916</v>
      </c>
      <c r="B927" s="9" t="s">
        <v>244</v>
      </c>
      <c r="C927" s="7">
        <f t="shared" si="1306"/>
        <v>3823500</v>
      </c>
      <c r="D927" s="2">
        <f t="shared" si="1307"/>
        <v>2059500</v>
      </c>
      <c r="E927" s="2">
        <f>700*686.5</f>
        <v>480550</v>
      </c>
      <c r="F927" s="2">
        <f>1300*686.5</f>
        <v>892450</v>
      </c>
      <c r="G927" s="2">
        <f>300*686.5</f>
        <v>205950</v>
      </c>
      <c r="H927" s="2">
        <f>400*686.5</f>
        <v>274600</v>
      </c>
      <c r="I927" s="2">
        <f>300*686.5</f>
        <v>205950</v>
      </c>
      <c r="J927" s="2">
        <v>0</v>
      </c>
      <c r="K927" s="21">
        <v>0</v>
      </c>
      <c r="L927" s="2">
        <v>0</v>
      </c>
      <c r="M927" s="2">
        <v>0</v>
      </c>
      <c r="N927" s="2">
        <v>0</v>
      </c>
      <c r="O927" s="2">
        <v>0</v>
      </c>
      <c r="P927" s="2">
        <v>0</v>
      </c>
      <c r="Q927" s="2">
        <v>520</v>
      </c>
      <c r="R927" s="2">
        <f t="shared" si="1309"/>
        <v>1664000</v>
      </c>
      <c r="S927" s="2">
        <v>0</v>
      </c>
      <c r="T927" s="2">
        <v>100000</v>
      </c>
      <c r="U927" s="6" t="e">
        <f t="shared" si="1310"/>
        <v>#DIV/0!</v>
      </c>
      <c r="V927" s="1"/>
      <c r="W927" s="1"/>
      <c r="X927" s="1"/>
      <c r="Y927" s="1"/>
      <c r="Z927" s="3"/>
    </row>
    <row r="928" spans="1:26" ht="22.9" customHeight="1" x14ac:dyDescent="0.25">
      <c r="A928" s="39" t="s">
        <v>1917</v>
      </c>
      <c r="B928" s="9" t="s">
        <v>245</v>
      </c>
      <c r="C928" s="7">
        <f t="shared" si="1306"/>
        <v>3521900</v>
      </c>
      <c r="D928" s="2">
        <f t="shared" si="1307"/>
        <v>1729500</v>
      </c>
      <c r="E928" s="2">
        <f>700*576.5</f>
        <v>403550</v>
      </c>
      <c r="F928" s="2">
        <f>1300*576.5</f>
        <v>749450</v>
      </c>
      <c r="G928" s="2">
        <f>300*576.5</f>
        <v>172950</v>
      </c>
      <c r="H928" s="2">
        <f>400*576.5</f>
        <v>230600</v>
      </c>
      <c r="I928" s="2">
        <f>300*576.5</f>
        <v>172950</v>
      </c>
      <c r="J928" s="2">
        <v>0</v>
      </c>
      <c r="K928" s="21">
        <v>0</v>
      </c>
      <c r="L928" s="2">
        <v>0</v>
      </c>
      <c r="M928" s="2">
        <v>0</v>
      </c>
      <c r="N928" s="2">
        <f>M928*5300</f>
        <v>0</v>
      </c>
      <c r="O928" s="2">
        <v>0</v>
      </c>
      <c r="P928" s="2">
        <v>0</v>
      </c>
      <c r="Q928" s="2">
        <v>482</v>
      </c>
      <c r="R928" s="2">
        <f t="shared" si="1309"/>
        <v>1542400</v>
      </c>
      <c r="S928" s="2">
        <v>150000</v>
      </c>
      <c r="T928" s="2">
        <v>100000</v>
      </c>
      <c r="U928" s="6" t="e">
        <f t="shared" si="1310"/>
        <v>#DIV/0!</v>
      </c>
      <c r="V928" s="1"/>
      <c r="W928" s="1"/>
      <c r="X928" s="1"/>
      <c r="Y928" s="1"/>
      <c r="Z928" s="3"/>
    </row>
    <row r="929" spans="1:28" ht="45" customHeight="1" x14ac:dyDescent="0.25">
      <c r="A929" s="43" t="s">
        <v>246</v>
      </c>
      <c r="B929" s="43"/>
      <c r="C929" s="1">
        <f>SUM(C930:C931)</f>
        <v>8568630</v>
      </c>
      <c r="D929" s="1">
        <f t="shared" ref="D929:T929" si="1311">SUM(D930:D931)</f>
        <v>1558570</v>
      </c>
      <c r="E929" s="1">
        <f t="shared" si="1311"/>
        <v>839230</v>
      </c>
      <c r="F929" s="1">
        <f t="shared" si="1311"/>
        <v>0</v>
      </c>
      <c r="G929" s="1">
        <f t="shared" si="1311"/>
        <v>359670</v>
      </c>
      <c r="H929" s="1">
        <f t="shared" si="1311"/>
        <v>0</v>
      </c>
      <c r="I929" s="1">
        <f t="shared" si="1311"/>
        <v>359670</v>
      </c>
      <c r="J929" s="1">
        <f t="shared" si="1311"/>
        <v>0</v>
      </c>
      <c r="K929" s="33">
        <f t="shared" si="1311"/>
        <v>0</v>
      </c>
      <c r="L929" s="1">
        <f t="shared" si="1311"/>
        <v>0</v>
      </c>
      <c r="M929" s="1">
        <f t="shared" si="1311"/>
        <v>1009.0999999999999</v>
      </c>
      <c r="N929" s="1">
        <f t="shared" si="1311"/>
        <v>6660060</v>
      </c>
      <c r="O929" s="1">
        <f t="shared" si="1311"/>
        <v>0</v>
      </c>
      <c r="P929" s="1">
        <f t="shared" si="1311"/>
        <v>0</v>
      </c>
      <c r="Q929" s="1">
        <f t="shared" si="1311"/>
        <v>0</v>
      </c>
      <c r="R929" s="1">
        <f t="shared" si="1311"/>
        <v>0</v>
      </c>
      <c r="S929" s="1">
        <f t="shared" si="1311"/>
        <v>150000</v>
      </c>
      <c r="T929" s="1">
        <f t="shared" si="1311"/>
        <v>200000</v>
      </c>
      <c r="U929" s="3" t="e">
        <f>C929+#REF!+#REF!</f>
        <v>#REF!</v>
      </c>
    </row>
    <row r="930" spans="1:28" ht="22.9" customHeight="1" x14ac:dyDescent="0.25">
      <c r="A930" s="39" t="s">
        <v>1918</v>
      </c>
      <c r="B930" s="5" t="s">
        <v>249</v>
      </c>
      <c r="C930" s="7">
        <f t="shared" ref="C930:C931" si="1312">D930+L930+N930+P930+R930+S930+T930</f>
        <v>2987220</v>
      </c>
      <c r="D930" s="2">
        <f t="shared" ref="D930:D931" si="1313">SUM(E930:J930)</f>
        <v>533000</v>
      </c>
      <c r="E930" s="2">
        <f>700*410</f>
        <v>287000</v>
      </c>
      <c r="F930" s="2">
        <v>0</v>
      </c>
      <c r="G930" s="2">
        <f>300*410</f>
        <v>123000</v>
      </c>
      <c r="H930" s="2">
        <v>0</v>
      </c>
      <c r="I930" s="2">
        <f>300*410</f>
        <v>123000</v>
      </c>
      <c r="J930" s="2">
        <v>0</v>
      </c>
      <c r="K930" s="21">
        <v>0</v>
      </c>
      <c r="L930" s="2">
        <v>0</v>
      </c>
      <c r="M930" s="2">
        <v>356.7</v>
      </c>
      <c r="N930" s="2">
        <f>M930*6600</f>
        <v>2354220</v>
      </c>
      <c r="O930" s="2">
        <v>0</v>
      </c>
      <c r="P930" s="2">
        <v>0</v>
      </c>
      <c r="Q930" s="2">
        <v>0</v>
      </c>
      <c r="R930" s="2">
        <v>0</v>
      </c>
      <c r="S930" s="2">
        <v>0</v>
      </c>
      <c r="T930" s="2">
        <v>100000</v>
      </c>
      <c r="U930" s="6">
        <f t="shared" ref="U930:U931" si="1314">N930/M930</f>
        <v>6600</v>
      </c>
      <c r="V930" s="1"/>
      <c r="W930" s="1"/>
      <c r="X930" s="1"/>
      <c r="Y930" s="1"/>
      <c r="Z930" s="3"/>
    </row>
    <row r="931" spans="1:28" ht="22.9" customHeight="1" x14ac:dyDescent="0.25">
      <c r="A931" s="39" t="s">
        <v>1919</v>
      </c>
      <c r="B931" s="9" t="s">
        <v>250</v>
      </c>
      <c r="C931" s="7">
        <f t="shared" si="1312"/>
        <v>5581410</v>
      </c>
      <c r="D931" s="2">
        <f t="shared" si="1313"/>
        <v>1025570</v>
      </c>
      <c r="E931" s="2">
        <f>700*788.9</f>
        <v>552230</v>
      </c>
      <c r="F931" s="2">
        <v>0</v>
      </c>
      <c r="G931" s="2">
        <f>300*788.9</f>
        <v>236670</v>
      </c>
      <c r="H931" s="2">
        <v>0</v>
      </c>
      <c r="I931" s="2">
        <f>300*788.9</f>
        <v>236670</v>
      </c>
      <c r="J931" s="2">
        <v>0</v>
      </c>
      <c r="K931" s="21">
        <v>0</v>
      </c>
      <c r="L931" s="2">
        <v>0</v>
      </c>
      <c r="M931" s="2">
        <v>652.4</v>
      </c>
      <c r="N931" s="2">
        <f>M931*6600</f>
        <v>4305840</v>
      </c>
      <c r="O931" s="2">
        <v>0</v>
      </c>
      <c r="P931" s="2">
        <v>0</v>
      </c>
      <c r="Q931" s="2">
        <v>0</v>
      </c>
      <c r="R931" s="2">
        <v>0</v>
      </c>
      <c r="S931" s="2">
        <v>150000</v>
      </c>
      <c r="T931" s="2">
        <v>100000</v>
      </c>
      <c r="U931" s="6">
        <f t="shared" si="1314"/>
        <v>6600</v>
      </c>
      <c r="V931" s="1"/>
      <c r="W931" s="1"/>
      <c r="X931" s="1"/>
      <c r="Y931" s="1"/>
      <c r="Z931" s="3"/>
    </row>
    <row r="932" spans="1:28" ht="45" customHeight="1" x14ac:dyDescent="0.25">
      <c r="A932" s="43" t="s">
        <v>251</v>
      </c>
      <c r="B932" s="43"/>
      <c r="C932" s="1">
        <f>SUM(C933)</f>
        <v>4634080</v>
      </c>
      <c r="D932" s="1">
        <f t="shared" ref="D932:T932" si="1315">SUM(D933)</f>
        <v>294000</v>
      </c>
      <c r="E932" s="1">
        <f t="shared" si="1315"/>
        <v>294000</v>
      </c>
      <c r="F932" s="1">
        <f t="shared" si="1315"/>
        <v>0</v>
      </c>
      <c r="G932" s="1">
        <f t="shared" si="1315"/>
        <v>0</v>
      </c>
      <c r="H932" s="1">
        <f t="shared" si="1315"/>
        <v>0</v>
      </c>
      <c r="I932" s="1">
        <f t="shared" si="1315"/>
        <v>0</v>
      </c>
      <c r="J932" s="1">
        <f t="shared" si="1315"/>
        <v>0</v>
      </c>
      <c r="K932" s="33">
        <f t="shared" si="1315"/>
        <v>0</v>
      </c>
      <c r="L932" s="1">
        <f t="shared" si="1315"/>
        <v>0</v>
      </c>
      <c r="M932" s="1">
        <f t="shared" si="1315"/>
        <v>420</v>
      </c>
      <c r="N932" s="1">
        <f t="shared" si="1315"/>
        <v>2772000</v>
      </c>
      <c r="O932" s="1">
        <f t="shared" si="1315"/>
        <v>0</v>
      </c>
      <c r="P932" s="1">
        <f t="shared" si="1315"/>
        <v>0</v>
      </c>
      <c r="Q932" s="1">
        <f t="shared" si="1315"/>
        <v>474.4</v>
      </c>
      <c r="R932" s="1">
        <f t="shared" si="1315"/>
        <v>1518080</v>
      </c>
      <c r="S932" s="1">
        <f t="shared" si="1315"/>
        <v>0</v>
      </c>
      <c r="T932" s="1">
        <f t="shared" si="1315"/>
        <v>50000</v>
      </c>
      <c r="U932" s="3" t="e">
        <f>C932+#REF!+#REF!</f>
        <v>#REF!</v>
      </c>
    </row>
    <row r="933" spans="1:28" ht="22.9" customHeight="1" x14ac:dyDescent="0.25">
      <c r="A933" s="39" t="s">
        <v>1920</v>
      </c>
      <c r="B933" s="9" t="s">
        <v>253</v>
      </c>
      <c r="C933" s="7">
        <f t="shared" ref="C933" si="1316">D933+L933+N933+P933+R933+S933+T933</f>
        <v>4634080</v>
      </c>
      <c r="D933" s="2">
        <f t="shared" ref="D933" si="1317">SUM(E933:J933)</f>
        <v>294000</v>
      </c>
      <c r="E933" s="2">
        <f>700*420</f>
        <v>294000</v>
      </c>
      <c r="F933" s="2">
        <v>0</v>
      </c>
      <c r="G933" s="2">
        <v>0</v>
      </c>
      <c r="H933" s="2">
        <v>0</v>
      </c>
      <c r="I933" s="2">
        <v>0</v>
      </c>
      <c r="J933" s="2">
        <v>0</v>
      </c>
      <c r="K933" s="21">
        <v>0</v>
      </c>
      <c r="L933" s="2">
        <v>0</v>
      </c>
      <c r="M933" s="2">
        <v>420</v>
      </c>
      <c r="N933" s="2">
        <f>M933*6600</f>
        <v>2772000</v>
      </c>
      <c r="O933" s="2">
        <v>0</v>
      </c>
      <c r="P933" s="2">
        <v>0</v>
      </c>
      <c r="Q933" s="2">
        <v>474.4</v>
      </c>
      <c r="R933" s="2">
        <f t="shared" ref="R933:R946" si="1318">Q933*3200</f>
        <v>1518080</v>
      </c>
      <c r="S933" s="2">
        <v>0</v>
      </c>
      <c r="T933" s="2">
        <v>50000</v>
      </c>
      <c r="U933" s="6">
        <f t="shared" ref="U933" si="1319">N933/M933</f>
        <v>6600</v>
      </c>
      <c r="V933" s="1"/>
      <c r="W933" s="1"/>
      <c r="X933" s="1"/>
      <c r="Y933" s="1"/>
      <c r="Z933" s="3"/>
    </row>
    <row r="934" spans="1:28" ht="45" customHeight="1" x14ac:dyDescent="0.25">
      <c r="A934" s="43" t="s">
        <v>254</v>
      </c>
      <c r="B934" s="43"/>
      <c r="C934" s="1">
        <f>SUM(C935:C937)</f>
        <v>12184980</v>
      </c>
      <c r="D934" s="1">
        <f t="shared" ref="D934:T934" si="1320">SUM(D935:D937)</f>
        <v>5690100</v>
      </c>
      <c r="E934" s="1">
        <f t="shared" si="1320"/>
        <v>1531950</v>
      </c>
      <c r="F934" s="1">
        <f t="shared" si="1320"/>
        <v>2845050</v>
      </c>
      <c r="G934" s="1">
        <f t="shared" si="1320"/>
        <v>656550</v>
      </c>
      <c r="H934" s="1">
        <f t="shared" si="1320"/>
        <v>0</v>
      </c>
      <c r="I934" s="1">
        <f t="shared" si="1320"/>
        <v>656550</v>
      </c>
      <c r="J934" s="1">
        <f t="shared" si="1320"/>
        <v>0</v>
      </c>
      <c r="K934" s="33">
        <f t="shared" si="1320"/>
        <v>0</v>
      </c>
      <c r="L934" s="1">
        <f t="shared" si="1320"/>
        <v>0</v>
      </c>
      <c r="M934" s="1">
        <f t="shared" si="1320"/>
        <v>0</v>
      </c>
      <c r="N934" s="1">
        <f t="shared" si="1320"/>
        <v>0</v>
      </c>
      <c r="O934" s="1">
        <f t="shared" si="1320"/>
        <v>0</v>
      </c>
      <c r="P934" s="1">
        <f t="shared" si="1320"/>
        <v>0</v>
      </c>
      <c r="Q934" s="1">
        <f t="shared" si="1320"/>
        <v>1935.9</v>
      </c>
      <c r="R934" s="1">
        <f t="shared" si="1320"/>
        <v>6194880</v>
      </c>
      <c r="S934" s="1">
        <f t="shared" si="1320"/>
        <v>0</v>
      </c>
      <c r="T934" s="1">
        <f t="shared" si="1320"/>
        <v>300000</v>
      </c>
      <c r="U934" s="3" t="e">
        <f>C934+#REF!+#REF!</f>
        <v>#REF!</v>
      </c>
    </row>
    <row r="935" spans="1:28" ht="22.9" customHeight="1" x14ac:dyDescent="0.25">
      <c r="A935" s="39" t="s">
        <v>1921</v>
      </c>
      <c r="B935" s="9" t="s">
        <v>260</v>
      </c>
      <c r="C935" s="7">
        <f t="shared" ref="C935:C937" si="1321">D935+L935+N935+P935+R935+S935+T935</f>
        <v>4644480</v>
      </c>
      <c r="D935" s="2">
        <f t="shared" ref="D935:D937" si="1322">SUM(E935:J935)</f>
        <v>2202720</v>
      </c>
      <c r="E935" s="2">
        <f>700*847.2</f>
        <v>593040</v>
      </c>
      <c r="F935" s="2">
        <f>1300*847.2</f>
        <v>1101360</v>
      </c>
      <c r="G935" s="2">
        <f>300*847.2</f>
        <v>254160</v>
      </c>
      <c r="H935" s="2">
        <v>0</v>
      </c>
      <c r="I935" s="2">
        <f>300*847.2</f>
        <v>254160</v>
      </c>
      <c r="J935" s="2">
        <v>0</v>
      </c>
      <c r="K935" s="21">
        <v>0</v>
      </c>
      <c r="L935" s="2">
        <v>0</v>
      </c>
      <c r="M935" s="2">
        <v>0</v>
      </c>
      <c r="N935" s="2">
        <v>0</v>
      </c>
      <c r="O935" s="2">
        <v>0</v>
      </c>
      <c r="P935" s="2">
        <v>0</v>
      </c>
      <c r="Q935" s="18">
        <v>731.8</v>
      </c>
      <c r="R935" s="2">
        <f t="shared" si="1318"/>
        <v>2341760</v>
      </c>
      <c r="S935" s="2">
        <v>0</v>
      </c>
      <c r="T935" s="2">
        <v>100000</v>
      </c>
      <c r="U935" s="6" t="e">
        <f t="shared" ref="U935:U937" si="1323">N935/M935</f>
        <v>#DIV/0!</v>
      </c>
      <c r="V935" s="1"/>
      <c r="W935" s="1"/>
      <c r="X935" s="1"/>
      <c r="Y935" s="1"/>
      <c r="Z935" s="3"/>
    </row>
    <row r="936" spans="1:28" ht="22.9" customHeight="1" x14ac:dyDescent="0.25">
      <c r="A936" s="39" t="s">
        <v>1922</v>
      </c>
      <c r="B936" s="9" t="s">
        <v>261</v>
      </c>
      <c r="C936" s="7">
        <f t="shared" si="1321"/>
        <v>5755360</v>
      </c>
      <c r="D936" s="2">
        <f t="shared" si="1322"/>
        <v>2762240.0000000005</v>
      </c>
      <c r="E936" s="2">
        <f>700*1062.4</f>
        <v>743680.00000000012</v>
      </c>
      <c r="F936" s="2">
        <f>1300*1062.4</f>
        <v>1381120.0000000002</v>
      </c>
      <c r="G936" s="2">
        <f>300*1062.4</f>
        <v>318720</v>
      </c>
      <c r="H936" s="2">
        <v>0</v>
      </c>
      <c r="I936" s="2">
        <f>300*1062.4</f>
        <v>318720</v>
      </c>
      <c r="J936" s="2">
        <v>0</v>
      </c>
      <c r="K936" s="21">
        <v>0</v>
      </c>
      <c r="L936" s="2">
        <v>0</v>
      </c>
      <c r="M936" s="2">
        <v>0</v>
      </c>
      <c r="N936" s="2">
        <v>0</v>
      </c>
      <c r="O936" s="2">
        <v>0</v>
      </c>
      <c r="P936" s="2">
        <v>0</v>
      </c>
      <c r="Q936" s="18">
        <v>904.1</v>
      </c>
      <c r="R936" s="2">
        <f t="shared" si="1318"/>
        <v>2893120</v>
      </c>
      <c r="S936" s="2">
        <v>0</v>
      </c>
      <c r="T936" s="2">
        <v>100000</v>
      </c>
      <c r="U936" s="6" t="e">
        <f t="shared" si="1323"/>
        <v>#DIV/0!</v>
      </c>
      <c r="V936" s="1"/>
      <c r="W936" s="1"/>
      <c r="X936" s="1"/>
      <c r="Y936" s="1"/>
      <c r="Z936" s="3"/>
    </row>
    <row r="937" spans="1:28" ht="22.9" customHeight="1" x14ac:dyDescent="0.25">
      <c r="A937" s="39" t="s">
        <v>1923</v>
      </c>
      <c r="B937" s="9" t="s">
        <v>262</v>
      </c>
      <c r="C937" s="7">
        <f t="shared" si="1321"/>
        <v>1785140</v>
      </c>
      <c r="D937" s="2">
        <f t="shared" si="1322"/>
        <v>725139.99999999988</v>
      </c>
      <c r="E937" s="2">
        <f>700*278.9</f>
        <v>195229.99999999997</v>
      </c>
      <c r="F937" s="2">
        <f>1300*278.9</f>
        <v>362569.99999999994</v>
      </c>
      <c r="G937" s="2">
        <f>300*278.9</f>
        <v>83670</v>
      </c>
      <c r="H937" s="2">
        <v>0</v>
      </c>
      <c r="I937" s="2">
        <f>300*278.9</f>
        <v>83670</v>
      </c>
      <c r="J937" s="2">
        <v>0</v>
      </c>
      <c r="K937" s="21">
        <v>0</v>
      </c>
      <c r="L937" s="2">
        <v>0</v>
      </c>
      <c r="M937" s="2">
        <v>0</v>
      </c>
      <c r="N937" s="2">
        <v>0</v>
      </c>
      <c r="O937" s="2">
        <v>0</v>
      </c>
      <c r="P937" s="2">
        <v>0</v>
      </c>
      <c r="Q937" s="2">
        <v>300</v>
      </c>
      <c r="R937" s="2">
        <f t="shared" si="1318"/>
        <v>960000</v>
      </c>
      <c r="S937" s="2">
        <v>0</v>
      </c>
      <c r="T937" s="2">
        <v>100000</v>
      </c>
      <c r="U937" s="6" t="e">
        <f t="shared" si="1323"/>
        <v>#DIV/0!</v>
      </c>
    </row>
    <row r="938" spans="1:28" ht="45" customHeight="1" x14ac:dyDescent="0.25">
      <c r="A938" s="43" t="s">
        <v>272</v>
      </c>
      <c r="B938" s="43"/>
      <c r="C938" s="1">
        <f>SUM(C939:C942)</f>
        <v>18551210</v>
      </c>
      <c r="D938" s="1">
        <f t="shared" ref="D938:T938" si="1324">SUM(D939:D942)</f>
        <v>2255370</v>
      </c>
      <c r="E938" s="1">
        <f t="shared" si="1324"/>
        <v>918400</v>
      </c>
      <c r="F938" s="1">
        <f t="shared" si="1324"/>
        <v>549770</v>
      </c>
      <c r="G938" s="1">
        <f t="shared" si="1324"/>
        <v>393600</v>
      </c>
      <c r="H938" s="1">
        <f t="shared" si="1324"/>
        <v>0</v>
      </c>
      <c r="I938" s="1">
        <f t="shared" si="1324"/>
        <v>393600</v>
      </c>
      <c r="J938" s="1">
        <f t="shared" si="1324"/>
        <v>0</v>
      </c>
      <c r="K938" s="33">
        <f t="shared" si="1324"/>
        <v>0</v>
      </c>
      <c r="L938" s="1">
        <f t="shared" si="1324"/>
        <v>0</v>
      </c>
      <c r="M938" s="1">
        <f t="shared" si="1324"/>
        <v>450</v>
      </c>
      <c r="N938" s="1">
        <f t="shared" si="1324"/>
        <v>11621280</v>
      </c>
      <c r="O938" s="1">
        <f t="shared" si="1324"/>
        <v>150</v>
      </c>
      <c r="P938" s="1">
        <f t="shared" si="1324"/>
        <v>180000</v>
      </c>
      <c r="Q938" s="1">
        <f t="shared" si="1324"/>
        <v>0</v>
      </c>
      <c r="R938" s="1">
        <f t="shared" si="1324"/>
        <v>4194560</v>
      </c>
      <c r="S938" s="1">
        <f t="shared" si="1324"/>
        <v>0</v>
      </c>
      <c r="T938" s="1">
        <f t="shared" si="1324"/>
        <v>300000</v>
      </c>
      <c r="U938" s="3" t="e">
        <f>C938+#REF!+#REF!</f>
        <v>#REF!</v>
      </c>
    </row>
    <row r="939" spans="1:28" ht="22.9" customHeight="1" x14ac:dyDescent="0.25">
      <c r="A939" s="39" t="s">
        <v>1924</v>
      </c>
      <c r="B939" s="3" t="s">
        <v>285</v>
      </c>
      <c r="C939" s="7">
        <f t="shared" ref="C939" si="1325">D939+L939+N939+P939+R939+S939+T939</f>
        <v>5042230</v>
      </c>
      <c r="D939" s="2">
        <f t="shared" ref="D939" si="1326">SUM(E939:J939)</f>
        <v>573170</v>
      </c>
      <c r="E939" s="2">
        <f>700*440.9</f>
        <v>308630</v>
      </c>
      <c r="F939" s="2">
        <v>0</v>
      </c>
      <c r="G939" s="2">
        <f>300*440.9</f>
        <v>132270</v>
      </c>
      <c r="H939" s="2">
        <v>0</v>
      </c>
      <c r="I939" s="2">
        <f>300*440.9</f>
        <v>132270</v>
      </c>
      <c r="J939" s="2">
        <v>0</v>
      </c>
      <c r="K939" s="21">
        <v>0</v>
      </c>
      <c r="L939" s="2">
        <v>0</v>
      </c>
      <c r="M939" s="2" t="s">
        <v>1152</v>
      </c>
      <c r="N939" s="2">
        <f t="shared" ref="N939:N946" si="1327">M939*6600</f>
        <v>2902020</v>
      </c>
      <c r="O939" s="2">
        <v>50</v>
      </c>
      <c r="P939" s="2">
        <f t="shared" ref="P939" si="1328">O939*1200</f>
        <v>60000</v>
      </c>
      <c r="Q939" s="2" t="s">
        <v>1152</v>
      </c>
      <c r="R939" s="2">
        <f t="shared" si="1318"/>
        <v>1407040</v>
      </c>
      <c r="S939" s="2">
        <v>0</v>
      </c>
      <c r="T939" s="2">
        <v>100000</v>
      </c>
      <c r="U939" s="6">
        <f t="shared" ref="U939:U942" si="1329">N939/M939</f>
        <v>6600</v>
      </c>
      <c r="V939" s="1"/>
      <c r="W939" s="1"/>
      <c r="X939" s="1"/>
      <c r="Y939" s="1"/>
      <c r="Z939" s="1"/>
      <c r="AA939" s="1"/>
      <c r="AB939" s="3"/>
    </row>
    <row r="940" spans="1:28" ht="22.9" customHeight="1" x14ac:dyDescent="0.25">
      <c r="A940" s="39" t="s">
        <v>1925</v>
      </c>
      <c r="B940" s="3" t="s">
        <v>286</v>
      </c>
      <c r="C940" s="7">
        <f t="shared" ref="C940" si="1330">D940+L940+N940+P940+R940+S940+T940</f>
        <v>2970000</v>
      </c>
      <c r="D940" s="2">
        <f t="shared" ref="D940" si="1331">SUM(E940:J940)</f>
        <v>0</v>
      </c>
      <c r="E940" s="2">
        <v>0</v>
      </c>
      <c r="F940" s="2">
        <v>0</v>
      </c>
      <c r="G940" s="2">
        <v>0</v>
      </c>
      <c r="H940" s="2">
        <v>0</v>
      </c>
      <c r="I940" s="2">
        <v>0</v>
      </c>
      <c r="J940" s="2">
        <v>0</v>
      </c>
      <c r="K940" s="21">
        <v>0</v>
      </c>
      <c r="L940" s="2">
        <v>0</v>
      </c>
      <c r="M940" s="2">
        <v>450</v>
      </c>
      <c r="N940" s="2">
        <f t="shared" si="1327"/>
        <v>2970000</v>
      </c>
      <c r="O940" s="2">
        <v>0</v>
      </c>
      <c r="P940" s="2">
        <v>0</v>
      </c>
      <c r="Q940" s="2">
        <v>0</v>
      </c>
      <c r="R940" s="2">
        <v>0</v>
      </c>
      <c r="S940" s="2">
        <v>0</v>
      </c>
      <c r="T940" s="2">
        <v>0</v>
      </c>
      <c r="U940" s="6">
        <f t="shared" si="1329"/>
        <v>6600</v>
      </c>
      <c r="V940" s="1"/>
      <c r="W940" s="1"/>
      <c r="X940" s="1"/>
      <c r="Y940" s="1"/>
      <c r="Z940" s="1"/>
      <c r="AA940" s="1"/>
      <c r="AB940" s="3"/>
    </row>
    <row r="941" spans="1:28" ht="22.9" customHeight="1" x14ac:dyDescent="0.25">
      <c r="A941" s="39" t="s">
        <v>1926</v>
      </c>
      <c r="B941" s="3" t="s">
        <v>287</v>
      </c>
      <c r="C941" s="7">
        <f t="shared" ref="C941:C942" si="1332">D941+L941+N941+P941+R941+S941+T941</f>
        <v>5135020</v>
      </c>
      <c r="D941" s="2">
        <f t="shared" ref="D941:D942" si="1333">SUM(E941:J941)</f>
        <v>582660</v>
      </c>
      <c r="E941" s="2">
        <f>700*448.2</f>
        <v>313740</v>
      </c>
      <c r="F941" s="2">
        <v>0</v>
      </c>
      <c r="G941" s="2">
        <f>300*448.2</f>
        <v>134460</v>
      </c>
      <c r="H941" s="2">
        <v>0</v>
      </c>
      <c r="I941" s="2">
        <f>300*448.2</f>
        <v>134460</v>
      </c>
      <c r="J941" s="2">
        <v>0</v>
      </c>
      <c r="K941" s="21">
        <v>0</v>
      </c>
      <c r="L941" s="2">
        <v>0</v>
      </c>
      <c r="M941" s="2" t="s">
        <v>1154</v>
      </c>
      <c r="N941" s="2">
        <f t="shared" si="1327"/>
        <v>2958120</v>
      </c>
      <c r="O941" s="2">
        <v>50</v>
      </c>
      <c r="P941" s="2">
        <f t="shared" ref="P941:P942" si="1334">O941*1200</f>
        <v>60000</v>
      </c>
      <c r="Q941" s="2" t="s">
        <v>1154</v>
      </c>
      <c r="R941" s="2">
        <f t="shared" si="1318"/>
        <v>1434240</v>
      </c>
      <c r="S941" s="2">
        <v>0</v>
      </c>
      <c r="T941" s="2">
        <v>100000</v>
      </c>
      <c r="U941" s="6">
        <f t="shared" si="1329"/>
        <v>6600</v>
      </c>
      <c r="V941" s="1"/>
      <c r="W941" s="1"/>
      <c r="X941" s="1"/>
      <c r="Y941" s="1"/>
      <c r="Z941" s="1"/>
      <c r="AA941" s="1"/>
      <c r="AB941" s="3"/>
    </row>
    <row r="942" spans="1:28" ht="22.9" customHeight="1" x14ac:dyDescent="0.25">
      <c r="A942" s="39" t="s">
        <v>1927</v>
      </c>
      <c r="B942" s="3" t="s">
        <v>288</v>
      </c>
      <c r="C942" s="7">
        <f t="shared" si="1332"/>
        <v>5403960</v>
      </c>
      <c r="D942" s="2">
        <f t="shared" si="1333"/>
        <v>1099540</v>
      </c>
      <c r="E942" s="2">
        <f>700*422.9</f>
        <v>296030</v>
      </c>
      <c r="F942" s="2">
        <f>1300*422.9</f>
        <v>549770</v>
      </c>
      <c r="G942" s="2">
        <f>300*422.9</f>
        <v>126870</v>
      </c>
      <c r="H942" s="2">
        <v>0</v>
      </c>
      <c r="I942" s="2">
        <f>300*422.9</f>
        <v>126870</v>
      </c>
      <c r="J942" s="2">
        <v>0</v>
      </c>
      <c r="K942" s="21">
        <v>0</v>
      </c>
      <c r="L942" s="2">
        <v>0</v>
      </c>
      <c r="M942" s="2" t="s">
        <v>1155</v>
      </c>
      <c r="N942" s="2">
        <f t="shared" si="1327"/>
        <v>2791140</v>
      </c>
      <c r="O942" s="2">
        <v>50</v>
      </c>
      <c r="P942" s="2">
        <f t="shared" si="1334"/>
        <v>60000</v>
      </c>
      <c r="Q942" s="2" t="s">
        <v>1155</v>
      </c>
      <c r="R942" s="2">
        <f t="shared" si="1318"/>
        <v>1353280</v>
      </c>
      <c r="S942" s="2">
        <v>0</v>
      </c>
      <c r="T942" s="2">
        <v>100000</v>
      </c>
      <c r="U942" s="6">
        <f t="shared" si="1329"/>
        <v>6600</v>
      </c>
      <c r="V942" s="1"/>
      <c r="W942" s="1"/>
      <c r="X942" s="1"/>
      <c r="Y942" s="1"/>
      <c r="Z942" s="1"/>
      <c r="AA942" s="1"/>
      <c r="AB942" s="3"/>
    </row>
    <row r="943" spans="1:28" ht="45" customHeight="1" x14ac:dyDescent="0.25">
      <c r="A943" s="43" t="s">
        <v>291</v>
      </c>
      <c r="B943" s="43"/>
      <c r="C943" s="1">
        <f>SUM(C944)</f>
        <v>4846750</v>
      </c>
      <c r="D943" s="1">
        <f t="shared" ref="D943:T943" si="1335">SUM(D944)</f>
        <v>894010</v>
      </c>
      <c r="E943" s="1">
        <f t="shared" si="1335"/>
        <v>481390.00000000006</v>
      </c>
      <c r="F943" s="1">
        <f t="shared" si="1335"/>
        <v>0</v>
      </c>
      <c r="G943" s="1">
        <f t="shared" si="1335"/>
        <v>206310</v>
      </c>
      <c r="H943" s="1">
        <f t="shared" si="1335"/>
        <v>0</v>
      </c>
      <c r="I943" s="1">
        <f t="shared" si="1335"/>
        <v>206310</v>
      </c>
      <c r="J943" s="1">
        <f t="shared" si="1335"/>
        <v>0</v>
      </c>
      <c r="K943" s="33">
        <f t="shared" si="1335"/>
        <v>0</v>
      </c>
      <c r="L943" s="1">
        <f t="shared" si="1335"/>
        <v>0</v>
      </c>
      <c r="M943" s="1">
        <f t="shared" si="1335"/>
        <v>374.1</v>
      </c>
      <c r="N943" s="1">
        <f t="shared" si="1335"/>
        <v>2469060</v>
      </c>
      <c r="O943" s="1">
        <f t="shared" si="1335"/>
        <v>0</v>
      </c>
      <c r="P943" s="1">
        <f t="shared" si="1335"/>
        <v>0</v>
      </c>
      <c r="Q943" s="1">
        <f t="shared" si="1335"/>
        <v>432.4</v>
      </c>
      <c r="R943" s="1">
        <f t="shared" si="1335"/>
        <v>1383680</v>
      </c>
      <c r="S943" s="1">
        <f t="shared" si="1335"/>
        <v>0</v>
      </c>
      <c r="T943" s="1">
        <f t="shared" si="1335"/>
        <v>100000</v>
      </c>
      <c r="U943" s="3" t="e">
        <f>C943+#REF!+#REF!</f>
        <v>#REF!</v>
      </c>
    </row>
    <row r="944" spans="1:28" ht="22.9" customHeight="1" x14ac:dyDescent="0.25">
      <c r="A944" s="39" t="s">
        <v>1928</v>
      </c>
      <c r="B944" s="9" t="s">
        <v>292</v>
      </c>
      <c r="C944" s="7">
        <f t="shared" ref="C944" si="1336">D944+L944+N944+P944+R944+S944+T944</f>
        <v>4846750</v>
      </c>
      <c r="D944" s="2">
        <f t="shared" ref="D944" si="1337">SUM(E944:J944)</f>
        <v>894010</v>
      </c>
      <c r="E944" s="2">
        <f>700*687.7</f>
        <v>481390.00000000006</v>
      </c>
      <c r="F944" s="2">
        <v>0</v>
      </c>
      <c r="G944" s="2">
        <f>300*687.7</f>
        <v>206310</v>
      </c>
      <c r="H944" s="2">
        <v>0</v>
      </c>
      <c r="I944" s="2">
        <f>300*687.7</f>
        <v>206310</v>
      </c>
      <c r="J944" s="2">
        <v>0</v>
      </c>
      <c r="K944" s="21">
        <v>0</v>
      </c>
      <c r="L944" s="2">
        <v>0</v>
      </c>
      <c r="M944" s="18">
        <v>374.1</v>
      </c>
      <c r="N944" s="2">
        <f t="shared" si="1327"/>
        <v>2469060</v>
      </c>
      <c r="O944" s="2">
        <v>0</v>
      </c>
      <c r="P944" s="2">
        <v>0</v>
      </c>
      <c r="Q944" s="18">
        <v>432.4</v>
      </c>
      <c r="R944" s="2">
        <f t="shared" si="1318"/>
        <v>1383680</v>
      </c>
      <c r="S944" s="2">
        <v>0</v>
      </c>
      <c r="T944" s="2">
        <v>100000</v>
      </c>
      <c r="U944" s="6">
        <f t="shared" ref="U944" si="1338">N944/M944</f>
        <v>6600</v>
      </c>
      <c r="V944" s="1"/>
      <c r="W944" s="1"/>
      <c r="X944" s="1"/>
      <c r="Y944" s="1"/>
      <c r="Z944" s="1"/>
      <c r="AA944" s="1"/>
      <c r="AB944" s="3"/>
    </row>
    <row r="945" spans="1:27" ht="40.15" customHeight="1" x14ac:dyDescent="0.25">
      <c r="A945" s="43" t="s">
        <v>293</v>
      </c>
      <c r="B945" s="43"/>
      <c r="C945" s="1">
        <f>SUM(C946)</f>
        <v>4922520</v>
      </c>
      <c r="D945" s="1">
        <f t="shared" ref="D945:T945" si="1339">SUM(D946)</f>
        <v>502800</v>
      </c>
      <c r="E945" s="1">
        <f t="shared" si="1339"/>
        <v>351960</v>
      </c>
      <c r="F945" s="1">
        <f t="shared" si="1339"/>
        <v>0</v>
      </c>
      <c r="G945" s="1">
        <f t="shared" si="1339"/>
        <v>150840</v>
      </c>
      <c r="H945" s="1">
        <f t="shared" si="1339"/>
        <v>0</v>
      </c>
      <c r="I945" s="1">
        <f t="shared" si="1339"/>
        <v>0</v>
      </c>
      <c r="J945" s="1">
        <f t="shared" si="1339"/>
        <v>0</v>
      </c>
      <c r="K945" s="33">
        <f t="shared" si="1339"/>
        <v>0</v>
      </c>
      <c r="L945" s="1">
        <f t="shared" si="1339"/>
        <v>0</v>
      </c>
      <c r="M945" s="1">
        <f t="shared" si="1339"/>
        <v>438.6</v>
      </c>
      <c r="N945" s="1">
        <f t="shared" si="1339"/>
        <v>2894760</v>
      </c>
      <c r="O945" s="1">
        <f t="shared" si="1339"/>
        <v>0</v>
      </c>
      <c r="P945" s="1">
        <f t="shared" si="1339"/>
        <v>0</v>
      </c>
      <c r="Q945" s="1">
        <f t="shared" si="1339"/>
        <v>445.3</v>
      </c>
      <c r="R945" s="1">
        <f t="shared" si="1339"/>
        <v>1424960</v>
      </c>
      <c r="S945" s="1">
        <f t="shared" si="1339"/>
        <v>0</v>
      </c>
      <c r="T945" s="1">
        <f t="shared" si="1339"/>
        <v>100000</v>
      </c>
      <c r="U945" s="3" t="e">
        <f>C945+#REF!+#REF!</f>
        <v>#REF!</v>
      </c>
    </row>
    <row r="946" spans="1:27" ht="22.9" customHeight="1" x14ac:dyDescent="0.25">
      <c r="A946" s="39" t="s">
        <v>1929</v>
      </c>
      <c r="B946" s="9" t="s">
        <v>297</v>
      </c>
      <c r="C946" s="7">
        <f t="shared" ref="C946" si="1340">D946+L946+N946+P946+R946+S946+T946</f>
        <v>4922520</v>
      </c>
      <c r="D946" s="2">
        <f t="shared" ref="D946" si="1341">SUM(E946:J946)</f>
        <v>502800</v>
      </c>
      <c r="E946" s="2">
        <f>700*502.8</f>
        <v>351960</v>
      </c>
      <c r="F946" s="2">
        <v>0</v>
      </c>
      <c r="G946" s="2">
        <f>300*502.8</f>
        <v>150840</v>
      </c>
      <c r="H946" s="2">
        <v>0</v>
      </c>
      <c r="I946" s="2">
        <v>0</v>
      </c>
      <c r="J946" s="2">
        <v>0</v>
      </c>
      <c r="K946" s="21">
        <v>0</v>
      </c>
      <c r="L946" s="2">
        <v>0</v>
      </c>
      <c r="M946" s="18">
        <v>438.6</v>
      </c>
      <c r="N946" s="2">
        <f t="shared" si="1327"/>
        <v>2894760</v>
      </c>
      <c r="O946" s="2">
        <v>0</v>
      </c>
      <c r="P946" s="2">
        <v>0</v>
      </c>
      <c r="Q946" s="18">
        <v>445.3</v>
      </c>
      <c r="R946" s="2">
        <f t="shared" si="1318"/>
        <v>1424960</v>
      </c>
      <c r="S946" s="2">
        <v>0</v>
      </c>
      <c r="T946" s="2">
        <v>100000</v>
      </c>
      <c r="U946" s="6">
        <f t="shared" ref="U946" si="1342">N946/M946</f>
        <v>6600</v>
      </c>
      <c r="V946" s="1"/>
      <c r="W946" s="1"/>
      <c r="X946" s="1"/>
      <c r="Y946" s="1"/>
      <c r="Z946" s="1"/>
      <c r="AA946" s="3"/>
    </row>
    <row r="947" spans="1:27" ht="45" customHeight="1" x14ac:dyDescent="0.25">
      <c r="A947" s="43" t="s">
        <v>303</v>
      </c>
      <c r="B947" s="43"/>
      <c r="C947" s="1">
        <f>SUM(C948)</f>
        <v>1846750</v>
      </c>
      <c r="D947" s="1">
        <f t="shared" ref="D947:T947" si="1343">SUM(D948)</f>
        <v>0</v>
      </c>
      <c r="E947" s="1">
        <f t="shared" si="1343"/>
        <v>0</v>
      </c>
      <c r="F947" s="1">
        <f t="shared" si="1343"/>
        <v>0</v>
      </c>
      <c r="G947" s="1">
        <f t="shared" si="1343"/>
        <v>0</v>
      </c>
      <c r="H947" s="1">
        <f t="shared" si="1343"/>
        <v>0</v>
      </c>
      <c r="I947" s="1">
        <f t="shared" si="1343"/>
        <v>0</v>
      </c>
      <c r="J947" s="1">
        <f t="shared" si="1343"/>
        <v>0</v>
      </c>
      <c r="K947" s="33">
        <f t="shared" si="1343"/>
        <v>0</v>
      </c>
      <c r="L947" s="1">
        <f t="shared" si="1343"/>
        <v>0</v>
      </c>
      <c r="M947" s="1">
        <f t="shared" si="1343"/>
        <v>415</v>
      </c>
      <c r="N947" s="1">
        <f t="shared" si="1343"/>
        <v>1846750</v>
      </c>
      <c r="O947" s="1">
        <f t="shared" si="1343"/>
        <v>0</v>
      </c>
      <c r="P947" s="1">
        <f t="shared" si="1343"/>
        <v>0</v>
      </c>
      <c r="Q947" s="1">
        <f t="shared" si="1343"/>
        <v>0</v>
      </c>
      <c r="R947" s="1">
        <f t="shared" si="1343"/>
        <v>0</v>
      </c>
      <c r="S947" s="1">
        <f t="shared" si="1343"/>
        <v>0</v>
      </c>
      <c r="T947" s="1">
        <f t="shared" si="1343"/>
        <v>0</v>
      </c>
      <c r="U947" s="3" t="e">
        <f>C947+#REF!+#REF!</f>
        <v>#REF!</v>
      </c>
    </row>
    <row r="948" spans="1:27" ht="22.9" customHeight="1" x14ac:dyDescent="0.25">
      <c r="A948" s="39" t="s">
        <v>1930</v>
      </c>
      <c r="B948" s="9" t="s">
        <v>306</v>
      </c>
      <c r="C948" s="7">
        <f t="shared" ref="C948" si="1344">D948+L948+N948+P948+R948+S948+T948</f>
        <v>1846750</v>
      </c>
      <c r="D948" s="2">
        <f t="shared" ref="D948" si="1345">SUM(E948:J948)</f>
        <v>0</v>
      </c>
      <c r="E948" s="2">
        <v>0</v>
      </c>
      <c r="F948" s="2">
        <v>0</v>
      </c>
      <c r="G948" s="2">
        <v>0</v>
      </c>
      <c r="H948" s="2">
        <v>0</v>
      </c>
      <c r="I948" s="2">
        <v>0</v>
      </c>
      <c r="J948" s="2">
        <v>0</v>
      </c>
      <c r="K948" s="21">
        <v>0</v>
      </c>
      <c r="L948" s="2">
        <v>0</v>
      </c>
      <c r="M948" s="2">
        <v>415</v>
      </c>
      <c r="N948" s="2">
        <f>M948*4450</f>
        <v>1846750</v>
      </c>
      <c r="O948" s="2">
        <v>0</v>
      </c>
      <c r="P948" s="2">
        <v>0</v>
      </c>
      <c r="Q948" s="2">
        <v>0</v>
      </c>
      <c r="R948" s="2">
        <v>0</v>
      </c>
      <c r="S948" s="2">
        <v>0</v>
      </c>
      <c r="T948" s="2">
        <v>0</v>
      </c>
      <c r="U948" s="6">
        <f>N948/M948</f>
        <v>4450</v>
      </c>
      <c r="V948" s="1"/>
      <c r="W948" s="1"/>
      <c r="X948" s="1"/>
      <c r="Y948" s="1"/>
      <c r="Z948" s="1"/>
      <c r="AA948" s="3"/>
    </row>
    <row r="949" spans="1:27" ht="45" customHeight="1" x14ac:dyDescent="0.25">
      <c r="A949" s="43" t="s">
        <v>307</v>
      </c>
      <c r="B949" s="43"/>
      <c r="C949" s="1">
        <f>SUM(C950:C952)</f>
        <v>9542030</v>
      </c>
      <c r="D949" s="1">
        <f t="shared" ref="D949:T949" si="1346">SUM(D950:D952)</f>
        <v>1511980</v>
      </c>
      <c r="E949" s="1">
        <f t="shared" si="1346"/>
        <v>801220</v>
      </c>
      <c r="F949" s="1">
        <f t="shared" si="1346"/>
        <v>401700</v>
      </c>
      <c r="G949" s="1">
        <f t="shared" si="1346"/>
        <v>92700</v>
      </c>
      <c r="H949" s="1">
        <f t="shared" si="1346"/>
        <v>123600</v>
      </c>
      <c r="I949" s="1">
        <f t="shared" si="1346"/>
        <v>92760</v>
      </c>
      <c r="J949" s="1">
        <f t="shared" si="1346"/>
        <v>0</v>
      </c>
      <c r="K949" s="33">
        <f t="shared" si="1346"/>
        <v>0</v>
      </c>
      <c r="L949" s="1">
        <f t="shared" si="1346"/>
        <v>0</v>
      </c>
      <c r="M949" s="1">
        <f t="shared" si="1346"/>
        <v>1137</v>
      </c>
      <c r="N949" s="1">
        <f t="shared" si="1346"/>
        <v>5059650</v>
      </c>
      <c r="O949" s="1">
        <f t="shared" si="1346"/>
        <v>50</v>
      </c>
      <c r="P949" s="1">
        <f t="shared" si="1346"/>
        <v>60000</v>
      </c>
      <c r="Q949" s="1">
        <f t="shared" si="1346"/>
        <v>722</v>
      </c>
      <c r="R949" s="1">
        <f t="shared" si="1346"/>
        <v>2310400</v>
      </c>
      <c r="S949" s="1">
        <f t="shared" si="1346"/>
        <v>300000</v>
      </c>
      <c r="T949" s="1">
        <f t="shared" si="1346"/>
        <v>300000</v>
      </c>
      <c r="U949" s="3" t="e">
        <f>C949+#REF!+#REF!</f>
        <v>#REF!</v>
      </c>
    </row>
    <row r="950" spans="1:27" ht="22.9" customHeight="1" x14ac:dyDescent="0.25">
      <c r="A950" s="39" t="s">
        <v>1931</v>
      </c>
      <c r="B950" s="9" t="s">
        <v>313</v>
      </c>
      <c r="C950" s="7">
        <f t="shared" ref="C950:C952" si="1347">D950+L950+N950+P950+R950+S950+T950</f>
        <v>3547360</v>
      </c>
      <c r="D950" s="2">
        <f t="shared" ref="D950:D952" si="1348">SUM(E950:J950)</f>
        <v>927060</v>
      </c>
      <c r="E950" s="2">
        <f>700*309</f>
        <v>216300</v>
      </c>
      <c r="F950" s="2">
        <f>1300*309</f>
        <v>401700</v>
      </c>
      <c r="G950" s="2">
        <f>300*309</f>
        <v>92700</v>
      </c>
      <c r="H950" s="2">
        <f>400*309</f>
        <v>123600</v>
      </c>
      <c r="I950" s="2">
        <f>300*309.2</f>
        <v>92760</v>
      </c>
      <c r="J950" s="2">
        <v>0</v>
      </c>
      <c r="K950" s="21">
        <v>0</v>
      </c>
      <c r="L950" s="2">
        <v>0</v>
      </c>
      <c r="M950" s="2">
        <v>302</v>
      </c>
      <c r="N950" s="2">
        <f>M950*4450</f>
        <v>1343900</v>
      </c>
      <c r="O950" s="2">
        <v>50</v>
      </c>
      <c r="P950" s="2">
        <f t="shared" ref="P950" si="1349">O950*1200</f>
        <v>60000</v>
      </c>
      <c r="Q950" s="2">
        <v>302</v>
      </c>
      <c r="R950" s="2">
        <f t="shared" ref="R950" si="1350">Q950*3200</f>
        <v>966400</v>
      </c>
      <c r="S950" s="2">
        <v>150000</v>
      </c>
      <c r="T950" s="2">
        <v>100000</v>
      </c>
      <c r="U950" s="6">
        <f t="shared" ref="U950:U952" si="1351">N950/M950</f>
        <v>4450</v>
      </c>
      <c r="V950" s="1"/>
      <c r="W950" s="1"/>
      <c r="X950" s="1"/>
      <c r="Y950" s="1"/>
      <c r="Z950" s="1"/>
      <c r="AA950" s="3"/>
    </row>
    <row r="951" spans="1:27" ht="22.9" customHeight="1" x14ac:dyDescent="0.25">
      <c r="A951" s="39" t="s">
        <v>1932</v>
      </c>
      <c r="B951" s="9" t="s">
        <v>314</v>
      </c>
      <c r="C951" s="7">
        <f t="shared" si="1347"/>
        <v>2237670</v>
      </c>
      <c r="D951" s="2">
        <f t="shared" si="1348"/>
        <v>290920</v>
      </c>
      <c r="E951" s="2">
        <f>700*415.6</f>
        <v>290920</v>
      </c>
      <c r="F951" s="2">
        <v>0</v>
      </c>
      <c r="G951" s="2">
        <v>0</v>
      </c>
      <c r="H951" s="2">
        <v>0</v>
      </c>
      <c r="I951" s="2">
        <v>0</v>
      </c>
      <c r="J951" s="2">
        <v>0</v>
      </c>
      <c r="K951" s="21">
        <v>0</v>
      </c>
      <c r="L951" s="2">
        <v>0</v>
      </c>
      <c r="M951" s="2">
        <v>415</v>
      </c>
      <c r="N951" s="2">
        <f>M951*4450</f>
        <v>1846750</v>
      </c>
      <c r="O951" s="2">
        <v>0</v>
      </c>
      <c r="P951" s="2">
        <v>0</v>
      </c>
      <c r="Q951" s="2">
        <v>0</v>
      </c>
      <c r="R951" s="2">
        <v>0</v>
      </c>
      <c r="S951" s="2">
        <v>0</v>
      </c>
      <c r="T951" s="2">
        <v>100000</v>
      </c>
      <c r="U951" s="6">
        <f t="shared" si="1351"/>
        <v>4450</v>
      </c>
      <c r="V951" s="1"/>
      <c r="W951" s="1"/>
      <c r="X951" s="1"/>
      <c r="Y951" s="1"/>
      <c r="Z951" s="1"/>
      <c r="AA951" s="3"/>
    </row>
    <row r="952" spans="1:27" ht="22.9" customHeight="1" x14ac:dyDescent="0.25">
      <c r="A952" s="39" t="s">
        <v>1933</v>
      </c>
      <c r="B952" s="9" t="s">
        <v>315</v>
      </c>
      <c r="C952" s="7">
        <f t="shared" si="1347"/>
        <v>3757000</v>
      </c>
      <c r="D952" s="2">
        <f t="shared" si="1348"/>
        <v>294000</v>
      </c>
      <c r="E952" s="2">
        <f>700*420</f>
        <v>294000</v>
      </c>
      <c r="F952" s="2">
        <v>0</v>
      </c>
      <c r="G952" s="2">
        <v>0</v>
      </c>
      <c r="H952" s="2">
        <v>0</v>
      </c>
      <c r="I952" s="2">
        <v>0</v>
      </c>
      <c r="J952" s="2">
        <v>0</v>
      </c>
      <c r="K952" s="21">
        <v>0</v>
      </c>
      <c r="L952" s="2">
        <v>0</v>
      </c>
      <c r="M952" s="2">
        <v>420</v>
      </c>
      <c r="N952" s="2">
        <f>M952*4450</f>
        <v>1869000</v>
      </c>
      <c r="O952" s="2">
        <v>0</v>
      </c>
      <c r="P952" s="2">
        <v>0</v>
      </c>
      <c r="Q952" s="2">
        <v>420</v>
      </c>
      <c r="R952" s="2">
        <f t="shared" ref="R952" si="1352">Q952*3200</f>
        <v>1344000</v>
      </c>
      <c r="S952" s="2">
        <v>150000</v>
      </c>
      <c r="T952" s="2">
        <v>100000</v>
      </c>
      <c r="U952" s="6">
        <f t="shared" si="1351"/>
        <v>4450</v>
      </c>
      <c r="V952" s="1"/>
      <c r="W952" s="1"/>
      <c r="X952" s="1"/>
      <c r="Y952" s="1"/>
      <c r="Z952" s="1"/>
      <c r="AA952" s="3"/>
    </row>
    <row r="953" spans="1:27" ht="45" customHeight="1" x14ac:dyDescent="0.25">
      <c r="A953" s="43" t="s">
        <v>316</v>
      </c>
      <c r="B953" s="43"/>
      <c r="C953" s="1">
        <f>SUM(C954:C955)</f>
        <v>7713280</v>
      </c>
      <c r="D953" s="1">
        <f t="shared" ref="D953:T953" si="1353">SUM(D954:D955)</f>
        <v>536480</v>
      </c>
      <c r="E953" s="1">
        <f t="shared" si="1353"/>
        <v>536480</v>
      </c>
      <c r="F953" s="1">
        <f t="shared" si="1353"/>
        <v>0</v>
      </c>
      <c r="G953" s="1">
        <f t="shared" si="1353"/>
        <v>0</v>
      </c>
      <c r="H953" s="1">
        <f t="shared" si="1353"/>
        <v>0</v>
      </c>
      <c r="I953" s="1">
        <f t="shared" si="1353"/>
        <v>0</v>
      </c>
      <c r="J953" s="1">
        <f t="shared" si="1353"/>
        <v>0</v>
      </c>
      <c r="K953" s="33">
        <f t="shared" si="1353"/>
        <v>0</v>
      </c>
      <c r="L953" s="1">
        <f t="shared" si="1353"/>
        <v>0</v>
      </c>
      <c r="M953" s="1">
        <f t="shared" si="1353"/>
        <v>680</v>
      </c>
      <c r="N953" s="1">
        <f t="shared" si="1353"/>
        <v>4488000</v>
      </c>
      <c r="O953" s="1">
        <f t="shared" si="1353"/>
        <v>0</v>
      </c>
      <c r="P953" s="1">
        <f t="shared" si="1353"/>
        <v>0</v>
      </c>
      <c r="Q953" s="1">
        <f t="shared" si="1353"/>
        <v>684</v>
      </c>
      <c r="R953" s="1">
        <f t="shared" si="1353"/>
        <v>2188800</v>
      </c>
      <c r="S953" s="1">
        <f t="shared" si="1353"/>
        <v>300000</v>
      </c>
      <c r="T953" s="1">
        <f t="shared" si="1353"/>
        <v>200000</v>
      </c>
      <c r="U953" s="3" t="e">
        <f>C953+#REF!+#REF!</f>
        <v>#REF!</v>
      </c>
    </row>
    <row r="954" spans="1:27" ht="22.9" customHeight="1" x14ac:dyDescent="0.25">
      <c r="A954" s="39" t="s">
        <v>1934</v>
      </c>
      <c r="B954" s="9" t="s">
        <v>321</v>
      </c>
      <c r="C954" s="7">
        <f t="shared" ref="C954:C955" si="1354">D954+L954+N954+P954+R954+S954+T954</f>
        <v>3843200</v>
      </c>
      <c r="D954" s="2">
        <f t="shared" ref="D954:D955" si="1355">SUM(E954:J954)</f>
        <v>263200</v>
      </c>
      <c r="E954" s="2">
        <f>700*376</f>
        <v>263200</v>
      </c>
      <c r="F954" s="2">
        <v>0</v>
      </c>
      <c r="G954" s="2">
        <v>0</v>
      </c>
      <c r="H954" s="2">
        <v>0</v>
      </c>
      <c r="I954" s="2">
        <v>0</v>
      </c>
      <c r="J954" s="2">
        <v>0</v>
      </c>
      <c r="K954" s="21">
        <v>0</v>
      </c>
      <c r="L954" s="2">
        <v>0</v>
      </c>
      <c r="M954" s="18">
        <v>330</v>
      </c>
      <c r="N954" s="2">
        <f t="shared" ref="N954:N957" si="1356">M954*6600</f>
        <v>2178000</v>
      </c>
      <c r="O954" s="2">
        <v>0</v>
      </c>
      <c r="P954" s="2">
        <v>0</v>
      </c>
      <c r="Q954" s="18">
        <v>360</v>
      </c>
      <c r="R954" s="2">
        <f t="shared" ref="R954:R955" si="1357">Q954*3200</f>
        <v>1152000</v>
      </c>
      <c r="S954" s="2">
        <v>150000</v>
      </c>
      <c r="T954" s="2">
        <v>100000</v>
      </c>
      <c r="U954" s="6">
        <f t="shared" ref="U954:U955" si="1358">N954/M954</f>
        <v>6600</v>
      </c>
      <c r="V954" s="1"/>
      <c r="W954" s="1"/>
      <c r="X954" s="1"/>
      <c r="Y954" s="1"/>
      <c r="Z954" s="1"/>
      <c r="AA954" s="3"/>
    </row>
    <row r="955" spans="1:27" ht="22.9" customHeight="1" x14ac:dyDescent="0.25">
      <c r="A955" s="39" t="s">
        <v>1935</v>
      </c>
      <c r="B955" s="9" t="s">
        <v>322</v>
      </c>
      <c r="C955" s="7">
        <f t="shared" si="1354"/>
        <v>3870080</v>
      </c>
      <c r="D955" s="2">
        <f t="shared" si="1355"/>
        <v>273280</v>
      </c>
      <c r="E955" s="2">
        <f>700*390.4</f>
        <v>273280</v>
      </c>
      <c r="F955" s="2">
        <v>0</v>
      </c>
      <c r="G955" s="2">
        <v>0</v>
      </c>
      <c r="H955" s="2">
        <v>0</v>
      </c>
      <c r="I955" s="2">
        <v>0</v>
      </c>
      <c r="J955" s="2">
        <v>0</v>
      </c>
      <c r="K955" s="21">
        <v>0</v>
      </c>
      <c r="L955" s="2">
        <v>0</v>
      </c>
      <c r="M955" s="18">
        <v>350</v>
      </c>
      <c r="N955" s="2">
        <f t="shared" si="1356"/>
        <v>2310000</v>
      </c>
      <c r="O955" s="2">
        <v>0</v>
      </c>
      <c r="P955" s="2">
        <v>0</v>
      </c>
      <c r="Q955" s="18">
        <v>324</v>
      </c>
      <c r="R955" s="2">
        <f t="shared" si="1357"/>
        <v>1036800</v>
      </c>
      <c r="S955" s="2">
        <v>150000</v>
      </c>
      <c r="T955" s="2">
        <v>100000</v>
      </c>
      <c r="U955" s="6">
        <f t="shared" si="1358"/>
        <v>6600</v>
      </c>
      <c r="V955" s="1"/>
      <c r="W955" s="1"/>
      <c r="X955" s="1"/>
      <c r="Y955" s="1"/>
      <c r="Z955" s="1"/>
      <c r="AA955" s="3"/>
    </row>
    <row r="956" spans="1:27" ht="45" customHeight="1" x14ac:dyDescent="0.25">
      <c r="A956" s="43" t="s">
        <v>323</v>
      </c>
      <c r="B956" s="43"/>
      <c r="C956" s="1">
        <f>SUM(C957:C958)</f>
        <v>5397470</v>
      </c>
      <c r="D956" s="1">
        <f t="shared" ref="D956:T956" si="1359">SUM(D957:D958)</f>
        <v>651790</v>
      </c>
      <c r="E956" s="1">
        <f t="shared" si="1359"/>
        <v>540400</v>
      </c>
      <c r="F956" s="1">
        <f t="shared" si="1359"/>
        <v>0</v>
      </c>
      <c r="G956" s="1">
        <f t="shared" si="1359"/>
        <v>111390</v>
      </c>
      <c r="H956" s="1">
        <f t="shared" si="1359"/>
        <v>0</v>
      </c>
      <c r="I956" s="1">
        <f t="shared" si="1359"/>
        <v>0</v>
      </c>
      <c r="J956" s="1">
        <f t="shared" si="1359"/>
        <v>0</v>
      </c>
      <c r="K956" s="33">
        <f t="shared" si="1359"/>
        <v>0</v>
      </c>
      <c r="L956" s="1">
        <f t="shared" si="1359"/>
        <v>0</v>
      </c>
      <c r="M956" s="1">
        <f t="shared" si="1359"/>
        <v>278.8</v>
      </c>
      <c r="N956" s="1">
        <f t="shared" si="1359"/>
        <v>1840080</v>
      </c>
      <c r="O956" s="1">
        <f t="shared" si="1359"/>
        <v>0</v>
      </c>
      <c r="P956" s="1">
        <f t="shared" si="1359"/>
        <v>0</v>
      </c>
      <c r="Q956" s="1">
        <f t="shared" si="1359"/>
        <v>845.5</v>
      </c>
      <c r="R956" s="1">
        <f t="shared" si="1359"/>
        <v>2705600</v>
      </c>
      <c r="S956" s="1">
        <f t="shared" si="1359"/>
        <v>0</v>
      </c>
      <c r="T956" s="1">
        <f t="shared" si="1359"/>
        <v>200000</v>
      </c>
      <c r="U956" s="3" t="e">
        <f>C956+#REF!+#REF!</f>
        <v>#REF!</v>
      </c>
    </row>
    <row r="957" spans="1:27" ht="22.9" customHeight="1" x14ac:dyDescent="0.25">
      <c r="A957" s="39" t="s">
        <v>1936</v>
      </c>
      <c r="B957" s="9" t="s">
        <v>327</v>
      </c>
      <c r="C957" s="7">
        <f t="shared" ref="C957:C958" si="1360">D957+L957+N957+P957+R957+S957+T957</f>
        <v>3502100</v>
      </c>
      <c r="D957" s="2">
        <f t="shared" ref="D957:D958" si="1361">SUM(E957:J957)</f>
        <v>371300</v>
      </c>
      <c r="E957" s="2">
        <f>700*371.3</f>
        <v>259910</v>
      </c>
      <c r="F957" s="2">
        <v>0</v>
      </c>
      <c r="G957" s="2">
        <f>300*371.3</f>
        <v>111390</v>
      </c>
      <c r="H957" s="2">
        <v>0</v>
      </c>
      <c r="I957" s="2">
        <v>0</v>
      </c>
      <c r="J957" s="2">
        <v>0</v>
      </c>
      <c r="K957" s="21">
        <v>0</v>
      </c>
      <c r="L957" s="14">
        <v>0</v>
      </c>
      <c r="M957" s="18">
        <v>278.8</v>
      </c>
      <c r="N957" s="2">
        <f t="shared" si="1356"/>
        <v>1840080</v>
      </c>
      <c r="O957" s="18">
        <v>0</v>
      </c>
      <c r="P957" s="18">
        <v>0</v>
      </c>
      <c r="Q957" s="18">
        <v>372.1</v>
      </c>
      <c r="R957" s="2">
        <f t="shared" ref="R957:R958" si="1362">Q957*3200</f>
        <v>1190720</v>
      </c>
      <c r="S957" s="2">
        <v>0</v>
      </c>
      <c r="T957" s="2">
        <v>100000</v>
      </c>
      <c r="U957" s="28">
        <f t="shared" ref="U957:U958" si="1363">N957/M957</f>
        <v>6600</v>
      </c>
      <c r="V957" s="1"/>
      <c r="W957" s="1"/>
      <c r="X957" s="1"/>
      <c r="Y957" s="1"/>
      <c r="Z957" s="1"/>
      <c r="AA957" s="3"/>
    </row>
    <row r="958" spans="1:27" ht="22.9" customHeight="1" x14ac:dyDescent="0.25">
      <c r="A958" s="39" t="s">
        <v>1937</v>
      </c>
      <c r="B958" s="9" t="s">
        <v>328</v>
      </c>
      <c r="C958" s="7">
        <f t="shared" si="1360"/>
        <v>1895370</v>
      </c>
      <c r="D958" s="2">
        <f t="shared" si="1361"/>
        <v>280490</v>
      </c>
      <c r="E958" s="2">
        <f>700*400.7</f>
        <v>280490</v>
      </c>
      <c r="F958" s="2">
        <v>0</v>
      </c>
      <c r="G958" s="2">
        <v>0</v>
      </c>
      <c r="H958" s="2">
        <v>0</v>
      </c>
      <c r="I958" s="2">
        <v>0</v>
      </c>
      <c r="J958" s="2">
        <v>0</v>
      </c>
      <c r="K958" s="21">
        <v>0</v>
      </c>
      <c r="L958" s="14">
        <v>0</v>
      </c>
      <c r="M958" s="2">
        <v>0</v>
      </c>
      <c r="N958" s="2">
        <v>0</v>
      </c>
      <c r="O958" s="2">
        <v>0</v>
      </c>
      <c r="P958" s="2">
        <v>0</v>
      </c>
      <c r="Q958" s="18">
        <v>473.4</v>
      </c>
      <c r="R958" s="2">
        <f t="shared" si="1362"/>
        <v>1514880</v>
      </c>
      <c r="S958" s="2">
        <v>0</v>
      </c>
      <c r="T958" s="2">
        <v>100000</v>
      </c>
      <c r="U958" s="28" t="e">
        <f t="shared" si="1363"/>
        <v>#DIV/0!</v>
      </c>
      <c r="V958" s="1"/>
      <c r="W958" s="1"/>
      <c r="X958" s="1"/>
      <c r="Y958" s="1"/>
      <c r="Z958" s="1"/>
      <c r="AA958" s="3"/>
    </row>
    <row r="959" spans="1:27" ht="45" customHeight="1" x14ac:dyDescent="0.25">
      <c r="A959" s="43" t="s">
        <v>329</v>
      </c>
      <c r="B959" s="43"/>
      <c r="C959" s="1">
        <f>SUM(C960:C961)</f>
        <v>5661560</v>
      </c>
      <c r="D959" s="1">
        <f t="shared" ref="D959:T959" si="1364">SUM(D960:D961)</f>
        <v>720260</v>
      </c>
      <c r="E959" s="1">
        <f t="shared" si="1364"/>
        <v>594650</v>
      </c>
      <c r="F959" s="1">
        <f t="shared" si="1364"/>
        <v>0</v>
      </c>
      <c r="G959" s="1">
        <f t="shared" si="1364"/>
        <v>125610</v>
      </c>
      <c r="H959" s="1">
        <f t="shared" si="1364"/>
        <v>0</v>
      </c>
      <c r="I959" s="1">
        <f t="shared" si="1364"/>
        <v>0</v>
      </c>
      <c r="J959" s="1">
        <f t="shared" si="1364"/>
        <v>0</v>
      </c>
      <c r="K959" s="33">
        <f t="shared" si="1364"/>
        <v>0</v>
      </c>
      <c r="L959" s="1">
        <f t="shared" si="1364"/>
        <v>0</v>
      </c>
      <c r="M959" s="1">
        <f t="shared" si="1364"/>
        <v>283.3</v>
      </c>
      <c r="N959" s="1">
        <f t="shared" si="1364"/>
        <v>1869780</v>
      </c>
      <c r="O959" s="1">
        <f t="shared" si="1364"/>
        <v>0</v>
      </c>
      <c r="P959" s="1">
        <f t="shared" si="1364"/>
        <v>0</v>
      </c>
      <c r="Q959" s="1">
        <f t="shared" si="1364"/>
        <v>866.09999999999991</v>
      </c>
      <c r="R959" s="1">
        <f t="shared" si="1364"/>
        <v>2771520</v>
      </c>
      <c r="S959" s="1">
        <f t="shared" si="1364"/>
        <v>150000</v>
      </c>
      <c r="T959" s="1">
        <f t="shared" si="1364"/>
        <v>150000</v>
      </c>
      <c r="U959" s="12" t="e">
        <f>C959+#REF!+#REF!</f>
        <v>#REF!</v>
      </c>
    </row>
    <row r="960" spans="1:27" ht="22.9" customHeight="1" x14ac:dyDescent="0.25">
      <c r="A960" s="39" t="s">
        <v>1938</v>
      </c>
      <c r="B960" s="9" t="s">
        <v>332</v>
      </c>
      <c r="C960" s="7">
        <f t="shared" ref="C960:C961" si="1365">D960+L960+N960+P960+R960+S960+T960</f>
        <v>1734600</v>
      </c>
      <c r="D960" s="2">
        <f t="shared" ref="D960:D961" si="1366">SUM(E960:J960)</f>
        <v>301560</v>
      </c>
      <c r="E960" s="2">
        <f>700*430.8</f>
        <v>301560</v>
      </c>
      <c r="F960" s="2">
        <v>0</v>
      </c>
      <c r="G960" s="2">
        <v>0</v>
      </c>
      <c r="H960" s="2">
        <v>0</v>
      </c>
      <c r="I960" s="2">
        <v>0</v>
      </c>
      <c r="J960" s="2">
        <v>0</v>
      </c>
      <c r="K960" s="35">
        <v>0</v>
      </c>
      <c r="L960" s="14">
        <v>0</v>
      </c>
      <c r="M960" s="14">
        <v>0</v>
      </c>
      <c r="N960" s="14">
        <v>0</v>
      </c>
      <c r="O960" s="14">
        <v>0</v>
      </c>
      <c r="P960" s="14">
        <v>0</v>
      </c>
      <c r="Q960" s="18">
        <v>432.2</v>
      </c>
      <c r="R960" s="2">
        <f t="shared" ref="R960:R961" si="1367">Q960*3200</f>
        <v>1383040</v>
      </c>
      <c r="S960" s="14">
        <v>0</v>
      </c>
      <c r="T960" s="2">
        <v>50000</v>
      </c>
      <c r="U960" s="28" t="e">
        <f t="shared" ref="U960:U961" si="1368">N960/M960</f>
        <v>#DIV/0!</v>
      </c>
      <c r="V960" s="1"/>
      <c r="W960" s="1"/>
      <c r="X960" s="1"/>
      <c r="Y960" s="1"/>
      <c r="Z960" s="1"/>
      <c r="AA960" s="3"/>
    </row>
    <row r="961" spans="1:29" ht="22.9" customHeight="1" x14ac:dyDescent="0.25">
      <c r="A961" s="39" t="s">
        <v>1939</v>
      </c>
      <c r="B961" s="9" t="s">
        <v>333</v>
      </c>
      <c r="C961" s="7">
        <f t="shared" si="1365"/>
        <v>3926960</v>
      </c>
      <c r="D961" s="2">
        <f t="shared" si="1366"/>
        <v>418700</v>
      </c>
      <c r="E961" s="2">
        <f>700*418.7</f>
        <v>293090</v>
      </c>
      <c r="F961" s="2">
        <v>0</v>
      </c>
      <c r="G961" s="2">
        <f>300*418.7</f>
        <v>125610</v>
      </c>
      <c r="H961" s="2">
        <v>0</v>
      </c>
      <c r="I961" s="2">
        <v>0</v>
      </c>
      <c r="J961" s="2">
        <v>0</v>
      </c>
      <c r="K961" s="21">
        <v>0</v>
      </c>
      <c r="L961" s="14">
        <v>0</v>
      </c>
      <c r="M961" s="18">
        <v>283.3</v>
      </c>
      <c r="N961" s="2">
        <f t="shared" ref="N961" si="1369">M961*6600</f>
        <v>1869780</v>
      </c>
      <c r="O961" s="18">
        <v>0</v>
      </c>
      <c r="P961" s="18">
        <v>0</v>
      </c>
      <c r="Q961" s="18">
        <v>433.9</v>
      </c>
      <c r="R961" s="2">
        <f t="shared" si="1367"/>
        <v>1388480</v>
      </c>
      <c r="S961" s="18">
        <v>150000</v>
      </c>
      <c r="T961" s="18">
        <v>100000</v>
      </c>
      <c r="U961" s="28">
        <f t="shared" si="1368"/>
        <v>6600</v>
      </c>
      <c r="V961" s="1"/>
      <c r="W961" s="1"/>
      <c r="X961" s="1"/>
      <c r="Y961" s="1"/>
      <c r="Z961" s="1"/>
      <c r="AA961" s="3"/>
    </row>
    <row r="962" spans="1:29" ht="45" customHeight="1" x14ac:dyDescent="0.25">
      <c r="A962" s="43" t="s">
        <v>338</v>
      </c>
      <c r="B962" s="43"/>
      <c r="C962" s="1">
        <f>SUM(C963:C967)</f>
        <v>21876690</v>
      </c>
      <c r="D962" s="1">
        <f t="shared" ref="D962:T962" si="1370">SUM(D963:D967)</f>
        <v>7961600</v>
      </c>
      <c r="E962" s="1">
        <f t="shared" si="1370"/>
        <v>2280250</v>
      </c>
      <c r="F962" s="1">
        <f t="shared" si="1370"/>
        <v>3056300</v>
      </c>
      <c r="G962" s="1">
        <f t="shared" si="1370"/>
        <v>977250</v>
      </c>
      <c r="H962" s="1">
        <f t="shared" si="1370"/>
        <v>786200</v>
      </c>
      <c r="I962" s="1">
        <f t="shared" si="1370"/>
        <v>861600</v>
      </c>
      <c r="J962" s="1">
        <f t="shared" si="1370"/>
        <v>0</v>
      </c>
      <c r="K962" s="33">
        <f t="shared" si="1370"/>
        <v>0</v>
      </c>
      <c r="L962" s="11">
        <f t="shared" si="1370"/>
        <v>0</v>
      </c>
      <c r="M962" s="1">
        <f t="shared" si="1370"/>
        <v>1833.05</v>
      </c>
      <c r="N962" s="1">
        <f t="shared" si="1370"/>
        <v>10378130</v>
      </c>
      <c r="O962" s="1">
        <f t="shared" si="1370"/>
        <v>0</v>
      </c>
      <c r="P962" s="1">
        <f t="shared" si="1370"/>
        <v>0</v>
      </c>
      <c r="Q962" s="1">
        <f t="shared" si="1370"/>
        <v>980.3</v>
      </c>
      <c r="R962" s="1">
        <f t="shared" si="1370"/>
        <v>3136960</v>
      </c>
      <c r="S962" s="1">
        <f t="shared" si="1370"/>
        <v>0</v>
      </c>
      <c r="T962" s="1">
        <f t="shared" si="1370"/>
        <v>400000</v>
      </c>
      <c r="U962" s="12" t="e">
        <f>C962+#REF!+#REF!</f>
        <v>#REF!</v>
      </c>
    </row>
    <row r="963" spans="1:29" ht="22.9" customHeight="1" x14ac:dyDescent="0.25">
      <c r="A963" s="39" t="s">
        <v>1940</v>
      </c>
      <c r="B963" s="9" t="s">
        <v>348</v>
      </c>
      <c r="C963" s="7">
        <f>D963+L963+N963+P963+R963+S963+T963</f>
        <v>3560000</v>
      </c>
      <c r="D963" s="2">
        <f>SUM(E963:J963)</f>
        <v>0</v>
      </c>
      <c r="E963" s="8">
        <v>0</v>
      </c>
      <c r="F963" s="8">
        <v>0</v>
      </c>
      <c r="G963" s="8">
        <v>0</v>
      </c>
      <c r="H963" s="8">
        <v>0</v>
      </c>
      <c r="I963" s="8">
        <v>0</v>
      </c>
      <c r="J963" s="8">
        <v>0</v>
      </c>
      <c r="K963" s="32">
        <v>0</v>
      </c>
      <c r="L963" s="8">
        <v>0</v>
      </c>
      <c r="M963" s="2">
        <v>800</v>
      </c>
      <c r="N963" s="2">
        <f>M963*4450</f>
        <v>3560000</v>
      </c>
      <c r="O963" s="8">
        <v>0</v>
      </c>
      <c r="P963" s="8">
        <v>0</v>
      </c>
      <c r="Q963" s="8">
        <v>0</v>
      </c>
      <c r="R963" s="8">
        <v>0</v>
      </c>
      <c r="S963" s="8">
        <v>0</v>
      </c>
      <c r="T963" s="2">
        <v>0</v>
      </c>
      <c r="U963" s="6">
        <f t="shared" ref="U963:U967" si="1371">N963/M963</f>
        <v>4450</v>
      </c>
      <c r="V963" s="1"/>
      <c r="W963" s="1"/>
      <c r="X963" s="1"/>
      <c r="Y963" s="1"/>
      <c r="Z963" s="1"/>
      <c r="AA963" s="1"/>
      <c r="AB963" s="1"/>
      <c r="AC963" s="3"/>
    </row>
    <row r="964" spans="1:29" ht="22.9" customHeight="1" x14ac:dyDescent="0.25">
      <c r="A964" s="39" t="s">
        <v>1941</v>
      </c>
      <c r="B964" s="9" t="s">
        <v>349</v>
      </c>
      <c r="C964" s="7">
        <f>D964+L964+N964+P964+R964+S964+T964</f>
        <v>3061090</v>
      </c>
      <c r="D964" s="2">
        <f>SUM(E964:J964)</f>
        <v>886650</v>
      </c>
      <c r="E964" s="2">
        <f>700*385.5</f>
        <v>269850</v>
      </c>
      <c r="F964" s="2">
        <f>1300*385.5</f>
        <v>501150</v>
      </c>
      <c r="G964" s="2">
        <f>300*385.5</f>
        <v>115650</v>
      </c>
      <c r="H964" s="2">
        <v>0</v>
      </c>
      <c r="I964" s="2">
        <v>0</v>
      </c>
      <c r="J964" s="2">
        <v>0</v>
      </c>
      <c r="K964" s="32">
        <v>0</v>
      </c>
      <c r="L964" s="8">
        <v>0</v>
      </c>
      <c r="M964" s="18">
        <v>209</v>
      </c>
      <c r="N964" s="2">
        <f>M964*6600</f>
        <v>1379400</v>
      </c>
      <c r="O964" s="8">
        <v>0</v>
      </c>
      <c r="P964" s="8">
        <v>0</v>
      </c>
      <c r="Q964" s="18">
        <v>217.2</v>
      </c>
      <c r="R964" s="18">
        <f>Q964*3200</f>
        <v>695040</v>
      </c>
      <c r="S964" s="8">
        <v>0</v>
      </c>
      <c r="T964" s="2">
        <v>100000</v>
      </c>
      <c r="U964" s="6">
        <f t="shared" si="1371"/>
        <v>6600</v>
      </c>
      <c r="V964" s="1"/>
      <c r="W964" s="1"/>
      <c r="X964" s="1"/>
      <c r="Y964" s="1"/>
      <c r="Z964" s="1"/>
      <c r="AA964" s="1"/>
      <c r="AB964" s="1"/>
      <c r="AC964" s="3"/>
    </row>
    <row r="965" spans="1:29" ht="22.9" customHeight="1" x14ac:dyDescent="0.25">
      <c r="A965" s="39" t="s">
        <v>1942</v>
      </c>
      <c r="B965" s="9" t="s">
        <v>350</v>
      </c>
      <c r="C965" s="7">
        <f>D965+L965+N965+P965+R965+S965+T965</f>
        <v>5996500</v>
      </c>
      <c r="D965" s="2">
        <f>SUM(E965:J965)</f>
        <v>5896500</v>
      </c>
      <c r="E965" s="2">
        <f>700*1965.5</f>
        <v>1375850</v>
      </c>
      <c r="F965" s="2">
        <f>1300*1965.5</f>
        <v>2555150</v>
      </c>
      <c r="G965" s="2">
        <f>300*1965.5</f>
        <v>589650</v>
      </c>
      <c r="H965" s="2">
        <f>400*1965.5</f>
        <v>786200</v>
      </c>
      <c r="I965" s="2">
        <f>300*1965.5</f>
        <v>589650</v>
      </c>
      <c r="J965" s="2">
        <v>0</v>
      </c>
      <c r="K965" s="32">
        <v>0</v>
      </c>
      <c r="L965" s="8">
        <v>0</v>
      </c>
      <c r="M965" s="8">
        <v>0</v>
      </c>
      <c r="N965" s="8">
        <v>0</v>
      </c>
      <c r="O965" s="8">
        <v>0</v>
      </c>
      <c r="P965" s="8">
        <v>0</v>
      </c>
      <c r="Q965" s="8">
        <v>0</v>
      </c>
      <c r="R965" s="8">
        <v>0</v>
      </c>
      <c r="S965" s="8">
        <v>0</v>
      </c>
      <c r="T965" s="2">
        <v>100000</v>
      </c>
      <c r="U965" s="6" t="e">
        <f t="shared" si="1371"/>
        <v>#DIV/0!</v>
      </c>
      <c r="V965" s="1"/>
      <c r="W965" s="1"/>
      <c r="X965" s="1"/>
      <c r="Y965" s="1"/>
      <c r="Z965" s="1"/>
      <c r="AA965" s="1"/>
      <c r="AB965" s="1"/>
      <c r="AC965" s="3"/>
    </row>
    <row r="966" spans="1:29" ht="22.9" customHeight="1" x14ac:dyDescent="0.25">
      <c r="A966" s="39" t="s">
        <v>1943</v>
      </c>
      <c r="B966" s="3" t="s">
        <v>351</v>
      </c>
      <c r="C966" s="7">
        <f>D966+L966+N966+P966+R966+S966+T966</f>
        <v>5419900</v>
      </c>
      <c r="D966" s="2">
        <f t="shared" ref="D966:D967" si="1372">SUM(E966:J966)</f>
        <v>621660</v>
      </c>
      <c r="E966" s="2">
        <f>700*478.2</f>
        <v>334740</v>
      </c>
      <c r="F966" s="2">
        <v>0</v>
      </c>
      <c r="G966" s="2">
        <f>300*478.2</f>
        <v>143460</v>
      </c>
      <c r="H966" s="2">
        <v>0</v>
      </c>
      <c r="I966" s="2">
        <f>300*478.2</f>
        <v>143460</v>
      </c>
      <c r="J966" s="2">
        <v>0</v>
      </c>
      <c r="K966" s="32">
        <v>0</v>
      </c>
      <c r="L966" s="8">
        <v>0</v>
      </c>
      <c r="M966" s="18">
        <v>480</v>
      </c>
      <c r="N966" s="2">
        <f t="shared" ref="N966:N971" si="1373">M966*6600</f>
        <v>3168000</v>
      </c>
      <c r="O966" s="8">
        <v>0</v>
      </c>
      <c r="P966" s="8">
        <v>0</v>
      </c>
      <c r="Q966" s="18">
        <v>478.2</v>
      </c>
      <c r="R966" s="18">
        <f t="shared" ref="R966:R972" si="1374">Q966*3200</f>
        <v>1530240</v>
      </c>
      <c r="S966" s="8">
        <v>0</v>
      </c>
      <c r="T966" s="2">
        <v>100000</v>
      </c>
      <c r="U966" s="6">
        <f t="shared" si="1371"/>
        <v>6600</v>
      </c>
      <c r="V966" s="1"/>
      <c r="W966" s="1"/>
      <c r="X966" s="1"/>
      <c r="Y966" s="1"/>
      <c r="Z966" s="1"/>
      <c r="AA966" s="1"/>
      <c r="AB966" s="1"/>
      <c r="AC966" s="3"/>
    </row>
    <row r="967" spans="1:29" ht="22.9" customHeight="1" x14ac:dyDescent="0.25">
      <c r="A967" s="39" t="s">
        <v>1944</v>
      </c>
      <c r="B967" s="3" t="s">
        <v>352</v>
      </c>
      <c r="C967" s="7">
        <f>D967+L967+N967+P967+R967+S967+T967</f>
        <v>3839200</v>
      </c>
      <c r="D967" s="2">
        <f t="shared" si="1372"/>
        <v>556790</v>
      </c>
      <c r="E967" s="2">
        <f>700*428.3</f>
        <v>299810</v>
      </c>
      <c r="F967" s="2">
        <v>0</v>
      </c>
      <c r="G967" s="2">
        <f>300*428.3</f>
        <v>128490</v>
      </c>
      <c r="H967" s="2">
        <v>0</v>
      </c>
      <c r="I967" s="2">
        <f>300*428.3</f>
        <v>128490</v>
      </c>
      <c r="J967" s="2">
        <v>0</v>
      </c>
      <c r="K967" s="32">
        <v>0</v>
      </c>
      <c r="L967" s="8">
        <v>0</v>
      </c>
      <c r="M967" s="18">
        <v>344.05</v>
      </c>
      <c r="N967" s="2">
        <f t="shared" si="1373"/>
        <v>2270730</v>
      </c>
      <c r="O967" s="8">
        <v>0</v>
      </c>
      <c r="P967" s="8">
        <v>0</v>
      </c>
      <c r="Q967" s="18">
        <v>284.89999999999998</v>
      </c>
      <c r="R967" s="18">
        <f t="shared" si="1374"/>
        <v>911679.99999999988</v>
      </c>
      <c r="S967" s="8">
        <v>0</v>
      </c>
      <c r="T967" s="2">
        <v>100000</v>
      </c>
      <c r="U967" s="6">
        <f t="shared" si="1371"/>
        <v>6600</v>
      </c>
      <c r="V967" s="1"/>
      <c r="W967" s="1"/>
      <c r="X967" s="1"/>
      <c r="Y967" s="1"/>
      <c r="Z967" s="1"/>
      <c r="AA967" s="1"/>
      <c r="AB967" s="3"/>
    </row>
    <row r="968" spans="1:29" ht="45" customHeight="1" x14ac:dyDescent="0.25">
      <c r="A968" s="43" t="s">
        <v>353</v>
      </c>
      <c r="B968" s="43"/>
      <c r="C968" s="1">
        <f>SUM(C969:C973)</f>
        <v>18217760</v>
      </c>
      <c r="D968" s="1">
        <f t="shared" ref="D968:T968" si="1375">SUM(D969:D973)</f>
        <v>2593600</v>
      </c>
      <c r="E968" s="1">
        <f t="shared" si="1375"/>
        <v>1131200</v>
      </c>
      <c r="F968" s="1">
        <f t="shared" si="1375"/>
        <v>977600</v>
      </c>
      <c r="G968" s="1">
        <f t="shared" si="1375"/>
        <v>484800</v>
      </c>
      <c r="H968" s="1">
        <f t="shared" si="1375"/>
        <v>0</v>
      </c>
      <c r="I968" s="1">
        <f t="shared" si="1375"/>
        <v>0</v>
      </c>
      <c r="J968" s="1">
        <f t="shared" si="1375"/>
        <v>0</v>
      </c>
      <c r="K968" s="33">
        <f t="shared" si="1375"/>
        <v>0</v>
      </c>
      <c r="L968" s="1">
        <f t="shared" si="1375"/>
        <v>0</v>
      </c>
      <c r="M968" s="1">
        <f t="shared" si="1375"/>
        <v>920</v>
      </c>
      <c r="N968" s="1">
        <f t="shared" si="1375"/>
        <v>6072000</v>
      </c>
      <c r="O968" s="1">
        <f t="shared" si="1375"/>
        <v>100</v>
      </c>
      <c r="P968" s="1">
        <f t="shared" si="1375"/>
        <v>120000</v>
      </c>
      <c r="Q968" s="1">
        <f t="shared" si="1375"/>
        <v>2728.8</v>
      </c>
      <c r="R968" s="1">
        <f t="shared" si="1375"/>
        <v>8732160</v>
      </c>
      <c r="S968" s="1">
        <f t="shared" si="1375"/>
        <v>300000</v>
      </c>
      <c r="T968" s="1">
        <f t="shared" si="1375"/>
        <v>400000</v>
      </c>
      <c r="U968" s="3" t="e">
        <f>C968+#REF!+#REF!</f>
        <v>#REF!</v>
      </c>
    </row>
    <row r="969" spans="1:29" ht="22.9" customHeight="1" x14ac:dyDescent="0.25">
      <c r="A969" s="39" t="s">
        <v>1945</v>
      </c>
      <c r="B969" s="3" t="s">
        <v>364</v>
      </c>
      <c r="C969" s="8">
        <f>D969+L969+N969+P969+R969+S969+T969</f>
        <v>5535200</v>
      </c>
      <c r="D969" s="2">
        <f t="shared" ref="D969" si="1376">SUM(E969:J969)</f>
        <v>432000</v>
      </c>
      <c r="E969" s="2">
        <f>700*432</f>
        <v>302400</v>
      </c>
      <c r="F969" s="2">
        <v>0</v>
      </c>
      <c r="G969" s="2">
        <f>300*432</f>
        <v>129600</v>
      </c>
      <c r="H969" s="2">
        <v>0</v>
      </c>
      <c r="I969" s="2">
        <v>0</v>
      </c>
      <c r="J969" s="2">
        <v>0</v>
      </c>
      <c r="K969" s="21">
        <v>0</v>
      </c>
      <c r="L969" s="2">
        <v>0</v>
      </c>
      <c r="M969" s="18">
        <v>460</v>
      </c>
      <c r="N969" s="2">
        <f t="shared" si="1373"/>
        <v>3036000</v>
      </c>
      <c r="O969" s="18">
        <v>50</v>
      </c>
      <c r="P969" s="18">
        <f>O969*1200</f>
        <v>60000</v>
      </c>
      <c r="Q969" s="18">
        <v>596</v>
      </c>
      <c r="R969" s="18">
        <f t="shared" si="1374"/>
        <v>1907200</v>
      </c>
      <c r="S969" s="2">
        <v>0</v>
      </c>
      <c r="T969" s="2">
        <v>100000</v>
      </c>
      <c r="U969" s="6">
        <f>N969/M969</f>
        <v>6600</v>
      </c>
      <c r="V969" s="1"/>
      <c r="W969" s="1"/>
      <c r="X969" s="1"/>
      <c r="Y969" s="1"/>
      <c r="Z969" s="1"/>
      <c r="AA969" s="1"/>
      <c r="AB969" s="3"/>
    </row>
    <row r="970" spans="1:29" ht="22.9" customHeight="1" x14ac:dyDescent="0.25">
      <c r="A970" s="39" t="s">
        <v>1946</v>
      </c>
      <c r="B970" s="3" t="s">
        <v>365</v>
      </c>
      <c r="C970" s="8">
        <f t="shared" ref="C970:C972" si="1377">D970+L970+N970+P970+R970+S970+T970</f>
        <v>1907200</v>
      </c>
      <c r="D970" s="2">
        <f t="shared" ref="D970:D972" si="1378">SUM(E970:J970)</f>
        <v>0</v>
      </c>
      <c r="E970" s="8">
        <v>0</v>
      </c>
      <c r="F970" s="8">
        <v>0</v>
      </c>
      <c r="G970" s="8">
        <v>0</v>
      </c>
      <c r="H970" s="8">
        <v>0</v>
      </c>
      <c r="I970" s="8">
        <v>0</v>
      </c>
      <c r="J970" s="2">
        <v>0</v>
      </c>
      <c r="K970" s="21">
        <v>0</v>
      </c>
      <c r="L970" s="2">
        <v>0</v>
      </c>
      <c r="M970" s="2">
        <v>0</v>
      </c>
      <c r="N970" s="2">
        <v>0</v>
      </c>
      <c r="O970" s="2">
        <v>0</v>
      </c>
      <c r="P970" s="2">
        <v>0</v>
      </c>
      <c r="Q970" s="18">
        <v>596</v>
      </c>
      <c r="R970" s="18">
        <f t="shared" si="1374"/>
        <v>1907200</v>
      </c>
      <c r="S970" s="2">
        <v>0</v>
      </c>
      <c r="T970" s="2">
        <v>0</v>
      </c>
      <c r="U970" s="6" t="e">
        <f t="shared" ref="U970:U1017" si="1379">N970/M970</f>
        <v>#DIV/0!</v>
      </c>
      <c r="V970" s="1"/>
      <c r="W970" s="1"/>
      <c r="X970" s="1"/>
      <c r="Y970" s="1"/>
      <c r="Z970" s="1"/>
      <c r="AA970" s="1"/>
      <c r="AB970" s="3"/>
    </row>
    <row r="971" spans="1:29" ht="22.9" customHeight="1" x14ac:dyDescent="0.25">
      <c r="A971" s="39" t="s">
        <v>1947</v>
      </c>
      <c r="B971" s="3" t="s">
        <v>366</v>
      </c>
      <c r="C971" s="8">
        <f t="shared" si="1377"/>
        <v>5535200</v>
      </c>
      <c r="D971" s="2">
        <f t="shared" si="1378"/>
        <v>432000</v>
      </c>
      <c r="E971" s="2">
        <f>700*432</f>
        <v>302400</v>
      </c>
      <c r="F971" s="2">
        <v>0</v>
      </c>
      <c r="G971" s="2">
        <f>300*432</f>
        <v>129600</v>
      </c>
      <c r="H971" s="2">
        <v>0</v>
      </c>
      <c r="I971" s="2">
        <v>0</v>
      </c>
      <c r="J971" s="2">
        <v>0</v>
      </c>
      <c r="K971" s="21">
        <v>0</v>
      </c>
      <c r="L971" s="2">
        <v>0</v>
      </c>
      <c r="M971" s="18">
        <v>460</v>
      </c>
      <c r="N971" s="2">
        <f t="shared" si="1373"/>
        <v>3036000</v>
      </c>
      <c r="O971" s="18">
        <v>50</v>
      </c>
      <c r="P971" s="18">
        <f>O971*1200</f>
        <v>60000</v>
      </c>
      <c r="Q971" s="18">
        <v>596</v>
      </c>
      <c r="R971" s="18">
        <f t="shared" si="1374"/>
        <v>1907200</v>
      </c>
      <c r="S971" s="2">
        <v>0</v>
      </c>
      <c r="T971" s="2">
        <v>100000</v>
      </c>
      <c r="U971" s="6">
        <f t="shared" si="1379"/>
        <v>6600</v>
      </c>
      <c r="V971" s="1"/>
      <c r="W971" s="1"/>
      <c r="X971" s="1"/>
      <c r="Y971" s="1"/>
      <c r="Z971" s="1"/>
      <c r="AA971" s="1"/>
      <c r="AB971" s="3"/>
    </row>
    <row r="972" spans="1:29" ht="22.9" customHeight="1" x14ac:dyDescent="0.25">
      <c r="A972" s="39" t="s">
        <v>1948</v>
      </c>
      <c r="B972" s="3" t="s">
        <v>367</v>
      </c>
      <c r="C972" s="8">
        <f t="shared" si="1377"/>
        <v>2620080</v>
      </c>
      <c r="D972" s="2">
        <f t="shared" si="1378"/>
        <v>864800</v>
      </c>
      <c r="E972" s="2">
        <f>700*376</f>
        <v>263200</v>
      </c>
      <c r="F972" s="2">
        <f>1300*376</f>
        <v>488800</v>
      </c>
      <c r="G972" s="2">
        <f>300*376</f>
        <v>112800</v>
      </c>
      <c r="H972" s="2">
        <v>0</v>
      </c>
      <c r="I972" s="2">
        <v>0</v>
      </c>
      <c r="J972" s="2">
        <v>0</v>
      </c>
      <c r="K972" s="21">
        <v>0</v>
      </c>
      <c r="L972" s="2">
        <v>0</v>
      </c>
      <c r="M972" s="2">
        <v>0</v>
      </c>
      <c r="N972" s="2">
        <v>0</v>
      </c>
      <c r="O972" s="2">
        <v>0</v>
      </c>
      <c r="P972" s="2">
        <v>0</v>
      </c>
      <c r="Q972" s="19">
        <v>470.4</v>
      </c>
      <c r="R972" s="18">
        <f t="shared" si="1374"/>
        <v>1505280</v>
      </c>
      <c r="S972" s="2">
        <v>150000</v>
      </c>
      <c r="T972" s="2">
        <v>100000</v>
      </c>
      <c r="U972" s="6" t="e">
        <f t="shared" si="1379"/>
        <v>#DIV/0!</v>
      </c>
      <c r="V972" s="1"/>
      <c r="W972" s="1"/>
      <c r="X972" s="1"/>
      <c r="Y972" s="1"/>
      <c r="Z972" s="1"/>
      <c r="AA972" s="1"/>
      <c r="AB972" s="3"/>
    </row>
    <row r="973" spans="1:29" ht="22.9" customHeight="1" x14ac:dyDescent="0.25">
      <c r="A973" s="39" t="s">
        <v>1949</v>
      </c>
      <c r="B973" s="3" t="s">
        <v>368</v>
      </c>
      <c r="C973" s="8">
        <f t="shared" ref="C973" si="1380">D973+L973+N973+P973+R973+S973+T973</f>
        <v>2620080</v>
      </c>
      <c r="D973" s="2">
        <f t="shared" ref="D973" si="1381">SUM(E973:J973)</f>
        <v>864800</v>
      </c>
      <c r="E973" s="2">
        <f>700*376</f>
        <v>263200</v>
      </c>
      <c r="F973" s="2">
        <f>1300*376</f>
        <v>488800</v>
      </c>
      <c r="G973" s="2">
        <f>300*376</f>
        <v>112800</v>
      </c>
      <c r="H973" s="2">
        <v>0</v>
      </c>
      <c r="I973" s="2">
        <v>0</v>
      </c>
      <c r="J973" s="2">
        <v>0</v>
      </c>
      <c r="K973" s="21">
        <v>0</v>
      </c>
      <c r="L973" s="2">
        <v>0</v>
      </c>
      <c r="M973" s="2">
        <v>0</v>
      </c>
      <c r="N973" s="2">
        <v>0</v>
      </c>
      <c r="O973" s="2">
        <v>0</v>
      </c>
      <c r="P973" s="2">
        <v>0</v>
      </c>
      <c r="Q973" s="19">
        <v>470.4</v>
      </c>
      <c r="R973" s="18">
        <f t="shared" ref="R973:R977" si="1382">Q973*3200</f>
        <v>1505280</v>
      </c>
      <c r="S973" s="2">
        <v>150000</v>
      </c>
      <c r="T973" s="2">
        <v>100000</v>
      </c>
      <c r="U973" s="6" t="e">
        <f t="shared" si="1379"/>
        <v>#DIV/0!</v>
      </c>
      <c r="V973" s="1"/>
      <c r="W973" s="1"/>
      <c r="X973" s="1"/>
      <c r="Y973" s="1"/>
      <c r="Z973" s="1"/>
      <c r="AA973" s="3"/>
    </row>
    <row r="974" spans="1:29" ht="45" customHeight="1" x14ac:dyDescent="0.25">
      <c r="A974" s="43" t="s">
        <v>369</v>
      </c>
      <c r="B974" s="43"/>
      <c r="C974" s="1">
        <f>SUM(C975:C977)</f>
        <v>14110030</v>
      </c>
      <c r="D974" s="1">
        <f t="shared" ref="D974:T974" si="1383">SUM(D975:D977)</f>
        <v>1720030</v>
      </c>
      <c r="E974" s="1">
        <f t="shared" si="1383"/>
        <v>926170</v>
      </c>
      <c r="F974" s="1">
        <f t="shared" si="1383"/>
        <v>0</v>
      </c>
      <c r="G974" s="1">
        <f t="shared" si="1383"/>
        <v>396930</v>
      </c>
      <c r="H974" s="1">
        <f t="shared" si="1383"/>
        <v>0</v>
      </c>
      <c r="I974" s="1">
        <f t="shared" si="1383"/>
        <v>396930</v>
      </c>
      <c r="J974" s="1">
        <f t="shared" si="1383"/>
        <v>0</v>
      </c>
      <c r="K974" s="33">
        <f t="shared" si="1383"/>
        <v>0</v>
      </c>
      <c r="L974" s="1">
        <f t="shared" si="1383"/>
        <v>0</v>
      </c>
      <c r="M974" s="1">
        <f t="shared" si="1383"/>
        <v>920</v>
      </c>
      <c r="N974" s="1">
        <f t="shared" si="1383"/>
        <v>6072000</v>
      </c>
      <c r="O974" s="1">
        <f t="shared" si="1383"/>
        <v>0</v>
      </c>
      <c r="P974" s="1">
        <f t="shared" si="1383"/>
        <v>0</v>
      </c>
      <c r="Q974" s="1">
        <f t="shared" si="1383"/>
        <v>1740</v>
      </c>
      <c r="R974" s="1">
        <f t="shared" si="1383"/>
        <v>5568000</v>
      </c>
      <c r="S974" s="1">
        <f t="shared" si="1383"/>
        <v>450000</v>
      </c>
      <c r="T974" s="1">
        <f t="shared" si="1383"/>
        <v>300000</v>
      </c>
      <c r="U974" s="3" t="e">
        <f>C974+#REF!+#REF!</f>
        <v>#REF!</v>
      </c>
    </row>
    <row r="975" spans="1:29" ht="22.9" customHeight="1" x14ac:dyDescent="0.25">
      <c r="A975" s="39" t="s">
        <v>1950</v>
      </c>
      <c r="B975" s="3" t="s">
        <v>375</v>
      </c>
      <c r="C975" s="8">
        <f t="shared" ref="C975" si="1384">D975+L975+N975+P975+R975+S975+T975</f>
        <v>2689180</v>
      </c>
      <c r="D975" s="2">
        <f t="shared" ref="D975" si="1385">SUM(E975:J975)</f>
        <v>583180</v>
      </c>
      <c r="E975" s="2">
        <f>700*448.6</f>
        <v>314020</v>
      </c>
      <c r="F975" s="2">
        <v>0</v>
      </c>
      <c r="G975" s="2">
        <f>300*448.6</f>
        <v>134580</v>
      </c>
      <c r="H975" s="2">
        <v>0</v>
      </c>
      <c r="I975" s="2">
        <f>300*448.6</f>
        <v>134580</v>
      </c>
      <c r="J975" s="2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580</v>
      </c>
      <c r="R975" s="18">
        <f t="shared" si="1382"/>
        <v>1856000</v>
      </c>
      <c r="S975" s="2">
        <v>150000</v>
      </c>
      <c r="T975" s="2">
        <v>100000</v>
      </c>
      <c r="U975" s="6" t="e">
        <f t="shared" si="1379"/>
        <v>#DIV/0!</v>
      </c>
      <c r="V975" s="1"/>
      <c r="W975" s="1"/>
      <c r="X975" s="1"/>
      <c r="Y975" s="1"/>
      <c r="Z975" s="1"/>
      <c r="AA975" s="1"/>
      <c r="AB975" s="3"/>
    </row>
    <row r="976" spans="1:29" ht="22.9" customHeight="1" x14ac:dyDescent="0.25">
      <c r="A976" s="39" t="s">
        <v>1951</v>
      </c>
      <c r="B976" s="3" t="s">
        <v>376</v>
      </c>
      <c r="C976" s="8">
        <f t="shared" ref="C976" si="1386">D976+L976+N976+P976+R976+S976+T976</f>
        <v>5727130</v>
      </c>
      <c r="D976" s="2">
        <f t="shared" ref="D976" si="1387">SUM(E976:J976)</f>
        <v>585130</v>
      </c>
      <c r="E976" s="2">
        <f>700*450.1</f>
        <v>315070</v>
      </c>
      <c r="F976" s="2">
        <v>0</v>
      </c>
      <c r="G976" s="2">
        <f>300*450.1</f>
        <v>135030</v>
      </c>
      <c r="H976" s="2">
        <v>0</v>
      </c>
      <c r="I976" s="2">
        <f>300*450.1</f>
        <v>135030</v>
      </c>
      <c r="J976" s="2">
        <v>0</v>
      </c>
      <c r="M976" s="19">
        <v>460</v>
      </c>
      <c r="N976" s="2">
        <f t="shared" ref="N976:N977" si="1388">M976*6600</f>
        <v>3036000</v>
      </c>
      <c r="O976" s="19">
        <v>0</v>
      </c>
      <c r="P976" s="19">
        <v>0</v>
      </c>
      <c r="Q976" s="19">
        <v>580</v>
      </c>
      <c r="R976" s="18">
        <f t="shared" si="1382"/>
        <v>1856000</v>
      </c>
      <c r="S976" s="2">
        <v>150000</v>
      </c>
      <c r="T976" s="2">
        <v>100000</v>
      </c>
      <c r="U976" s="6">
        <f t="shared" si="1379"/>
        <v>6600</v>
      </c>
      <c r="V976" s="1"/>
      <c r="W976" s="1"/>
      <c r="X976" s="1"/>
      <c r="Y976" s="1"/>
      <c r="Z976" s="1"/>
      <c r="AA976" s="1"/>
      <c r="AB976" s="3"/>
    </row>
    <row r="977" spans="1:28" ht="22.9" customHeight="1" x14ac:dyDescent="0.25">
      <c r="A977" s="39" t="s">
        <v>1952</v>
      </c>
      <c r="B977" s="3" t="s">
        <v>377</v>
      </c>
      <c r="C977" s="8">
        <f t="shared" ref="C977" si="1389">D977+L977+N977+P977+R977+S977+T977</f>
        <v>5693720</v>
      </c>
      <c r="D977" s="2">
        <f t="shared" ref="D977" si="1390">SUM(E977:J977)</f>
        <v>551720</v>
      </c>
      <c r="E977" s="2">
        <f>700*424.4</f>
        <v>297080</v>
      </c>
      <c r="F977" s="2">
        <v>0</v>
      </c>
      <c r="G977" s="2">
        <f>300*424.4</f>
        <v>127320</v>
      </c>
      <c r="H977" s="2">
        <v>0</v>
      </c>
      <c r="I977" s="2">
        <f>300*424.4</f>
        <v>127320</v>
      </c>
      <c r="J977" s="2">
        <v>0</v>
      </c>
      <c r="M977" s="19">
        <v>460</v>
      </c>
      <c r="N977" s="2">
        <f t="shared" si="1388"/>
        <v>3036000</v>
      </c>
      <c r="O977" s="19">
        <v>0</v>
      </c>
      <c r="P977" s="19">
        <v>0</v>
      </c>
      <c r="Q977" s="19">
        <v>580</v>
      </c>
      <c r="R977" s="18">
        <f t="shared" si="1382"/>
        <v>1856000</v>
      </c>
      <c r="S977" s="2">
        <v>150000</v>
      </c>
      <c r="T977" s="2">
        <v>100000</v>
      </c>
      <c r="U977" s="6">
        <f t="shared" si="1379"/>
        <v>6600</v>
      </c>
      <c r="V977" s="1"/>
      <c r="W977" s="1"/>
      <c r="X977" s="1"/>
      <c r="Y977" s="1"/>
      <c r="Z977" s="1"/>
      <c r="AA977" s="1"/>
      <c r="AB977" s="3"/>
    </row>
    <row r="978" spans="1:28" ht="45" customHeight="1" x14ac:dyDescent="0.25">
      <c r="A978" s="43" t="s">
        <v>378</v>
      </c>
      <c r="B978" s="43"/>
      <c r="C978" s="1">
        <f>SUM(C979)</f>
        <v>10278740</v>
      </c>
      <c r="D978" s="1">
        <f t="shared" ref="D978:T978" si="1391">SUM(D979)</f>
        <v>10178740</v>
      </c>
      <c r="E978" s="1">
        <f t="shared" si="1391"/>
        <v>2740430</v>
      </c>
      <c r="F978" s="1">
        <f t="shared" si="1391"/>
        <v>5089370</v>
      </c>
      <c r="G978" s="1">
        <f t="shared" si="1391"/>
        <v>1174470</v>
      </c>
      <c r="H978" s="1">
        <f t="shared" si="1391"/>
        <v>0</v>
      </c>
      <c r="I978" s="1">
        <f t="shared" si="1391"/>
        <v>1174470</v>
      </c>
      <c r="J978" s="1">
        <f t="shared" si="1391"/>
        <v>0</v>
      </c>
      <c r="K978" s="33">
        <f t="shared" si="1391"/>
        <v>0</v>
      </c>
      <c r="L978" s="1">
        <f t="shared" si="1391"/>
        <v>0</v>
      </c>
      <c r="M978" s="1">
        <f t="shared" si="1391"/>
        <v>0</v>
      </c>
      <c r="N978" s="1">
        <f t="shared" si="1391"/>
        <v>0</v>
      </c>
      <c r="O978" s="1">
        <f t="shared" si="1391"/>
        <v>0</v>
      </c>
      <c r="P978" s="1">
        <f t="shared" si="1391"/>
        <v>0</v>
      </c>
      <c r="Q978" s="1">
        <f t="shared" si="1391"/>
        <v>0</v>
      </c>
      <c r="R978" s="1">
        <f t="shared" si="1391"/>
        <v>0</v>
      </c>
      <c r="S978" s="1">
        <f t="shared" si="1391"/>
        <v>0</v>
      </c>
      <c r="T978" s="1">
        <f t="shared" si="1391"/>
        <v>100000</v>
      </c>
      <c r="U978" s="3" t="e">
        <f>C978+#REF!+#REF!</f>
        <v>#REF!</v>
      </c>
    </row>
    <row r="979" spans="1:28" ht="22.9" customHeight="1" x14ac:dyDescent="0.25">
      <c r="A979" s="39" t="s">
        <v>1953</v>
      </c>
      <c r="B979" s="3" t="s">
        <v>380</v>
      </c>
      <c r="C979" s="8">
        <f t="shared" ref="C979" si="1392">D979+L979+N979+P979+R979+S979+T979</f>
        <v>10278740</v>
      </c>
      <c r="D979" s="2">
        <f t="shared" ref="D979" si="1393">SUM(E979:J979)</f>
        <v>10178740</v>
      </c>
      <c r="E979" s="2">
        <f>700*3914.9</f>
        <v>2740430</v>
      </c>
      <c r="F979" s="2">
        <f>1300*3914.9</f>
        <v>5089370</v>
      </c>
      <c r="G979" s="2">
        <f>300*3914.9</f>
        <v>1174470</v>
      </c>
      <c r="H979" s="2">
        <v>0</v>
      </c>
      <c r="I979" s="2">
        <f>300*3914.9</f>
        <v>1174470</v>
      </c>
      <c r="J979" s="2">
        <v>0</v>
      </c>
      <c r="K979" s="21">
        <v>0</v>
      </c>
      <c r="L979" s="2">
        <v>0</v>
      </c>
      <c r="M979" s="2">
        <v>0</v>
      </c>
      <c r="N979" s="2">
        <v>0</v>
      </c>
      <c r="O979" s="2">
        <v>0</v>
      </c>
      <c r="P979" s="2">
        <v>0</v>
      </c>
      <c r="Q979" s="2">
        <v>0</v>
      </c>
      <c r="R979" s="2">
        <v>0</v>
      </c>
      <c r="S979" s="2">
        <v>0</v>
      </c>
      <c r="T979" s="2">
        <v>100000</v>
      </c>
      <c r="U979" s="6" t="e">
        <f t="shared" si="1379"/>
        <v>#DIV/0!</v>
      </c>
      <c r="V979" s="1"/>
      <c r="W979" s="1"/>
      <c r="X979" s="1"/>
      <c r="Y979" s="1"/>
      <c r="Z979" s="1"/>
      <c r="AA979" s="1"/>
      <c r="AB979" s="3"/>
    </row>
    <row r="980" spans="1:28" ht="45" customHeight="1" x14ac:dyDescent="0.25">
      <c r="A980" s="43" t="s">
        <v>381</v>
      </c>
      <c r="B980" s="43"/>
      <c r="C980" s="1">
        <f>SUM(C981:C982)</f>
        <v>6099880</v>
      </c>
      <c r="D980" s="1">
        <f t="shared" ref="D980:T980" si="1394">SUM(D981:D982)</f>
        <v>2162160</v>
      </c>
      <c r="E980" s="1">
        <f t="shared" si="1394"/>
        <v>582120</v>
      </c>
      <c r="F980" s="1">
        <f t="shared" si="1394"/>
        <v>1081080</v>
      </c>
      <c r="G980" s="1">
        <f t="shared" si="1394"/>
        <v>249480</v>
      </c>
      <c r="H980" s="1">
        <f t="shared" si="1394"/>
        <v>0</v>
      </c>
      <c r="I980" s="1">
        <f t="shared" si="1394"/>
        <v>249480</v>
      </c>
      <c r="J980" s="1">
        <f t="shared" si="1394"/>
        <v>0</v>
      </c>
      <c r="K980" s="33">
        <f t="shared" si="1394"/>
        <v>0</v>
      </c>
      <c r="L980" s="1">
        <f t="shared" si="1394"/>
        <v>0</v>
      </c>
      <c r="M980" s="1">
        <f t="shared" si="1394"/>
        <v>381.4</v>
      </c>
      <c r="N980" s="1">
        <f t="shared" si="1394"/>
        <v>2517240</v>
      </c>
      <c r="O980" s="1">
        <f t="shared" si="1394"/>
        <v>0</v>
      </c>
      <c r="P980" s="1">
        <f t="shared" si="1394"/>
        <v>0</v>
      </c>
      <c r="Q980" s="1">
        <f t="shared" si="1394"/>
        <v>381.4</v>
      </c>
      <c r="R980" s="1">
        <f t="shared" si="1394"/>
        <v>1220480</v>
      </c>
      <c r="S980" s="1">
        <f t="shared" si="1394"/>
        <v>0</v>
      </c>
      <c r="T980" s="1">
        <f t="shared" si="1394"/>
        <v>200000</v>
      </c>
      <c r="U980" s="3" t="e">
        <f>C980+#REF!+#REF!</f>
        <v>#REF!</v>
      </c>
    </row>
    <row r="981" spans="1:28" ht="22.9" customHeight="1" x14ac:dyDescent="0.25">
      <c r="A981" s="39" t="s">
        <v>1954</v>
      </c>
      <c r="B981" s="3" t="s">
        <v>387</v>
      </c>
      <c r="C981" s="8">
        <f t="shared" ref="C981" si="1395">D981+L981+N981+P981+R981+S981+T981</f>
        <v>1270520</v>
      </c>
      <c r="D981" s="2">
        <f t="shared" ref="D981" si="1396">SUM(E981:J981)</f>
        <v>1170520</v>
      </c>
      <c r="E981" s="2">
        <f>700*450.2</f>
        <v>315140</v>
      </c>
      <c r="F981" s="2">
        <f>1300*450.2</f>
        <v>585260</v>
      </c>
      <c r="G981" s="2">
        <f>300*450.2</f>
        <v>135060</v>
      </c>
      <c r="H981" s="2">
        <v>0</v>
      </c>
      <c r="I981" s="2">
        <f>300*450.2</f>
        <v>135060</v>
      </c>
      <c r="J981" s="2">
        <v>0</v>
      </c>
      <c r="K981" s="21">
        <v>0</v>
      </c>
      <c r="L981" s="2">
        <v>0</v>
      </c>
      <c r="M981" s="2">
        <v>0</v>
      </c>
      <c r="N981" s="2">
        <v>0</v>
      </c>
      <c r="O981" s="2">
        <v>0</v>
      </c>
      <c r="P981" s="2">
        <v>0</v>
      </c>
      <c r="Q981" s="2">
        <v>0</v>
      </c>
      <c r="R981" s="2">
        <v>0</v>
      </c>
      <c r="S981" s="2">
        <v>0</v>
      </c>
      <c r="T981" s="2">
        <v>100000</v>
      </c>
      <c r="U981" s="6" t="e">
        <f t="shared" si="1379"/>
        <v>#DIV/0!</v>
      </c>
      <c r="V981" s="1"/>
      <c r="W981" s="1"/>
      <c r="X981" s="1"/>
      <c r="Y981" s="1"/>
      <c r="Z981" s="1"/>
      <c r="AA981" s="1"/>
      <c r="AB981" s="3"/>
    </row>
    <row r="982" spans="1:28" ht="22.9" customHeight="1" x14ac:dyDescent="0.25">
      <c r="A982" s="39" t="s">
        <v>1955</v>
      </c>
      <c r="B982" s="3" t="s">
        <v>388</v>
      </c>
      <c r="C982" s="8">
        <f t="shared" ref="C982" si="1397">D982+L982+N982+P982+R982+S982+T982</f>
        <v>4829360</v>
      </c>
      <c r="D982" s="2">
        <f t="shared" ref="D982" si="1398">SUM(E982:J982)</f>
        <v>991640</v>
      </c>
      <c r="E982" s="2">
        <f>700*381.4</f>
        <v>266980</v>
      </c>
      <c r="F982" s="2">
        <f>1300*381.4</f>
        <v>495819.99999999994</v>
      </c>
      <c r="G982" s="2">
        <f>300*381.4</f>
        <v>114420</v>
      </c>
      <c r="H982" s="2">
        <v>0</v>
      </c>
      <c r="I982" s="2">
        <f>300*381.4</f>
        <v>114420</v>
      </c>
      <c r="J982" s="2">
        <v>0</v>
      </c>
      <c r="K982" s="21">
        <v>0</v>
      </c>
      <c r="L982" s="2">
        <v>0</v>
      </c>
      <c r="M982" s="19">
        <v>381.4</v>
      </c>
      <c r="N982" s="2">
        <f t="shared" ref="N982:N985" si="1399">M982*6600</f>
        <v>2517240</v>
      </c>
      <c r="O982" s="19"/>
      <c r="P982" s="19"/>
      <c r="Q982" s="19">
        <v>381.4</v>
      </c>
      <c r="R982" s="18">
        <f t="shared" ref="R982:R985" si="1400">Q982*3200</f>
        <v>1220480</v>
      </c>
      <c r="S982" s="2">
        <v>0</v>
      </c>
      <c r="T982" s="2">
        <v>100000</v>
      </c>
      <c r="U982" s="6">
        <f t="shared" si="1379"/>
        <v>6600</v>
      </c>
      <c r="V982" s="1"/>
      <c r="W982" s="1"/>
      <c r="X982" s="1"/>
      <c r="Y982" s="1"/>
      <c r="Z982" s="1"/>
      <c r="AA982" s="1"/>
      <c r="AB982" s="3"/>
    </row>
    <row r="983" spans="1:28" ht="45" customHeight="1" x14ac:dyDescent="0.25">
      <c r="A983" s="43" t="s">
        <v>389</v>
      </c>
      <c r="B983" s="43"/>
      <c r="C983" s="1">
        <f>SUM(C984:C985)</f>
        <v>14020240</v>
      </c>
      <c r="D983" s="1">
        <f t="shared" ref="D983:T983" si="1401">SUM(D984:D985)</f>
        <v>2111200</v>
      </c>
      <c r="E983" s="1">
        <f t="shared" si="1401"/>
        <v>568400</v>
      </c>
      <c r="F983" s="1">
        <f t="shared" si="1401"/>
        <v>1055600</v>
      </c>
      <c r="G983" s="1">
        <f t="shared" si="1401"/>
        <v>243600</v>
      </c>
      <c r="H983" s="1">
        <f t="shared" si="1401"/>
        <v>0</v>
      </c>
      <c r="I983" s="1">
        <f t="shared" si="1401"/>
        <v>243600</v>
      </c>
      <c r="J983" s="1">
        <f t="shared" si="1401"/>
        <v>0</v>
      </c>
      <c r="K983" s="33">
        <f t="shared" si="1401"/>
        <v>0</v>
      </c>
      <c r="L983" s="1">
        <f t="shared" si="1401"/>
        <v>0</v>
      </c>
      <c r="M983" s="1">
        <f t="shared" si="1401"/>
        <v>1380.4</v>
      </c>
      <c r="N983" s="1">
        <f t="shared" si="1401"/>
        <v>9110640</v>
      </c>
      <c r="O983" s="1">
        <f t="shared" si="1401"/>
        <v>0</v>
      </c>
      <c r="P983" s="1">
        <f t="shared" si="1401"/>
        <v>0</v>
      </c>
      <c r="Q983" s="1">
        <f t="shared" si="1401"/>
        <v>812</v>
      </c>
      <c r="R983" s="1">
        <f t="shared" si="1401"/>
        <v>2598400</v>
      </c>
      <c r="S983" s="1">
        <f t="shared" si="1401"/>
        <v>0</v>
      </c>
      <c r="T983" s="1">
        <f t="shared" si="1401"/>
        <v>200000</v>
      </c>
      <c r="U983" s="3" t="e">
        <f>C983+#REF!+#REF!</f>
        <v>#REF!</v>
      </c>
    </row>
    <row r="984" spans="1:28" ht="22.9" customHeight="1" x14ac:dyDescent="0.25">
      <c r="A984" s="39" t="s">
        <v>1956</v>
      </c>
      <c r="B984" s="3" t="s">
        <v>395</v>
      </c>
      <c r="C984" s="8">
        <f t="shared" ref="C984:C985" si="1402">D984+L984+N984+P984+R984+S984+T984</f>
        <v>6492712</v>
      </c>
      <c r="D984" s="2">
        <f t="shared" ref="D984:D985" si="1403">SUM(E984:J984)</f>
        <v>976560</v>
      </c>
      <c r="E984" s="2">
        <f>700*375.6</f>
        <v>262920</v>
      </c>
      <c r="F984" s="2">
        <f>1300*375.6</f>
        <v>488280.00000000006</v>
      </c>
      <c r="G984" s="2">
        <f>300*375.6</f>
        <v>112680</v>
      </c>
      <c r="H984" s="2">
        <v>0</v>
      </c>
      <c r="I984" s="2">
        <f>300*375.6</f>
        <v>112680</v>
      </c>
      <c r="J984" s="2">
        <v>0</v>
      </c>
      <c r="K984" s="21">
        <v>0</v>
      </c>
      <c r="L984" s="2">
        <v>0</v>
      </c>
      <c r="M984" s="19">
        <v>638.52</v>
      </c>
      <c r="N984" s="2">
        <f t="shared" si="1399"/>
        <v>4214232</v>
      </c>
      <c r="O984" s="19">
        <v>0</v>
      </c>
      <c r="P984" s="19">
        <v>0</v>
      </c>
      <c r="Q984" s="19">
        <v>375.6</v>
      </c>
      <c r="R984" s="18">
        <f t="shared" si="1400"/>
        <v>1201920</v>
      </c>
      <c r="S984" s="2">
        <v>0</v>
      </c>
      <c r="T984" s="2">
        <v>100000</v>
      </c>
      <c r="U984" s="6">
        <f t="shared" si="1379"/>
        <v>6600</v>
      </c>
      <c r="V984" s="1"/>
      <c r="W984" s="1"/>
      <c r="X984" s="1"/>
      <c r="Y984" s="1"/>
      <c r="Z984" s="1"/>
      <c r="AA984" s="1"/>
      <c r="AB984" s="3"/>
    </row>
    <row r="985" spans="1:28" ht="22.9" customHeight="1" x14ac:dyDescent="0.25">
      <c r="A985" s="39" t="s">
        <v>1957</v>
      </c>
      <c r="B985" s="3" t="s">
        <v>396</v>
      </c>
      <c r="C985" s="8">
        <f t="shared" si="1402"/>
        <v>7527528</v>
      </c>
      <c r="D985" s="2">
        <f t="shared" si="1403"/>
        <v>1134640</v>
      </c>
      <c r="E985" s="2">
        <f>700*436.4</f>
        <v>305480</v>
      </c>
      <c r="F985" s="2">
        <f>1300*436.4</f>
        <v>567320</v>
      </c>
      <c r="G985" s="2">
        <f>300*436.4</f>
        <v>130920</v>
      </c>
      <c r="H985" s="2">
        <v>0</v>
      </c>
      <c r="I985" s="2">
        <f>300*436.4</f>
        <v>130920</v>
      </c>
      <c r="J985" s="2">
        <v>0</v>
      </c>
      <c r="K985" s="21">
        <v>0</v>
      </c>
      <c r="L985" s="2">
        <v>0</v>
      </c>
      <c r="M985" s="19">
        <v>741.88</v>
      </c>
      <c r="N985" s="2">
        <f t="shared" si="1399"/>
        <v>4896408</v>
      </c>
      <c r="O985" s="19">
        <v>0</v>
      </c>
      <c r="P985" s="19">
        <v>0</v>
      </c>
      <c r="Q985" s="19">
        <v>436.4</v>
      </c>
      <c r="R985" s="18">
        <f t="shared" si="1400"/>
        <v>1396480</v>
      </c>
      <c r="S985" s="2">
        <v>0</v>
      </c>
      <c r="T985" s="2">
        <v>100000</v>
      </c>
      <c r="U985" s="6">
        <f t="shared" si="1379"/>
        <v>6600</v>
      </c>
      <c r="V985" s="1"/>
      <c r="W985" s="1"/>
      <c r="X985" s="1"/>
      <c r="Y985" s="1"/>
      <c r="Z985" s="1"/>
      <c r="AA985" s="1"/>
      <c r="AB985" s="3"/>
    </row>
    <row r="986" spans="1:28" ht="45" customHeight="1" x14ac:dyDescent="0.25">
      <c r="A986" s="43" t="s">
        <v>397</v>
      </c>
      <c r="B986" s="43"/>
      <c r="C986" s="1">
        <f>SUM(C987:C1005)</f>
        <v>210891760</v>
      </c>
      <c r="D986" s="1">
        <f t="shared" ref="D986:T986" si="1404">SUM(D987:D1005)</f>
        <v>114103535</v>
      </c>
      <c r="E986" s="1">
        <f t="shared" si="1404"/>
        <v>29474060</v>
      </c>
      <c r="F986" s="1">
        <f t="shared" si="1404"/>
        <v>53113580</v>
      </c>
      <c r="G986" s="1">
        <f t="shared" si="1404"/>
        <v>11179315</v>
      </c>
      <c r="H986" s="1">
        <f t="shared" si="1404"/>
        <v>9264240</v>
      </c>
      <c r="I986" s="1">
        <f t="shared" si="1404"/>
        <v>11072340</v>
      </c>
      <c r="J986" s="1">
        <f t="shared" si="1404"/>
        <v>0</v>
      </c>
      <c r="K986" s="33">
        <f t="shared" si="1404"/>
        <v>2</v>
      </c>
      <c r="L986" s="1">
        <f t="shared" si="1404"/>
        <v>5400000</v>
      </c>
      <c r="M986" s="1">
        <f t="shared" si="1404"/>
        <v>2954.7000000000003</v>
      </c>
      <c r="N986" s="1">
        <f t="shared" si="1404"/>
        <v>17790265</v>
      </c>
      <c r="O986" s="1">
        <f t="shared" si="1404"/>
        <v>781.9</v>
      </c>
      <c r="P986" s="1">
        <f t="shared" si="1404"/>
        <v>938280</v>
      </c>
      <c r="Q986" s="1">
        <f t="shared" si="1404"/>
        <v>22112.399999999998</v>
      </c>
      <c r="R986" s="1">
        <f t="shared" si="1404"/>
        <v>70759680</v>
      </c>
      <c r="S986" s="1">
        <f t="shared" si="1404"/>
        <v>0</v>
      </c>
      <c r="T986" s="1">
        <f t="shared" si="1404"/>
        <v>1900000</v>
      </c>
      <c r="U986" s="3" t="e">
        <f>C986+#REF!+#REF!</f>
        <v>#REF!</v>
      </c>
    </row>
    <row r="987" spans="1:28" ht="22.9" customHeight="1" x14ac:dyDescent="0.25">
      <c r="A987" s="39" t="s">
        <v>1958</v>
      </c>
      <c r="B987" s="5" t="s">
        <v>437</v>
      </c>
      <c r="C987" s="8">
        <f t="shared" ref="C987:C1005" si="1405">D987+L987+N987+P987+R987+S987+T987</f>
        <v>5500000</v>
      </c>
      <c r="D987" s="2">
        <f t="shared" ref="D987:D1005" si="1406">SUM(E987:J987)</f>
        <v>0</v>
      </c>
      <c r="E987" s="2">
        <v>0</v>
      </c>
      <c r="F987" s="2">
        <v>0</v>
      </c>
      <c r="G987" s="2">
        <v>0</v>
      </c>
      <c r="H987" s="2">
        <v>0</v>
      </c>
      <c r="I987" s="2">
        <v>0</v>
      </c>
      <c r="J987" s="2">
        <v>0</v>
      </c>
      <c r="K987" s="21">
        <v>2</v>
      </c>
      <c r="L987" s="2">
        <f>K987*2700000</f>
        <v>5400000</v>
      </c>
      <c r="M987" s="2">
        <v>0</v>
      </c>
      <c r="N987" s="2">
        <v>0</v>
      </c>
      <c r="O987" s="2">
        <v>0</v>
      </c>
      <c r="P987" s="2">
        <v>0</v>
      </c>
      <c r="Q987" s="2">
        <v>0</v>
      </c>
      <c r="R987" s="2">
        <v>0</v>
      </c>
      <c r="S987" s="2">
        <v>0</v>
      </c>
      <c r="T987" s="2">
        <v>100000</v>
      </c>
      <c r="U987" s="6" t="e">
        <f t="shared" si="1379"/>
        <v>#DIV/0!</v>
      </c>
      <c r="V987" s="1"/>
      <c r="W987" s="1"/>
      <c r="X987" s="1"/>
      <c r="Y987" s="1"/>
      <c r="Z987" s="1"/>
      <c r="AA987" s="1"/>
      <c r="AB987" s="3"/>
    </row>
    <row r="988" spans="1:28" ht="22.9" customHeight="1" x14ac:dyDescent="0.25">
      <c r="A988" s="39" t="s">
        <v>1959</v>
      </c>
      <c r="B988" s="9" t="s">
        <v>438</v>
      </c>
      <c r="C988" s="8">
        <f t="shared" si="1405"/>
        <v>46100990</v>
      </c>
      <c r="D988" s="2">
        <f t="shared" si="1406"/>
        <v>29088989.999999996</v>
      </c>
      <c r="E988" s="2">
        <f>9696.3*700</f>
        <v>6787409.9999999991</v>
      </c>
      <c r="F988" s="2">
        <f>9696.3*1300</f>
        <v>12605189.999999998</v>
      </c>
      <c r="G988" s="2">
        <f>9696.6*300</f>
        <v>2908980</v>
      </c>
      <c r="H988" s="2">
        <f>9696.3*400</f>
        <v>3878519.9999999995</v>
      </c>
      <c r="I988" s="2">
        <f>9696.3*300</f>
        <v>2908890</v>
      </c>
      <c r="J988" s="2">
        <f t="shared" ref="J988" si="1407">350*0</f>
        <v>0</v>
      </c>
      <c r="K988" s="21">
        <v>0</v>
      </c>
      <c r="L988" s="2">
        <v>0</v>
      </c>
      <c r="M988" s="2">
        <v>0</v>
      </c>
      <c r="N988" s="2">
        <v>0</v>
      </c>
      <c r="O988" s="2">
        <v>0</v>
      </c>
      <c r="P988" s="2">
        <v>0</v>
      </c>
      <c r="Q988" s="8">
        <v>5285</v>
      </c>
      <c r="R988" s="2">
        <f>Q988*3200</f>
        <v>16912000</v>
      </c>
      <c r="S988" s="2">
        <v>0</v>
      </c>
      <c r="T988" s="2">
        <v>100000</v>
      </c>
      <c r="U988" s="6" t="e">
        <f t="shared" si="1379"/>
        <v>#DIV/0!</v>
      </c>
      <c r="V988" s="1"/>
      <c r="W988" s="1"/>
      <c r="X988" s="1"/>
      <c r="Y988" s="1"/>
      <c r="Z988" s="1"/>
      <c r="AA988" s="1"/>
      <c r="AB988" s="3"/>
    </row>
    <row r="989" spans="1:28" ht="22.9" customHeight="1" x14ac:dyDescent="0.25">
      <c r="A989" s="39" t="s">
        <v>1960</v>
      </c>
      <c r="B989" s="9" t="s">
        <v>439</v>
      </c>
      <c r="C989" s="8">
        <f t="shared" si="1405"/>
        <v>45427400</v>
      </c>
      <c r="D989" s="2">
        <f t="shared" si="1406"/>
        <v>28895399.999999996</v>
      </c>
      <c r="E989" s="2">
        <f>9631.8*700</f>
        <v>6742259.9999999991</v>
      </c>
      <c r="F989" s="2">
        <f>9631.8*1300</f>
        <v>12521339.999999998</v>
      </c>
      <c r="G989" s="2">
        <f>9631.8*300</f>
        <v>2889540</v>
      </c>
      <c r="H989" s="2">
        <f>9631.8*400</f>
        <v>3852719.9999999995</v>
      </c>
      <c r="I989" s="2">
        <f>9631.8*300</f>
        <v>2889540</v>
      </c>
      <c r="J989" s="2">
        <v>0</v>
      </c>
      <c r="K989" s="21">
        <v>0</v>
      </c>
      <c r="L989" s="8">
        <v>0</v>
      </c>
      <c r="M989" s="2">
        <v>0</v>
      </c>
      <c r="N989" s="8">
        <v>0</v>
      </c>
      <c r="O989" s="2">
        <v>0</v>
      </c>
      <c r="P989" s="2">
        <v>0</v>
      </c>
      <c r="Q989" s="2">
        <v>5135</v>
      </c>
      <c r="R989" s="2">
        <f>Q989*3200</f>
        <v>16432000</v>
      </c>
      <c r="S989" s="2">
        <v>0</v>
      </c>
      <c r="T989" s="2">
        <v>100000</v>
      </c>
      <c r="U989" s="6" t="e">
        <f t="shared" si="1379"/>
        <v>#DIV/0!</v>
      </c>
      <c r="V989" s="1"/>
      <c r="W989" s="1"/>
      <c r="X989" s="1"/>
      <c r="Y989" s="1"/>
      <c r="Z989" s="1"/>
      <c r="AA989" s="1"/>
      <c r="AB989" s="3"/>
    </row>
    <row r="990" spans="1:28" ht="22.9" customHeight="1" x14ac:dyDescent="0.25">
      <c r="A990" s="39" t="s">
        <v>1961</v>
      </c>
      <c r="B990" s="9" t="s">
        <v>440</v>
      </c>
      <c r="C990" s="8">
        <f t="shared" si="1405"/>
        <v>7332220</v>
      </c>
      <c r="D990" s="2">
        <f t="shared" si="1406"/>
        <v>4719260</v>
      </c>
      <c r="E990" s="2">
        <f>1815.1*700</f>
        <v>1270570</v>
      </c>
      <c r="F990" s="2">
        <f>1815.1*1300</f>
        <v>2359630</v>
      </c>
      <c r="G990" s="2">
        <f>1815.1*300</f>
        <v>544530</v>
      </c>
      <c r="H990" s="2">
        <v>0</v>
      </c>
      <c r="I990" s="2">
        <f>1815.1*300</f>
        <v>544530</v>
      </c>
      <c r="J990" s="2">
        <f t="shared" ref="J990:J997" si="1408">350*0</f>
        <v>0</v>
      </c>
      <c r="K990" s="21">
        <v>0</v>
      </c>
      <c r="L990" s="2">
        <v>0</v>
      </c>
      <c r="M990" s="2">
        <v>0</v>
      </c>
      <c r="N990" s="2">
        <v>0</v>
      </c>
      <c r="O990" s="2">
        <v>0</v>
      </c>
      <c r="P990" s="2">
        <v>0</v>
      </c>
      <c r="Q990" s="2">
        <v>785.3</v>
      </c>
      <c r="R990" s="2">
        <f>Q990*3200</f>
        <v>2512960</v>
      </c>
      <c r="S990" s="2">
        <v>0</v>
      </c>
      <c r="T990" s="2">
        <v>100000</v>
      </c>
      <c r="U990" s="6" t="e">
        <f t="shared" si="1379"/>
        <v>#DIV/0!</v>
      </c>
      <c r="V990" s="1"/>
      <c r="W990" s="1"/>
      <c r="X990" s="1"/>
      <c r="Y990" s="1"/>
      <c r="Z990" s="1"/>
      <c r="AA990" s="1"/>
      <c r="AB990" s="3"/>
    </row>
    <row r="991" spans="1:28" ht="22.9" customHeight="1" x14ac:dyDescent="0.25">
      <c r="A991" s="39" t="s">
        <v>1962</v>
      </c>
      <c r="B991" s="9" t="s">
        <v>441</v>
      </c>
      <c r="C991" s="8">
        <f t="shared" si="1405"/>
        <v>4141749.9999999995</v>
      </c>
      <c r="D991" s="2">
        <f t="shared" si="1406"/>
        <v>482790.00000000006</v>
      </c>
      <c r="E991" s="2">
        <f>689.7*700</f>
        <v>482790.00000000006</v>
      </c>
      <c r="F991" s="2">
        <v>0</v>
      </c>
      <c r="G991" s="2">
        <v>0</v>
      </c>
      <c r="H991" s="2">
        <f>500*0</f>
        <v>0</v>
      </c>
      <c r="I991" s="2">
        <v>0</v>
      </c>
      <c r="J991" s="2">
        <f t="shared" si="1408"/>
        <v>0</v>
      </c>
      <c r="K991" s="21">
        <v>0</v>
      </c>
      <c r="L991" s="2">
        <v>0</v>
      </c>
      <c r="M991" s="2">
        <v>0</v>
      </c>
      <c r="N991" s="2">
        <f t="shared" ref="N991" si="1409">M991*5300</f>
        <v>0</v>
      </c>
      <c r="O991" s="2">
        <v>28.2</v>
      </c>
      <c r="P991" s="2">
        <f>O991*1200</f>
        <v>33840</v>
      </c>
      <c r="Q991" s="2">
        <v>1101.5999999999999</v>
      </c>
      <c r="R991" s="2">
        <f>Q991*3200</f>
        <v>3525119.9999999995</v>
      </c>
      <c r="S991" s="2">
        <v>0</v>
      </c>
      <c r="T991" s="2">
        <v>100000</v>
      </c>
      <c r="U991" s="6" t="e">
        <f t="shared" si="1379"/>
        <v>#DIV/0!</v>
      </c>
      <c r="V991" s="1"/>
      <c r="W991" s="1"/>
      <c r="X991" s="1"/>
      <c r="Y991" s="1"/>
      <c r="Z991" s="1"/>
      <c r="AA991" s="1"/>
      <c r="AB991" s="3"/>
    </row>
    <row r="992" spans="1:28" ht="22.9" customHeight="1" x14ac:dyDescent="0.25">
      <c r="A992" s="39" t="s">
        <v>1963</v>
      </c>
      <c r="B992" s="9" t="s">
        <v>442</v>
      </c>
      <c r="C992" s="8">
        <f t="shared" si="1405"/>
        <v>3856920</v>
      </c>
      <c r="D992" s="2">
        <f t="shared" si="1406"/>
        <v>970200</v>
      </c>
      <c r="E992" s="2">
        <f>485.1*700</f>
        <v>339570</v>
      </c>
      <c r="F992" s="2">
        <f>1300*485.1</f>
        <v>630630</v>
      </c>
      <c r="G992" s="2">
        <v>0</v>
      </c>
      <c r="H992" s="2">
        <v>0</v>
      </c>
      <c r="I992" s="2">
        <v>0</v>
      </c>
      <c r="J992" s="2">
        <v>0</v>
      </c>
      <c r="K992" s="21">
        <v>0</v>
      </c>
      <c r="L992" s="2">
        <v>0</v>
      </c>
      <c r="M992" s="2">
        <v>255.2</v>
      </c>
      <c r="N992" s="2">
        <f>M992*6600</f>
        <v>1684320</v>
      </c>
      <c r="O992" s="2">
        <v>0</v>
      </c>
      <c r="P992" s="2">
        <v>0</v>
      </c>
      <c r="Q992" s="2">
        <v>344.5</v>
      </c>
      <c r="R992" s="2">
        <f>Q992*3200</f>
        <v>1102400</v>
      </c>
      <c r="S992" s="2">
        <v>0</v>
      </c>
      <c r="T992" s="2">
        <v>100000</v>
      </c>
      <c r="U992" s="6">
        <f t="shared" si="1379"/>
        <v>6600</v>
      </c>
      <c r="V992" s="1"/>
      <c r="W992" s="1"/>
      <c r="X992" s="1"/>
      <c r="Y992" s="1"/>
      <c r="Z992" s="1"/>
      <c r="AA992" s="1"/>
      <c r="AB992" s="3"/>
    </row>
    <row r="993" spans="1:28" ht="22.9" customHeight="1" x14ac:dyDescent="0.25">
      <c r="A993" s="39" t="s">
        <v>1964</v>
      </c>
      <c r="B993" s="9" t="s">
        <v>443</v>
      </c>
      <c r="C993" s="8">
        <f t="shared" si="1405"/>
        <v>4977940</v>
      </c>
      <c r="D993" s="2">
        <f t="shared" si="1406"/>
        <v>989000</v>
      </c>
      <c r="E993" s="2">
        <f>700*494.5</f>
        <v>346150</v>
      </c>
      <c r="F993" s="2">
        <f>1300*494.5</f>
        <v>642850</v>
      </c>
      <c r="G993" s="2">
        <v>0</v>
      </c>
      <c r="H993" s="2">
        <v>0</v>
      </c>
      <c r="I993" s="2">
        <v>0</v>
      </c>
      <c r="J993" s="2">
        <v>0</v>
      </c>
      <c r="K993" s="21">
        <v>0</v>
      </c>
      <c r="L993" s="2">
        <v>0</v>
      </c>
      <c r="M993" s="2">
        <v>377.5</v>
      </c>
      <c r="N993" s="2">
        <f>M993*6600</f>
        <v>2491500</v>
      </c>
      <c r="O993" s="2">
        <v>0</v>
      </c>
      <c r="P993" s="2">
        <v>0</v>
      </c>
      <c r="Q993" s="2">
        <v>436.7</v>
      </c>
      <c r="R993" s="2">
        <f t="shared" ref="R993:R996" si="1410">Q993*3200</f>
        <v>1397440</v>
      </c>
      <c r="S993" s="2">
        <v>0</v>
      </c>
      <c r="T993" s="2">
        <v>100000</v>
      </c>
      <c r="U993" s="6">
        <f t="shared" si="1379"/>
        <v>6600</v>
      </c>
      <c r="V993" s="1"/>
      <c r="W993" s="1"/>
      <c r="X993" s="1"/>
      <c r="Y993" s="1"/>
      <c r="Z993" s="1"/>
      <c r="AA993" s="1"/>
      <c r="AB993" s="3"/>
    </row>
    <row r="994" spans="1:28" ht="22.9" customHeight="1" x14ac:dyDescent="0.25">
      <c r="A994" s="39" t="s">
        <v>1965</v>
      </c>
      <c r="B994" s="9" t="s">
        <v>444</v>
      </c>
      <c r="C994" s="8">
        <f t="shared" si="1405"/>
        <v>5421340</v>
      </c>
      <c r="D994" s="2">
        <f t="shared" si="1406"/>
        <v>1432400.0000000002</v>
      </c>
      <c r="E994" s="2">
        <f>700*716.2</f>
        <v>501340.00000000006</v>
      </c>
      <c r="F994" s="2">
        <f>1300*716.2</f>
        <v>931060.00000000012</v>
      </c>
      <c r="G994" s="2">
        <v>0</v>
      </c>
      <c r="H994" s="2">
        <v>0</v>
      </c>
      <c r="I994" s="2">
        <v>0</v>
      </c>
      <c r="J994" s="2">
        <v>0</v>
      </c>
      <c r="K994" s="21">
        <v>0</v>
      </c>
      <c r="L994" s="2">
        <v>0</v>
      </c>
      <c r="M994" s="8">
        <v>377.5</v>
      </c>
      <c r="N994" s="2">
        <f>M994*6600</f>
        <v>2491500</v>
      </c>
      <c r="O994" s="2">
        <v>0</v>
      </c>
      <c r="P994" s="2">
        <v>0</v>
      </c>
      <c r="Q994" s="2">
        <v>436.7</v>
      </c>
      <c r="R994" s="2">
        <f t="shared" si="1410"/>
        <v>1397440</v>
      </c>
      <c r="S994" s="2">
        <v>0</v>
      </c>
      <c r="T994" s="2">
        <v>100000</v>
      </c>
      <c r="U994" s="6">
        <f t="shared" si="1379"/>
        <v>6600</v>
      </c>
      <c r="V994" s="1"/>
      <c r="W994" s="1"/>
      <c r="X994" s="1"/>
      <c r="Y994" s="1"/>
      <c r="Z994" s="1"/>
      <c r="AA994" s="1"/>
      <c r="AB994" s="3"/>
    </row>
    <row r="995" spans="1:28" ht="22.9" customHeight="1" x14ac:dyDescent="0.25">
      <c r="A995" s="39" t="s">
        <v>1966</v>
      </c>
      <c r="B995" s="9" t="s">
        <v>445</v>
      </c>
      <c r="C995" s="8">
        <f t="shared" si="1405"/>
        <v>8680920</v>
      </c>
      <c r="D995" s="2">
        <f t="shared" si="1406"/>
        <v>4506000</v>
      </c>
      <c r="E995" s="2">
        <f>2253*700</f>
        <v>1577100</v>
      </c>
      <c r="F995" s="2">
        <f>2253*1300</f>
        <v>2928900</v>
      </c>
      <c r="G995" s="2">
        <v>0</v>
      </c>
      <c r="H995" s="2">
        <v>0</v>
      </c>
      <c r="I995" s="2">
        <v>0</v>
      </c>
      <c r="J995" s="2">
        <v>0</v>
      </c>
      <c r="K995" s="21">
        <v>0</v>
      </c>
      <c r="L995" s="2">
        <v>0</v>
      </c>
      <c r="M995" s="2">
        <v>0</v>
      </c>
      <c r="N995" s="2">
        <v>0</v>
      </c>
      <c r="O995" s="2">
        <v>487.5</v>
      </c>
      <c r="P995" s="2">
        <f>O995*1200</f>
        <v>585000</v>
      </c>
      <c r="Q995" s="8">
        <v>1090.5999999999999</v>
      </c>
      <c r="R995" s="2">
        <f t="shared" si="1410"/>
        <v>3489919.9999999995</v>
      </c>
      <c r="S995" s="2">
        <v>0</v>
      </c>
      <c r="T995" s="2">
        <v>100000</v>
      </c>
      <c r="U995" s="6" t="e">
        <f t="shared" si="1379"/>
        <v>#DIV/0!</v>
      </c>
      <c r="V995" s="1"/>
      <c r="W995" s="1"/>
      <c r="X995" s="1"/>
      <c r="Y995" s="1"/>
      <c r="Z995" s="1"/>
      <c r="AA995" s="1"/>
      <c r="AB995" s="3"/>
    </row>
    <row r="996" spans="1:28" ht="22.9" customHeight="1" x14ac:dyDescent="0.25">
      <c r="A996" s="39" t="s">
        <v>1967</v>
      </c>
      <c r="B996" s="9" t="s">
        <v>446</v>
      </c>
      <c r="C996" s="8">
        <f t="shared" si="1405"/>
        <v>6399240</v>
      </c>
      <c r="D996" s="2">
        <f t="shared" si="1406"/>
        <v>2204800</v>
      </c>
      <c r="E996" s="2">
        <f>700*848</f>
        <v>593600</v>
      </c>
      <c r="F996" s="2">
        <f>1300*848</f>
        <v>1102400</v>
      </c>
      <c r="G996" s="2">
        <f>300*848</f>
        <v>254400</v>
      </c>
      <c r="H996" s="2">
        <f>500*0</f>
        <v>0</v>
      </c>
      <c r="I996" s="2">
        <f>300*848</f>
        <v>254400</v>
      </c>
      <c r="J996" s="2">
        <f t="shared" ref="J996:J1000" si="1411">350*0</f>
        <v>0</v>
      </c>
      <c r="K996" s="21">
        <v>0</v>
      </c>
      <c r="L996" s="2">
        <v>0</v>
      </c>
      <c r="M996" s="2">
        <v>0</v>
      </c>
      <c r="N996" s="2">
        <v>0</v>
      </c>
      <c r="O996" s="2">
        <v>156.30000000000001</v>
      </c>
      <c r="P996" s="2">
        <f>O996*1200</f>
        <v>187560</v>
      </c>
      <c r="Q996" s="2">
        <v>1220.9000000000001</v>
      </c>
      <c r="R996" s="2">
        <f t="shared" si="1410"/>
        <v>3906880.0000000005</v>
      </c>
      <c r="S996" s="2">
        <v>0</v>
      </c>
      <c r="T996" s="2">
        <v>100000</v>
      </c>
      <c r="U996" s="6" t="e">
        <f t="shared" si="1379"/>
        <v>#DIV/0!</v>
      </c>
      <c r="V996" s="1"/>
      <c r="W996" s="1"/>
      <c r="X996" s="1"/>
      <c r="Y996" s="1"/>
      <c r="Z996" s="1"/>
      <c r="AA996" s="1"/>
      <c r="AB996" s="3"/>
    </row>
    <row r="997" spans="1:28" ht="22.9" customHeight="1" x14ac:dyDescent="0.25">
      <c r="A997" s="39" t="s">
        <v>1968</v>
      </c>
      <c r="B997" s="9" t="s">
        <v>447</v>
      </c>
      <c r="C997" s="8">
        <f t="shared" si="1405"/>
        <v>4954200</v>
      </c>
      <c r="D997" s="2">
        <f t="shared" si="1406"/>
        <v>4854200</v>
      </c>
      <c r="E997" s="2">
        <f>700*1867</f>
        <v>1306900</v>
      </c>
      <c r="F997" s="2">
        <f>1300*1867</f>
        <v>2427100</v>
      </c>
      <c r="G997" s="2">
        <f>300*1867</f>
        <v>560100</v>
      </c>
      <c r="H997" s="2">
        <f>500*0</f>
        <v>0</v>
      </c>
      <c r="I997" s="2">
        <f>300*1867</f>
        <v>560100</v>
      </c>
      <c r="J997" s="2">
        <f t="shared" si="1408"/>
        <v>0</v>
      </c>
      <c r="K997" s="21">
        <v>0</v>
      </c>
      <c r="L997" s="2">
        <v>0</v>
      </c>
      <c r="M997" s="2">
        <v>0</v>
      </c>
      <c r="N997" s="2">
        <v>0</v>
      </c>
      <c r="O997" s="2">
        <v>0</v>
      </c>
      <c r="P997" s="2">
        <f>O997*410</f>
        <v>0</v>
      </c>
      <c r="Q997" s="8">
        <v>0</v>
      </c>
      <c r="R997" s="2">
        <v>0</v>
      </c>
      <c r="S997" s="2">
        <v>0</v>
      </c>
      <c r="T997" s="2">
        <v>100000</v>
      </c>
      <c r="U997" s="6" t="e">
        <f t="shared" si="1379"/>
        <v>#DIV/0!</v>
      </c>
      <c r="V997" s="1"/>
      <c r="W997" s="1"/>
      <c r="X997" s="1"/>
      <c r="Y997" s="1"/>
      <c r="Z997" s="1"/>
      <c r="AA997" s="1"/>
      <c r="AB997" s="3"/>
    </row>
    <row r="998" spans="1:28" ht="22.9" customHeight="1" x14ac:dyDescent="0.25">
      <c r="A998" s="39" t="s">
        <v>1969</v>
      </c>
      <c r="B998" s="9" t="s">
        <v>448</v>
      </c>
      <c r="C998" s="8">
        <f t="shared" si="1405"/>
        <v>22033405</v>
      </c>
      <c r="D998" s="2">
        <f t="shared" si="1406"/>
        <v>11497500</v>
      </c>
      <c r="E998" s="2">
        <f>700*3832.5</f>
        <v>2682750</v>
      </c>
      <c r="F998" s="2">
        <f>1300*3832.5</f>
        <v>4982250</v>
      </c>
      <c r="G998" s="2">
        <f>300*3832.5</f>
        <v>1149750</v>
      </c>
      <c r="H998" s="2">
        <f>400*3832.5</f>
        <v>1533000</v>
      </c>
      <c r="I998" s="2">
        <f>300*3832.5</f>
        <v>1149750</v>
      </c>
      <c r="J998" s="2">
        <f t="shared" si="1411"/>
        <v>0</v>
      </c>
      <c r="K998" s="21">
        <v>0</v>
      </c>
      <c r="L998" s="2">
        <v>0</v>
      </c>
      <c r="M998" s="2">
        <v>795.7</v>
      </c>
      <c r="N998" s="2">
        <f>M998*4450</f>
        <v>3540865</v>
      </c>
      <c r="O998" s="2">
        <v>0</v>
      </c>
      <c r="P998" s="2">
        <f>O998*410</f>
        <v>0</v>
      </c>
      <c r="Q998" s="2">
        <v>2154.6999999999998</v>
      </c>
      <c r="R998" s="2">
        <f>Q998*3200</f>
        <v>6895039.9999999991</v>
      </c>
      <c r="S998" s="2">
        <v>0</v>
      </c>
      <c r="T998" s="2">
        <v>100000</v>
      </c>
      <c r="U998" s="6">
        <f t="shared" si="1379"/>
        <v>4450</v>
      </c>
      <c r="V998" s="1"/>
      <c r="W998" s="1"/>
      <c r="X998" s="1"/>
      <c r="Y998" s="1"/>
      <c r="Z998" s="1"/>
      <c r="AA998" s="1"/>
      <c r="AB998" s="3"/>
    </row>
    <row r="999" spans="1:28" ht="22.9" customHeight="1" x14ac:dyDescent="0.25">
      <c r="A999" s="39" t="s">
        <v>1970</v>
      </c>
      <c r="B999" s="9" t="s">
        <v>449</v>
      </c>
      <c r="C999" s="8">
        <f t="shared" si="1405"/>
        <v>3370280</v>
      </c>
      <c r="D999" s="2">
        <f t="shared" si="1406"/>
        <v>3270280</v>
      </c>
      <c r="E999" s="2">
        <f>700*1257.8</f>
        <v>880460</v>
      </c>
      <c r="F999" s="2">
        <f>1300*1257.8</f>
        <v>1635140</v>
      </c>
      <c r="G999" s="2">
        <f>300*1257.8</f>
        <v>377340</v>
      </c>
      <c r="H999" s="2">
        <v>0</v>
      </c>
      <c r="I999" s="2">
        <f>300*1257.8</f>
        <v>377340</v>
      </c>
      <c r="J999" s="2">
        <f t="shared" si="1411"/>
        <v>0</v>
      </c>
      <c r="K999" s="21">
        <v>0</v>
      </c>
      <c r="L999" s="2">
        <v>0</v>
      </c>
      <c r="M999" s="2">
        <v>0</v>
      </c>
      <c r="N999" s="2">
        <v>0</v>
      </c>
      <c r="O999" s="2">
        <v>0</v>
      </c>
      <c r="P999" s="2">
        <v>0</v>
      </c>
      <c r="Q999" s="2">
        <v>0</v>
      </c>
      <c r="R999" s="2">
        <v>0</v>
      </c>
      <c r="S999" s="2">
        <v>0</v>
      </c>
      <c r="T999" s="2">
        <v>100000</v>
      </c>
      <c r="U999" s="6" t="e">
        <f t="shared" si="1379"/>
        <v>#DIV/0!</v>
      </c>
      <c r="V999" s="1"/>
      <c r="W999" s="1"/>
      <c r="X999" s="1"/>
      <c r="Y999" s="1"/>
      <c r="Z999" s="1"/>
      <c r="AA999" s="1"/>
      <c r="AB999" s="3"/>
    </row>
    <row r="1000" spans="1:28" ht="22.9" customHeight="1" x14ac:dyDescent="0.25">
      <c r="A1000" s="39" t="s">
        <v>1971</v>
      </c>
      <c r="B1000" s="9" t="s">
        <v>450</v>
      </c>
      <c r="C1000" s="8">
        <f t="shared" si="1405"/>
        <v>16421760</v>
      </c>
      <c r="D1000" s="2">
        <f t="shared" si="1406"/>
        <v>9174880</v>
      </c>
      <c r="E1000" s="2">
        <f>700*3528.8</f>
        <v>2470160</v>
      </c>
      <c r="F1000" s="2">
        <f>1300*3528.8</f>
        <v>4587440</v>
      </c>
      <c r="G1000" s="2">
        <f>300*3528.8</f>
        <v>1058640</v>
      </c>
      <c r="H1000" s="2">
        <v>0</v>
      </c>
      <c r="I1000" s="2">
        <f>300*3528.8</f>
        <v>1058640</v>
      </c>
      <c r="J1000" s="2">
        <f t="shared" si="1411"/>
        <v>0</v>
      </c>
      <c r="K1000" s="21">
        <v>0</v>
      </c>
      <c r="L1000" s="2">
        <v>0</v>
      </c>
      <c r="M1000" s="2">
        <v>0</v>
      </c>
      <c r="N1000" s="2">
        <v>0</v>
      </c>
      <c r="O1000" s="2">
        <v>0</v>
      </c>
      <c r="P1000" s="2">
        <v>0</v>
      </c>
      <c r="Q1000" s="2">
        <v>2233.4</v>
      </c>
      <c r="R1000" s="2">
        <f>Q1000*3200</f>
        <v>7146880</v>
      </c>
      <c r="S1000" s="2">
        <v>0</v>
      </c>
      <c r="T1000" s="2">
        <v>100000</v>
      </c>
      <c r="U1000" s="6" t="e">
        <f t="shared" si="1379"/>
        <v>#DIV/0!</v>
      </c>
      <c r="V1000" s="1"/>
      <c r="W1000" s="1"/>
      <c r="X1000" s="1"/>
      <c r="Y1000" s="1"/>
      <c r="Z1000" s="1"/>
      <c r="AA1000" s="1"/>
      <c r="AB1000" s="3"/>
    </row>
    <row r="1001" spans="1:28" ht="22.9" customHeight="1" x14ac:dyDescent="0.25">
      <c r="A1001" s="39" t="s">
        <v>1972</v>
      </c>
      <c r="B1001" s="9" t="s">
        <v>451</v>
      </c>
      <c r="C1001" s="8">
        <f t="shared" si="1405"/>
        <v>9055260</v>
      </c>
      <c r="D1001" s="2">
        <f t="shared" si="1406"/>
        <v>3869840.0000000005</v>
      </c>
      <c r="E1001" s="2">
        <f>700*1488.4</f>
        <v>1041880.0000000001</v>
      </c>
      <c r="F1001" s="2">
        <f>1300*1488.4</f>
        <v>1934920.0000000002</v>
      </c>
      <c r="G1001" s="2">
        <f>300*1488.4</f>
        <v>446520</v>
      </c>
      <c r="H1001" s="2">
        <v>0</v>
      </c>
      <c r="I1001" s="2">
        <f>300*1488.4</f>
        <v>446520</v>
      </c>
      <c r="J1001" s="2">
        <v>0</v>
      </c>
      <c r="K1001" s="21">
        <v>0</v>
      </c>
      <c r="L1001" s="2">
        <v>0</v>
      </c>
      <c r="M1001" s="2">
        <v>577.5</v>
      </c>
      <c r="N1001" s="2">
        <f>M1001*6600</f>
        <v>3811500</v>
      </c>
      <c r="O1001" s="2">
        <v>0</v>
      </c>
      <c r="P1001" s="2">
        <v>0</v>
      </c>
      <c r="Q1001" s="2">
        <v>398.1</v>
      </c>
      <c r="R1001" s="2">
        <f>Q1001*3200</f>
        <v>1273920</v>
      </c>
      <c r="S1001" s="2">
        <v>0</v>
      </c>
      <c r="T1001" s="2">
        <v>100000</v>
      </c>
      <c r="U1001" s="6">
        <f t="shared" si="1379"/>
        <v>6600</v>
      </c>
      <c r="V1001" s="1"/>
      <c r="W1001" s="1"/>
      <c r="X1001" s="1"/>
      <c r="Y1001" s="1"/>
      <c r="Z1001" s="1"/>
      <c r="AA1001" s="1"/>
      <c r="AB1001" s="3"/>
    </row>
    <row r="1002" spans="1:28" ht="22.9" customHeight="1" x14ac:dyDescent="0.25">
      <c r="A1002" s="39" t="s">
        <v>1973</v>
      </c>
      <c r="B1002" s="9" t="s">
        <v>452</v>
      </c>
      <c r="C1002" s="8">
        <f t="shared" si="1405"/>
        <v>6895620</v>
      </c>
      <c r="D1002" s="2">
        <f t="shared" si="1406"/>
        <v>2911820</v>
      </c>
      <c r="E1002" s="2">
        <f>700*1098.8</f>
        <v>769160</v>
      </c>
      <c r="F1002" s="2">
        <f>1300*1098.8</f>
        <v>1428440</v>
      </c>
      <c r="G1002" s="2">
        <f>350*1098.8</f>
        <v>384580</v>
      </c>
      <c r="H1002" s="2">
        <f>500*0</f>
        <v>0</v>
      </c>
      <c r="I1002" s="2">
        <f>300*1098.8</f>
        <v>329640</v>
      </c>
      <c r="J1002" s="2">
        <v>0</v>
      </c>
      <c r="K1002" s="21">
        <v>0</v>
      </c>
      <c r="L1002" s="2">
        <v>0</v>
      </c>
      <c r="M1002" s="2">
        <v>361.4</v>
      </c>
      <c r="N1002" s="2">
        <f>M1002*6600</f>
        <v>2385240</v>
      </c>
      <c r="O1002" s="2">
        <v>0</v>
      </c>
      <c r="P1002" s="2">
        <v>0</v>
      </c>
      <c r="Q1002" s="2">
        <v>468.3</v>
      </c>
      <c r="R1002" s="2">
        <f>Q1002*3200</f>
        <v>1498560</v>
      </c>
      <c r="S1002" s="2">
        <v>0</v>
      </c>
      <c r="T1002" s="2">
        <v>100000</v>
      </c>
      <c r="U1002" s="6">
        <f t="shared" si="1379"/>
        <v>6600</v>
      </c>
      <c r="V1002" s="1"/>
      <c r="W1002" s="1"/>
      <c r="X1002" s="1"/>
      <c r="Y1002" s="1"/>
      <c r="Z1002" s="1"/>
      <c r="AA1002" s="1"/>
      <c r="AB1002" s="3"/>
    </row>
    <row r="1003" spans="1:28" ht="22.9" customHeight="1" x14ac:dyDescent="0.25">
      <c r="A1003" s="39" t="s">
        <v>1974</v>
      </c>
      <c r="B1003" s="5" t="s">
        <v>453</v>
      </c>
      <c r="C1003" s="8">
        <f t="shared" si="1405"/>
        <v>2191440</v>
      </c>
      <c r="D1003" s="2">
        <f t="shared" si="1406"/>
        <v>2091440</v>
      </c>
      <c r="E1003" s="2">
        <f>804.4*700</f>
        <v>563080</v>
      </c>
      <c r="F1003" s="2">
        <f>804.4*1300</f>
        <v>1045720</v>
      </c>
      <c r="G1003" s="2">
        <f>804.4*300</f>
        <v>241320</v>
      </c>
      <c r="H1003" s="2">
        <v>0</v>
      </c>
      <c r="I1003" s="2">
        <f>804.4*300</f>
        <v>241320</v>
      </c>
      <c r="J1003" s="2">
        <v>0</v>
      </c>
      <c r="K1003" s="21">
        <v>0</v>
      </c>
      <c r="L1003" s="2">
        <v>0</v>
      </c>
      <c r="M1003" s="2">
        <v>0</v>
      </c>
      <c r="N1003" s="2">
        <v>0</v>
      </c>
      <c r="O1003" s="2">
        <v>0</v>
      </c>
      <c r="P1003" s="2">
        <v>0</v>
      </c>
      <c r="Q1003" s="2">
        <v>0</v>
      </c>
      <c r="R1003" s="2">
        <v>0</v>
      </c>
      <c r="S1003" s="2">
        <v>0</v>
      </c>
      <c r="T1003" s="2">
        <v>100000</v>
      </c>
      <c r="U1003" s="6" t="e">
        <f t="shared" si="1379"/>
        <v>#DIV/0!</v>
      </c>
      <c r="V1003" s="1"/>
      <c r="W1003" s="1"/>
      <c r="X1003" s="1"/>
      <c r="Y1003" s="1"/>
      <c r="Z1003" s="1"/>
      <c r="AA1003" s="1"/>
      <c r="AB1003" s="3"/>
    </row>
    <row r="1004" spans="1:28" ht="22.9" customHeight="1" x14ac:dyDescent="0.25">
      <c r="A1004" s="39" t="s">
        <v>1975</v>
      </c>
      <c r="B1004" s="9" t="s">
        <v>454</v>
      </c>
      <c r="C1004" s="8">
        <f t="shared" si="1405"/>
        <v>3102910</v>
      </c>
      <c r="D1004" s="2">
        <f t="shared" si="1406"/>
        <v>391650</v>
      </c>
      <c r="E1004" s="2">
        <f>700*559.5</f>
        <v>391650</v>
      </c>
      <c r="F1004" s="2">
        <f>800*0</f>
        <v>0</v>
      </c>
      <c r="G1004" s="2">
        <f>350*0</f>
        <v>0</v>
      </c>
      <c r="H1004" s="2">
        <f>500*0</f>
        <v>0</v>
      </c>
      <c r="I1004" s="2">
        <f>400*0</f>
        <v>0</v>
      </c>
      <c r="J1004" s="2">
        <v>0</v>
      </c>
      <c r="K1004" s="21">
        <v>0</v>
      </c>
      <c r="L1004" s="2">
        <v>0</v>
      </c>
      <c r="M1004" s="2">
        <v>209.9</v>
      </c>
      <c r="N1004" s="2">
        <f>M1004*6600</f>
        <v>1385340</v>
      </c>
      <c r="O1004" s="2">
        <v>0</v>
      </c>
      <c r="P1004" s="2">
        <v>0</v>
      </c>
      <c r="Q1004" s="2">
        <v>383.1</v>
      </c>
      <c r="R1004" s="2">
        <f>Q1004*3200</f>
        <v>1225920</v>
      </c>
      <c r="S1004" s="2">
        <v>0</v>
      </c>
      <c r="T1004" s="2">
        <v>100000</v>
      </c>
      <c r="U1004" s="6">
        <f t="shared" si="1379"/>
        <v>6600</v>
      </c>
      <c r="V1004" s="1"/>
      <c r="W1004" s="1"/>
      <c r="X1004" s="1"/>
      <c r="Y1004" s="1"/>
      <c r="Z1004" s="1"/>
      <c r="AA1004" s="1"/>
      <c r="AB1004" s="3"/>
    </row>
    <row r="1005" spans="1:28" ht="22.9" customHeight="1" x14ac:dyDescent="0.25">
      <c r="A1005" s="39" t="s">
        <v>1976</v>
      </c>
      <c r="B1005" s="9" t="s">
        <v>455</v>
      </c>
      <c r="C1005" s="8">
        <f t="shared" si="1405"/>
        <v>5028165</v>
      </c>
      <c r="D1005" s="2">
        <f t="shared" si="1406"/>
        <v>2753085.0000000005</v>
      </c>
      <c r="E1005" s="2">
        <f>700*1038.9</f>
        <v>727230.00000000012</v>
      </c>
      <c r="F1005" s="2">
        <f>1300*1038.9</f>
        <v>1350570.0000000002</v>
      </c>
      <c r="G1005" s="2">
        <f>350*1038.9</f>
        <v>363615.00000000006</v>
      </c>
      <c r="H1005" s="2">
        <f>500*0</f>
        <v>0</v>
      </c>
      <c r="I1005" s="2">
        <f>300*1038.9</f>
        <v>311670</v>
      </c>
      <c r="J1005" s="2">
        <v>0</v>
      </c>
      <c r="K1005" s="21">
        <v>0</v>
      </c>
      <c r="L1005" s="2">
        <v>0</v>
      </c>
      <c r="M1005" s="2">
        <v>0</v>
      </c>
      <c r="N1005" s="2">
        <v>0</v>
      </c>
      <c r="O1005" s="2">
        <v>109.9</v>
      </c>
      <c r="P1005" s="2">
        <f>O1005*1200</f>
        <v>131880</v>
      </c>
      <c r="Q1005" s="2">
        <v>638.5</v>
      </c>
      <c r="R1005" s="2">
        <f>Q1005*3200</f>
        <v>2043200</v>
      </c>
      <c r="S1005" s="2">
        <v>0</v>
      </c>
      <c r="T1005" s="2">
        <v>100000</v>
      </c>
      <c r="U1005" s="6" t="e">
        <f t="shared" si="1379"/>
        <v>#DIV/0!</v>
      </c>
      <c r="V1005" s="1"/>
      <c r="W1005" s="1"/>
      <c r="X1005" s="1"/>
      <c r="Y1005" s="1"/>
      <c r="Z1005" s="1"/>
      <c r="AA1005" s="1"/>
      <c r="AB1005" s="3"/>
    </row>
    <row r="1006" spans="1:28" ht="45" customHeight="1" x14ac:dyDescent="0.25">
      <c r="A1006" s="43" t="s">
        <v>460</v>
      </c>
      <c r="B1006" s="43"/>
      <c r="C1006" s="1">
        <f>SUM(C1007:C1009)</f>
        <v>20717890</v>
      </c>
      <c r="D1006" s="1">
        <f t="shared" ref="D1006:T1006" si="1412">SUM(D1007:D1009)</f>
        <v>1219890</v>
      </c>
      <c r="E1006" s="1">
        <f t="shared" si="1412"/>
        <v>1219890</v>
      </c>
      <c r="F1006" s="1">
        <f t="shared" si="1412"/>
        <v>0</v>
      </c>
      <c r="G1006" s="1">
        <f t="shared" si="1412"/>
        <v>0</v>
      </c>
      <c r="H1006" s="1">
        <f t="shared" si="1412"/>
        <v>0</v>
      </c>
      <c r="I1006" s="1">
        <f t="shared" si="1412"/>
        <v>0</v>
      </c>
      <c r="J1006" s="1">
        <f t="shared" si="1412"/>
        <v>0</v>
      </c>
      <c r="K1006" s="33">
        <f t="shared" si="1412"/>
        <v>0</v>
      </c>
      <c r="L1006" s="1">
        <f t="shared" si="1412"/>
        <v>0</v>
      </c>
      <c r="M1006" s="1">
        <f t="shared" si="1412"/>
        <v>1940</v>
      </c>
      <c r="N1006" s="1">
        <f t="shared" si="1412"/>
        <v>12804000</v>
      </c>
      <c r="O1006" s="1">
        <f t="shared" si="1412"/>
        <v>0</v>
      </c>
      <c r="P1006" s="1">
        <f t="shared" si="1412"/>
        <v>0</v>
      </c>
      <c r="Q1006" s="1">
        <f t="shared" si="1412"/>
        <v>2045</v>
      </c>
      <c r="R1006" s="1">
        <f t="shared" si="1412"/>
        <v>6544000</v>
      </c>
      <c r="S1006" s="1">
        <f t="shared" si="1412"/>
        <v>0</v>
      </c>
      <c r="T1006" s="1">
        <f t="shared" si="1412"/>
        <v>150000</v>
      </c>
      <c r="U1006" s="3" t="e">
        <f>C1006+#REF!+#REF!</f>
        <v>#REF!</v>
      </c>
    </row>
    <row r="1007" spans="1:28" ht="22.9" customHeight="1" x14ac:dyDescent="0.25">
      <c r="A1007" s="39" t="s">
        <v>1977</v>
      </c>
      <c r="B1007" s="9" t="s">
        <v>468</v>
      </c>
      <c r="C1007" s="8">
        <f t="shared" ref="C1007:C1009" si="1413">D1007+L1007+N1007+P1007+R1007+S1007+T1007</f>
        <v>8995560</v>
      </c>
      <c r="D1007" s="2">
        <f t="shared" ref="D1007:D1009" si="1414">SUM(E1007:J1007)</f>
        <v>399559.99999999994</v>
      </c>
      <c r="E1007" s="2">
        <f>700*570.8</f>
        <v>399559.99999999994</v>
      </c>
      <c r="F1007" s="2">
        <v>0</v>
      </c>
      <c r="G1007" s="2">
        <v>0</v>
      </c>
      <c r="H1007" s="2">
        <v>0</v>
      </c>
      <c r="I1007" s="2">
        <v>0</v>
      </c>
      <c r="J1007" s="2">
        <v>0</v>
      </c>
      <c r="K1007" s="21">
        <v>0</v>
      </c>
      <c r="L1007" s="2">
        <v>0</v>
      </c>
      <c r="M1007" s="2">
        <v>970</v>
      </c>
      <c r="N1007" s="2">
        <f>M1007*6600</f>
        <v>6402000</v>
      </c>
      <c r="O1007" s="2">
        <v>0</v>
      </c>
      <c r="P1007" s="2">
        <v>0</v>
      </c>
      <c r="Q1007" s="2">
        <v>670</v>
      </c>
      <c r="R1007" s="2">
        <f t="shared" ref="R1007:R1023" si="1415">Q1007*3200</f>
        <v>2144000</v>
      </c>
      <c r="S1007" s="2">
        <v>0</v>
      </c>
      <c r="T1007" s="2">
        <v>50000</v>
      </c>
      <c r="U1007" s="6">
        <f t="shared" si="1379"/>
        <v>6600</v>
      </c>
      <c r="V1007" s="1"/>
      <c r="W1007" s="1"/>
      <c r="X1007" s="1"/>
      <c r="Y1007" s="1"/>
      <c r="Z1007" s="1"/>
      <c r="AA1007" s="1"/>
      <c r="AB1007" s="3"/>
    </row>
    <row r="1008" spans="1:28" ht="22.9" customHeight="1" x14ac:dyDescent="0.25">
      <c r="A1008" s="39" t="s">
        <v>1978</v>
      </c>
      <c r="B1008" s="9" t="s">
        <v>469</v>
      </c>
      <c r="C1008" s="8">
        <f t="shared" si="1413"/>
        <v>8998500</v>
      </c>
      <c r="D1008" s="2">
        <f t="shared" si="1414"/>
        <v>402500</v>
      </c>
      <c r="E1008" s="2">
        <f>700*575</f>
        <v>402500</v>
      </c>
      <c r="F1008" s="2">
        <v>0</v>
      </c>
      <c r="G1008" s="2">
        <v>0</v>
      </c>
      <c r="H1008" s="2">
        <v>0</v>
      </c>
      <c r="I1008" s="2">
        <v>0</v>
      </c>
      <c r="J1008" s="2">
        <v>0</v>
      </c>
      <c r="K1008" s="21">
        <v>0</v>
      </c>
      <c r="L1008" s="2">
        <v>0</v>
      </c>
      <c r="M1008" s="2">
        <v>970</v>
      </c>
      <c r="N1008" s="2">
        <f>M1008*6600</f>
        <v>6402000</v>
      </c>
      <c r="O1008" s="2">
        <v>0</v>
      </c>
      <c r="P1008" s="2">
        <v>0</v>
      </c>
      <c r="Q1008" s="2">
        <v>670</v>
      </c>
      <c r="R1008" s="2">
        <f t="shared" si="1415"/>
        <v>2144000</v>
      </c>
      <c r="S1008" s="2">
        <v>0</v>
      </c>
      <c r="T1008" s="2">
        <v>50000</v>
      </c>
      <c r="U1008" s="6">
        <f t="shared" si="1379"/>
        <v>6600</v>
      </c>
      <c r="V1008" s="1"/>
      <c r="W1008" s="1"/>
      <c r="X1008" s="1"/>
      <c r="Y1008" s="1"/>
      <c r="Z1008" s="1"/>
      <c r="AA1008" s="1"/>
      <c r="AB1008" s="3"/>
    </row>
    <row r="1009" spans="1:29" ht="22.9" customHeight="1" x14ac:dyDescent="0.25">
      <c r="A1009" s="39" t="s">
        <v>1979</v>
      </c>
      <c r="B1009" s="9" t="s">
        <v>470</v>
      </c>
      <c r="C1009" s="8">
        <f t="shared" si="1413"/>
        <v>2723830</v>
      </c>
      <c r="D1009" s="2">
        <f t="shared" si="1414"/>
        <v>417830</v>
      </c>
      <c r="E1009" s="2">
        <f>700*596.9</f>
        <v>417830</v>
      </c>
      <c r="F1009" s="2">
        <v>0</v>
      </c>
      <c r="G1009" s="2">
        <v>0</v>
      </c>
      <c r="H1009" s="2">
        <v>0</v>
      </c>
      <c r="I1009" s="2">
        <v>0</v>
      </c>
      <c r="J1009" s="2">
        <v>0</v>
      </c>
      <c r="K1009" s="21">
        <v>0</v>
      </c>
      <c r="L1009" s="2">
        <v>0</v>
      </c>
      <c r="M1009" s="2">
        <v>0</v>
      </c>
      <c r="N1009" s="2">
        <v>0</v>
      </c>
      <c r="O1009" s="2">
        <v>0</v>
      </c>
      <c r="P1009" s="2">
        <v>0</v>
      </c>
      <c r="Q1009" s="8">
        <v>705</v>
      </c>
      <c r="R1009" s="2">
        <f t="shared" si="1415"/>
        <v>2256000</v>
      </c>
      <c r="S1009" s="2">
        <v>0</v>
      </c>
      <c r="T1009" s="2">
        <v>50000</v>
      </c>
      <c r="U1009" s="6" t="e">
        <f t="shared" si="1379"/>
        <v>#DIV/0!</v>
      </c>
      <c r="V1009" s="1"/>
      <c r="W1009" s="1"/>
      <c r="X1009" s="1"/>
      <c r="Y1009" s="1"/>
      <c r="Z1009" s="1"/>
      <c r="AA1009" s="1"/>
      <c r="AB1009" s="3"/>
    </row>
    <row r="1010" spans="1:29" ht="45" customHeight="1" x14ac:dyDescent="0.25">
      <c r="A1010" s="43" t="s">
        <v>471</v>
      </c>
      <c r="B1010" s="43"/>
      <c r="C1010" s="1">
        <f>SUM(C1011:C1014)</f>
        <v>18572748</v>
      </c>
      <c r="D1010" s="1">
        <f t="shared" ref="D1010:T1010" si="1416">SUM(D1011:D1014)</f>
        <v>3172970</v>
      </c>
      <c r="E1010" s="1">
        <f t="shared" si="1416"/>
        <v>945140</v>
      </c>
      <c r="F1010" s="1">
        <f t="shared" si="1416"/>
        <v>1755260</v>
      </c>
      <c r="G1010" s="1">
        <f t="shared" si="1416"/>
        <v>472570</v>
      </c>
      <c r="H1010" s="1">
        <f t="shared" si="1416"/>
        <v>0</v>
      </c>
      <c r="I1010" s="1">
        <f t="shared" si="1416"/>
        <v>0</v>
      </c>
      <c r="J1010" s="1">
        <f t="shared" si="1416"/>
        <v>0</v>
      </c>
      <c r="K1010" s="33">
        <f t="shared" si="1416"/>
        <v>0</v>
      </c>
      <c r="L1010" s="1">
        <f t="shared" si="1416"/>
        <v>0</v>
      </c>
      <c r="M1010" s="1">
        <f t="shared" si="1416"/>
        <v>1632.6299999999999</v>
      </c>
      <c r="N1010" s="1">
        <f>SUM(N1011:N1016)</f>
        <v>16332558</v>
      </c>
      <c r="O1010" s="1">
        <f t="shared" si="1416"/>
        <v>0</v>
      </c>
      <c r="P1010" s="1">
        <f t="shared" si="1416"/>
        <v>0</v>
      </c>
      <c r="Q1010" s="1">
        <f t="shared" si="1416"/>
        <v>1175.5999999999999</v>
      </c>
      <c r="R1010" s="1">
        <f t="shared" si="1416"/>
        <v>3761920</v>
      </c>
      <c r="S1010" s="1">
        <f t="shared" si="1416"/>
        <v>150000</v>
      </c>
      <c r="T1010" s="1">
        <f t="shared" si="1416"/>
        <v>300000</v>
      </c>
      <c r="U1010" s="3" t="e">
        <f>C1010+#REF!+#REF!</f>
        <v>#REF!</v>
      </c>
    </row>
    <row r="1011" spans="1:29" ht="22.9" customHeight="1" x14ac:dyDescent="0.25">
      <c r="A1011" s="39" t="s">
        <v>1980</v>
      </c>
      <c r="B1011" s="9" t="s">
        <v>479</v>
      </c>
      <c r="C1011" s="7">
        <f t="shared" ref="C1011:C1013" si="1417">D1011+L1011+N1011+P1011+R1011+S1011+T1011</f>
        <v>4973145</v>
      </c>
      <c r="D1011" s="2">
        <f t="shared" ref="D1011:D1014" si="1418">SUM(E1011:J1011)</f>
        <v>996165</v>
      </c>
      <c r="E1011" s="2">
        <f>700*423.9</f>
        <v>296730</v>
      </c>
      <c r="F1011" s="2">
        <f>1300*423.9</f>
        <v>551070</v>
      </c>
      <c r="G1011" s="2">
        <f>350*423.9</f>
        <v>148365</v>
      </c>
      <c r="H1011" s="2">
        <v>0</v>
      </c>
      <c r="I1011" s="2">
        <v>0</v>
      </c>
      <c r="J1011" s="2">
        <v>0</v>
      </c>
      <c r="K1011" s="21">
        <v>0</v>
      </c>
      <c r="L1011" s="2">
        <v>0</v>
      </c>
      <c r="M1011" s="2">
        <v>357.7</v>
      </c>
      <c r="N1011" s="2">
        <f t="shared" ref="N1011:N1013" si="1419">M1011*6600</f>
        <v>2360820</v>
      </c>
      <c r="O1011" s="2">
        <v>0</v>
      </c>
      <c r="P1011" s="2">
        <v>0</v>
      </c>
      <c r="Q1011" s="2">
        <v>473.8</v>
      </c>
      <c r="R1011" s="2">
        <f t="shared" si="1415"/>
        <v>1516160</v>
      </c>
      <c r="S1011" s="2">
        <v>0</v>
      </c>
      <c r="T1011" s="2">
        <v>100000</v>
      </c>
      <c r="U1011" s="6">
        <f t="shared" si="1379"/>
        <v>6600</v>
      </c>
      <c r="V1011" s="1"/>
      <c r="W1011" s="1"/>
      <c r="X1011" s="1"/>
      <c r="Y1011" s="1"/>
      <c r="Z1011" s="1"/>
      <c r="AA1011" s="1"/>
      <c r="AB1011" s="3"/>
    </row>
    <row r="1012" spans="1:29" ht="22.9" customHeight="1" x14ac:dyDescent="0.25">
      <c r="A1012" s="39" t="s">
        <v>1981</v>
      </c>
      <c r="B1012" s="9" t="s">
        <v>480</v>
      </c>
      <c r="C1012" s="7">
        <f t="shared" si="1417"/>
        <v>5652965</v>
      </c>
      <c r="D1012" s="2">
        <f t="shared" si="1418"/>
        <v>1177115</v>
      </c>
      <c r="E1012" s="2">
        <f>700*500.9</f>
        <v>350630</v>
      </c>
      <c r="F1012" s="2">
        <f>1300*500.9</f>
        <v>651170</v>
      </c>
      <c r="G1012" s="2">
        <f>350*500.9</f>
        <v>175315</v>
      </c>
      <c r="H1012" s="2">
        <v>0</v>
      </c>
      <c r="I1012" s="2">
        <v>0</v>
      </c>
      <c r="J1012" s="2">
        <v>0</v>
      </c>
      <c r="K1012" s="21">
        <v>0</v>
      </c>
      <c r="L1012" s="2">
        <v>0</v>
      </c>
      <c r="M1012" s="2">
        <v>410.85</v>
      </c>
      <c r="N1012" s="2">
        <f t="shared" si="1419"/>
        <v>2711610</v>
      </c>
      <c r="O1012" s="2">
        <v>0</v>
      </c>
      <c r="P1012" s="2">
        <v>0</v>
      </c>
      <c r="Q1012" s="2">
        <v>473.2</v>
      </c>
      <c r="R1012" s="2">
        <f t="shared" si="1415"/>
        <v>1514240</v>
      </c>
      <c r="S1012" s="2">
        <v>150000</v>
      </c>
      <c r="T1012" s="2">
        <v>100000</v>
      </c>
      <c r="U1012" s="6">
        <f t="shared" si="1379"/>
        <v>6600</v>
      </c>
      <c r="V1012" s="1"/>
      <c r="W1012" s="1"/>
      <c r="X1012" s="1"/>
      <c r="Y1012" s="1"/>
      <c r="Z1012" s="1"/>
      <c r="AA1012" s="1"/>
      <c r="AB1012" s="3"/>
    </row>
    <row r="1013" spans="1:29" ht="22.9" customHeight="1" x14ac:dyDescent="0.25">
      <c r="A1013" s="39" t="s">
        <v>1982</v>
      </c>
      <c r="B1013" s="9" t="s">
        <v>481</v>
      </c>
      <c r="C1013" s="7">
        <f t="shared" si="1417"/>
        <v>3336828</v>
      </c>
      <c r="D1013" s="2">
        <f t="shared" si="1418"/>
        <v>0</v>
      </c>
      <c r="E1013" s="2">
        <v>0</v>
      </c>
      <c r="F1013" s="2">
        <v>0</v>
      </c>
      <c r="G1013" s="2">
        <v>0</v>
      </c>
      <c r="H1013" s="2">
        <v>0</v>
      </c>
      <c r="I1013" s="2">
        <v>0</v>
      </c>
      <c r="J1013" s="2">
        <v>0</v>
      </c>
      <c r="K1013" s="21">
        <v>0</v>
      </c>
      <c r="L1013" s="2">
        <v>0</v>
      </c>
      <c r="M1013" s="2">
        <v>505.58</v>
      </c>
      <c r="N1013" s="2">
        <f t="shared" si="1419"/>
        <v>3336828</v>
      </c>
      <c r="O1013" s="2">
        <v>0</v>
      </c>
      <c r="P1013" s="2">
        <v>0</v>
      </c>
      <c r="Q1013" s="2">
        <v>0</v>
      </c>
      <c r="R1013" s="2">
        <v>0</v>
      </c>
      <c r="S1013" s="2">
        <v>0</v>
      </c>
      <c r="T1013" s="2">
        <v>0</v>
      </c>
      <c r="U1013" s="6">
        <f t="shared" si="1379"/>
        <v>6600</v>
      </c>
      <c r="V1013" s="1"/>
      <c r="W1013" s="1"/>
      <c r="X1013" s="1"/>
      <c r="Y1013" s="1"/>
      <c r="Z1013" s="1"/>
      <c r="AA1013" s="1"/>
      <c r="AB1013" s="3"/>
    </row>
    <row r="1014" spans="1:29" ht="22.9" customHeight="1" x14ac:dyDescent="0.25">
      <c r="A1014" s="39" t="s">
        <v>1983</v>
      </c>
      <c r="B1014" s="9" t="s">
        <v>482</v>
      </c>
      <c r="C1014" s="7">
        <f>D1014+L1014+N1016+P1014+R1014+S1014+T1014</f>
        <v>4609810</v>
      </c>
      <c r="D1014" s="2">
        <f t="shared" si="1418"/>
        <v>999690</v>
      </c>
      <c r="E1014" s="2">
        <f>700*425.4</f>
        <v>297780</v>
      </c>
      <c r="F1014" s="2">
        <f>1300*425.4</f>
        <v>553020</v>
      </c>
      <c r="G1014" s="2">
        <f>350*425.4</f>
        <v>148890</v>
      </c>
      <c r="H1014" s="2">
        <v>0</v>
      </c>
      <c r="I1014" s="2">
        <v>0</v>
      </c>
      <c r="J1014" s="2">
        <v>0</v>
      </c>
      <c r="K1014" s="21">
        <v>0</v>
      </c>
      <c r="L1014" s="2">
        <v>0</v>
      </c>
      <c r="M1014" s="2">
        <v>358.5</v>
      </c>
      <c r="N1014" s="2">
        <f>M1014*6600</f>
        <v>2366100</v>
      </c>
      <c r="O1014" s="2">
        <v>0</v>
      </c>
      <c r="P1014" s="2">
        <v>0</v>
      </c>
      <c r="Q1014" s="2">
        <v>228.6</v>
      </c>
      <c r="R1014" s="2">
        <f t="shared" si="1415"/>
        <v>731520</v>
      </c>
      <c r="S1014" s="2">
        <v>0</v>
      </c>
      <c r="T1014" s="2">
        <v>100000</v>
      </c>
      <c r="U1014" s="6">
        <f>N1014/M1014</f>
        <v>6600</v>
      </c>
      <c r="V1014" s="1"/>
      <c r="W1014" s="1"/>
      <c r="X1014" s="1"/>
      <c r="Y1014" s="1"/>
      <c r="Z1014" s="1"/>
      <c r="AA1014" s="1"/>
      <c r="AB1014" s="3"/>
    </row>
    <row r="1015" spans="1:29" ht="45" customHeight="1" x14ac:dyDescent="0.25">
      <c r="A1015" s="43" t="s">
        <v>487</v>
      </c>
      <c r="B1015" s="43"/>
      <c r="C1015" s="1">
        <f>SUM(C1016:C1017)</f>
        <v>7687800</v>
      </c>
      <c r="D1015" s="1">
        <f t="shared" ref="D1015:T1015" si="1420">SUM(D1016:D1017)</f>
        <v>1662800</v>
      </c>
      <c r="E1015" s="1">
        <f t="shared" si="1420"/>
        <v>581980</v>
      </c>
      <c r="F1015" s="1">
        <f t="shared" si="1420"/>
        <v>1080820</v>
      </c>
      <c r="G1015" s="1">
        <f t="shared" si="1420"/>
        <v>0</v>
      </c>
      <c r="H1015" s="1">
        <f t="shared" si="1420"/>
        <v>0</v>
      </c>
      <c r="I1015" s="1">
        <f t="shared" si="1420"/>
        <v>0</v>
      </c>
      <c r="J1015" s="1">
        <f t="shared" si="1420"/>
        <v>0</v>
      </c>
      <c r="K1015" s="33">
        <f t="shared" si="1420"/>
        <v>0</v>
      </c>
      <c r="L1015" s="1">
        <f t="shared" si="1420"/>
        <v>0</v>
      </c>
      <c r="M1015" s="1">
        <f t="shared" si="1420"/>
        <v>421</v>
      </c>
      <c r="N1015" s="1">
        <f t="shared" si="1420"/>
        <v>2778600</v>
      </c>
      <c r="O1015" s="1">
        <f t="shared" si="1420"/>
        <v>0</v>
      </c>
      <c r="P1015" s="1">
        <f t="shared" si="1420"/>
        <v>0</v>
      </c>
      <c r="Q1015" s="1">
        <f t="shared" si="1420"/>
        <v>952</v>
      </c>
      <c r="R1015" s="1">
        <f t="shared" si="1420"/>
        <v>3046400</v>
      </c>
      <c r="S1015" s="1">
        <f t="shared" si="1420"/>
        <v>0</v>
      </c>
      <c r="T1015" s="1">
        <f t="shared" si="1420"/>
        <v>200000</v>
      </c>
      <c r="U1015" s="3" t="e">
        <f>C1015+#REF!+#REF!</f>
        <v>#REF!</v>
      </c>
    </row>
    <row r="1016" spans="1:29" ht="22.9" customHeight="1" x14ac:dyDescent="0.25">
      <c r="A1016" s="39" t="s">
        <v>1984</v>
      </c>
      <c r="B1016" s="9" t="s">
        <v>488</v>
      </c>
      <c r="C1016" s="7">
        <f>D1016+L1016+N1016+P1016+R1016+S1016+T1016</f>
        <v>5219000</v>
      </c>
      <c r="D1016" s="2">
        <f t="shared" ref="D1016" si="1421">SUM(E1016:J1016)</f>
        <v>817200</v>
      </c>
      <c r="E1016" s="2">
        <f>700*408.6</f>
        <v>286020</v>
      </c>
      <c r="F1016" s="2">
        <f>1300*408.6</f>
        <v>531180</v>
      </c>
      <c r="G1016" s="2">
        <v>0</v>
      </c>
      <c r="H1016" s="2">
        <v>0</v>
      </c>
      <c r="I1016" s="2">
        <v>0</v>
      </c>
      <c r="J1016" s="2">
        <v>0</v>
      </c>
      <c r="K1016" s="21">
        <v>0</v>
      </c>
      <c r="L1016" s="2">
        <v>0</v>
      </c>
      <c r="M1016" s="8">
        <v>421</v>
      </c>
      <c r="N1016" s="2">
        <f>M1016*6600</f>
        <v>2778600</v>
      </c>
      <c r="O1016" s="2">
        <v>0</v>
      </c>
      <c r="P1016" s="2">
        <v>0</v>
      </c>
      <c r="Q1016" s="2">
        <v>476</v>
      </c>
      <c r="R1016" s="2">
        <f t="shared" si="1415"/>
        <v>1523200</v>
      </c>
      <c r="S1016" s="2">
        <v>0</v>
      </c>
      <c r="T1016" s="2">
        <v>100000</v>
      </c>
      <c r="U1016" s="6" t="e">
        <f>#REF!/M1016</f>
        <v>#REF!</v>
      </c>
      <c r="V1016" s="1"/>
      <c r="W1016" s="1"/>
      <c r="X1016" s="1"/>
      <c r="Y1016" s="1"/>
      <c r="Z1016" s="1"/>
      <c r="AA1016" s="1"/>
      <c r="AB1016" s="1"/>
      <c r="AC1016" s="3"/>
    </row>
    <row r="1017" spans="1:29" ht="22.9" customHeight="1" x14ac:dyDescent="0.25">
      <c r="A1017" s="39" t="s">
        <v>1985</v>
      </c>
      <c r="B1017" s="9" t="s">
        <v>489</v>
      </c>
      <c r="C1017" s="7">
        <f>D1017+L1017+N1017+P1017+R1017+S1017+T1017</f>
        <v>2468800</v>
      </c>
      <c r="D1017" s="2">
        <f t="shared" ref="D1017" si="1422">SUM(E1017:J1017)</f>
        <v>845600</v>
      </c>
      <c r="E1017" s="2">
        <f>700*422.8</f>
        <v>295960</v>
      </c>
      <c r="F1017" s="2">
        <f>1300*422.8</f>
        <v>549640</v>
      </c>
      <c r="G1017" s="2">
        <v>0</v>
      </c>
      <c r="H1017" s="2">
        <v>0</v>
      </c>
      <c r="I1017" s="2">
        <v>0</v>
      </c>
      <c r="J1017" s="2">
        <v>0</v>
      </c>
      <c r="K1017" s="21">
        <v>0</v>
      </c>
      <c r="L1017" s="2">
        <v>0</v>
      </c>
      <c r="M1017" s="2">
        <v>0</v>
      </c>
      <c r="N1017" s="2">
        <v>0</v>
      </c>
      <c r="O1017" s="2">
        <v>0</v>
      </c>
      <c r="P1017" s="2">
        <v>0</v>
      </c>
      <c r="Q1017" s="8">
        <v>476</v>
      </c>
      <c r="R1017" s="2">
        <f t="shared" si="1415"/>
        <v>1523200</v>
      </c>
      <c r="S1017" s="2">
        <v>0</v>
      </c>
      <c r="T1017" s="2">
        <v>100000</v>
      </c>
      <c r="U1017" s="6" t="e">
        <f t="shared" si="1379"/>
        <v>#DIV/0!</v>
      </c>
      <c r="V1017" s="1"/>
      <c r="W1017" s="1"/>
      <c r="X1017" s="1"/>
      <c r="Y1017" s="1"/>
      <c r="Z1017" s="1"/>
      <c r="AA1017" s="1"/>
      <c r="AB1017" s="1"/>
      <c r="AC1017" s="3"/>
    </row>
    <row r="1018" spans="1:29" ht="45" customHeight="1" x14ac:dyDescent="0.25">
      <c r="A1018" s="43" t="s">
        <v>490</v>
      </c>
      <c r="B1018" s="43"/>
      <c r="C1018" s="1">
        <f>SUM(C1019:C1020)</f>
        <v>8535440</v>
      </c>
      <c r="D1018" s="1">
        <f t="shared" ref="D1018:T1018" si="1423">SUM(D1019:D1020)</f>
        <v>1158640</v>
      </c>
      <c r="E1018" s="1">
        <f t="shared" si="1423"/>
        <v>1158640</v>
      </c>
      <c r="F1018" s="1">
        <f t="shared" si="1423"/>
        <v>0</v>
      </c>
      <c r="G1018" s="1">
        <f t="shared" si="1423"/>
        <v>0</v>
      </c>
      <c r="H1018" s="1">
        <f t="shared" si="1423"/>
        <v>0</v>
      </c>
      <c r="I1018" s="1">
        <f t="shared" si="1423"/>
        <v>0</v>
      </c>
      <c r="J1018" s="1">
        <f t="shared" si="1423"/>
        <v>0</v>
      </c>
      <c r="K1018" s="33">
        <f t="shared" si="1423"/>
        <v>0</v>
      </c>
      <c r="L1018" s="1">
        <f t="shared" si="1423"/>
        <v>0</v>
      </c>
      <c r="M1018" s="1">
        <f t="shared" si="1423"/>
        <v>684</v>
      </c>
      <c r="N1018" s="1">
        <f t="shared" si="1423"/>
        <v>4514400</v>
      </c>
      <c r="O1018" s="1">
        <f t="shared" si="1423"/>
        <v>0</v>
      </c>
      <c r="P1018" s="1">
        <f t="shared" si="1423"/>
        <v>0</v>
      </c>
      <c r="Q1018" s="1">
        <f t="shared" si="1423"/>
        <v>832</v>
      </c>
      <c r="R1018" s="1">
        <f t="shared" si="1423"/>
        <v>2662400</v>
      </c>
      <c r="S1018" s="1">
        <f t="shared" si="1423"/>
        <v>0</v>
      </c>
      <c r="T1018" s="1">
        <f t="shared" si="1423"/>
        <v>200000</v>
      </c>
      <c r="U1018" s="3" t="e">
        <f>C1018+#REF!+#REF!</f>
        <v>#REF!</v>
      </c>
    </row>
    <row r="1019" spans="1:29" ht="22.9" customHeight="1" x14ac:dyDescent="0.25">
      <c r="A1019" s="39" t="s">
        <v>1986</v>
      </c>
      <c r="B1019" s="9" t="s">
        <v>493</v>
      </c>
      <c r="C1019" s="7">
        <f t="shared" ref="C1019:C1020" si="1424">D1019+L1019+N1019+P1019+R1019+S1019+T1019</f>
        <v>4267720</v>
      </c>
      <c r="D1019" s="2">
        <f t="shared" ref="D1019:D1020" si="1425">SUM(E1019:J1019)</f>
        <v>579320</v>
      </c>
      <c r="E1019" s="2">
        <f>700*827.6</f>
        <v>579320</v>
      </c>
      <c r="F1019" s="2">
        <v>0</v>
      </c>
      <c r="G1019" s="2">
        <v>0</v>
      </c>
      <c r="H1019" s="2">
        <v>0</v>
      </c>
      <c r="I1019" s="2">
        <v>0</v>
      </c>
      <c r="J1019" s="2">
        <v>0</v>
      </c>
      <c r="K1019" s="21">
        <v>0</v>
      </c>
      <c r="L1019" s="2">
        <f>K1019*2700000</f>
        <v>0</v>
      </c>
      <c r="M1019" s="2">
        <v>342</v>
      </c>
      <c r="N1019" s="2">
        <f t="shared" ref="N1019:N1024" si="1426">M1019*6600</f>
        <v>2257200</v>
      </c>
      <c r="O1019" s="2">
        <v>0</v>
      </c>
      <c r="P1019" s="2">
        <v>0</v>
      </c>
      <c r="Q1019" s="2">
        <v>416</v>
      </c>
      <c r="R1019" s="2">
        <f t="shared" si="1415"/>
        <v>1331200</v>
      </c>
      <c r="S1019" s="2">
        <v>0</v>
      </c>
      <c r="T1019" s="2">
        <v>100000</v>
      </c>
      <c r="U1019" s="6">
        <f t="shared" ref="U1019:U1053" si="1427">N1019/M1019</f>
        <v>6600</v>
      </c>
      <c r="V1019" s="1"/>
      <c r="W1019" s="1"/>
      <c r="X1019" s="1"/>
      <c r="Y1019" s="1"/>
      <c r="Z1019" s="1"/>
      <c r="AA1019" s="1"/>
      <c r="AB1019" s="3"/>
    </row>
    <row r="1020" spans="1:29" ht="22.9" customHeight="1" x14ac:dyDescent="0.25">
      <c r="A1020" s="39" t="s">
        <v>1987</v>
      </c>
      <c r="B1020" s="9" t="s">
        <v>494</v>
      </c>
      <c r="C1020" s="7">
        <f t="shared" si="1424"/>
        <v>4267720</v>
      </c>
      <c r="D1020" s="2">
        <f t="shared" si="1425"/>
        <v>579320</v>
      </c>
      <c r="E1020" s="2">
        <f>700*827.6</f>
        <v>579320</v>
      </c>
      <c r="F1020" s="2">
        <v>0</v>
      </c>
      <c r="G1020" s="2">
        <v>0</v>
      </c>
      <c r="H1020" s="2">
        <v>0</v>
      </c>
      <c r="I1020" s="2">
        <v>0</v>
      </c>
      <c r="J1020" s="2">
        <v>0</v>
      </c>
      <c r="K1020" s="21">
        <v>0</v>
      </c>
      <c r="L1020" s="2">
        <v>0</v>
      </c>
      <c r="M1020" s="2">
        <v>342</v>
      </c>
      <c r="N1020" s="2">
        <f t="shared" si="1426"/>
        <v>2257200</v>
      </c>
      <c r="O1020" s="2">
        <v>0</v>
      </c>
      <c r="P1020" s="2">
        <f>O1020*410</f>
        <v>0</v>
      </c>
      <c r="Q1020" s="2">
        <v>416</v>
      </c>
      <c r="R1020" s="2">
        <f t="shared" si="1415"/>
        <v>1331200</v>
      </c>
      <c r="S1020" s="2">
        <v>0</v>
      </c>
      <c r="T1020" s="2">
        <v>100000</v>
      </c>
      <c r="U1020" s="6">
        <f t="shared" si="1427"/>
        <v>6600</v>
      </c>
      <c r="V1020" s="1"/>
      <c r="W1020" s="1"/>
      <c r="X1020" s="1"/>
      <c r="Y1020" s="1"/>
      <c r="Z1020" s="1"/>
      <c r="AA1020" s="1"/>
      <c r="AB1020" s="3"/>
    </row>
    <row r="1021" spans="1:29" ht="45" customHeight="1" x14ac:dyDescent="0.25">
      <c r="A1021" s="43" t="s">
        <v>495</v>
      </c>
      <c r="B1021" s="43"/>
      <c r="C1021" s="1">
        <f>SUM(C1022:C1025)</f>
        <v>23326115</v>
      </c>
      <c r="D1021" s="1">
        <f t="shared" ref="D1021:T1021" si="1428">SUM(D1022:D1025)</f>
        <v>6101715</v>
      </c>
      <c r="E1021" s="1">
        <f t="shared" si="1428"/>
        <v>1639470</v>
      </c>
      <c r="F1021" s="1">
        <f t="shared" si="1428"/>
        <v>2003040</v>
      </c>
      <c r="G1021" s="1">
        <f t="shared" si="1428"/>
        <v>819735</v>
      </c>
      <c r="H1021" s="1">
        <f t="shared" si="1428"/>
        <v>936840</v>
      </c>
      <c r="I1021" s="1">
        <f t="shared" si="1428"/>
        <v>702630</v>
      </c>
      <c r="J1021" s="1">
        <f t="shared" si="1428"/>
        <v>0</v>
      </c>
      <c r="K1021" s="33">
        <f t="shared" si="1428"/>
        <v>0</v>
      </c>
      <c r="L1021" s="1">
        <f t="shared" si="1428"/>
        <v>0</v>
      </c>
      <c r="M1021" s="1">
        <f t="shared" si="1428"/>
        <v>2178</v>
      </c>
      <c r="N1021" s="1">
        <f t="shared" si="1428"/>
        <v>14374800</v>
      </c>
      <c r="O1021" s="1">
        <f t="shared" si="1428"/>
        <v>0</v>
      </c>
      <c r="P1021" s="1">
        <f t="shared" si="1428"/>
        <v>0</v>
      </c>
      <c r="Q1021" s="1">
        <f t="shared" si="1428"/>
        <v>703</v>
      </c>
      <c r="R1021" s="1">
        <f t="shared" si="1428"/>
        <v>2249600</v>
      </c>
      <c r="S1021" s="1">
        <f t="shared" si="1428"/>
        <v>300000</v>
      </c>
      <c r="T1021" s="1">
        <f t="shared" si="1428"/>
        <v>300000</v>
      </c>
      <c r="U1021" s="3" t="e">
        <f>C1021+#REF!+#REF!</f>
        <v>#REF!</v>
      </c>
    </row>
    <row r="1022" spans="1:29" ht="22.9" customHeight="1" x14ac:dyDescent="0.25">
      <c r="A1022" s="39" t="s">
        <v>1988</v>
      </c>
      <c r="B1022" s="9" t="s">
        <v>505</v>
      </c>
      <c r="C1022" s="7">
        <f t="shared" ref="C1022:C1025" si="1429">D1022+L1022+N1022+P1022+R1022+S1022+T1022</f>
        <v>9612915</v>
      </c>
      <c r="D1022" s="2">
        <f t="shared" ref="D1022:D1025" si="1430">SUM(E1022:J1022)</f>
        <v>2989915</v>
      </c>
      <c r="E1022" s="2">
        <f>700*980.3</f>
        <v>686210</v>
      </c>
      <c r="F1022" s="2">
        <f>1300*980.3</f>
        <v>1274390</v>
      </c>
      <c r="G1022" s="2">
        <f>350*980.3</f>
        <v>343105</v>
      </c>
      <c r="H1022" s="2">
        <f>400*980.3</f>
        <v>392120</v>
      </c>
      <c r="I1022" s="2">
        <f>300*980.3</f>
        <v>294090</v>
      </c>
      <c r="J1022" s="18">
        <v>0</v>
      </c>
      <c r="K1022" s="34">
        <v>0</v>
      </c>
      <c r="L1022" s="18">
        <v>0</v>
      </c>
      <c r="M1022" s="18">
        <v>729</v>
      </c>
      <c r="N1022" s="2">
        <f t="shared" si="1426"/>
        <v>4811400</v>
      </c>
      <c r="O1022" s="18">
        <v>0</v>
      </c>
      <c r="P1022" s="18">
        <v>0</v>
      </c>
      <c r="Q1022" s="18">
        <v>488</v>
      </c>
      <c r="R1022" s="2">
        <f t="shared" si="1415"/>
        <v>1561600</v>
      </c>
      <c r="S1022" s="2">
        <v>150000</v>
      </c>
      <c r="T1022" s="2">
        <v>100000</v>
      </c>
      <c r="U1022" s="6">
        <f t="shared" si="1427"/>
        <v>6600</v>
      </c>
      <c r="V1022" s="1"/>
      <c r="W1022" s="1"/>
      <c r="X1022" s="1"/>
      <c r="Y1022" s="1"/>
      <c r="Z1022" s="1"/>
      <c r="AA1022" s="1"/>
      <c r="AB1022" s="3"/>
    </row>
    <row r="1023" spans="1:29" ht="22.9" customHeight="1" x14ac:dyDescent="0.25">
      <c r="A1023" s="39" t="s">
        <v>1995</v>
      </c>
      <c r="B1023" s="9" t="s">
        <v>506</v>
      </c>
      <c r="C1023" s="7">
        <f t="shared" si="1429"/>
        <v>5604325</v>
      </c>
      <c r="D1023" s="2">
        <f t="shared" si="1430"/>
        <v>1709525</v>
      </c>
      <c r="E1023" s="2">
        <f>700*560.5</f>
        <v>392350</v>
      </c>
      <c r="F1023" s="2">
        <f>1300*560.5</f>
        <v>728650</v>
      </c>
      <c r="G1023" s="2">
        <f>350*560.5</f>
        <v>196175</v>
      </c>
      <c r="H1023" s="2">
        <f>400*560.5</f>
        <v>224200</v>
      </c>
      <c r="I1023" s="2">
        <f>300*560.5</f>
        <v>168150</v>
      </c>
      <c r="J1023" s="18">
        <v>0</v>
      </c>
      <c r="K1023" s="34">
        <v>0</v>
      </c>
      <c r="L1023" s="18">
        <v>0</v>
      </c>
      <c r="M1023" s="18">
        <v>448</v>
      </c>
      <c r="N1023" s="2">
        <f t="shared" si="1426"/>
        <v>2956800</v>
      </c>
      <c r="O1023" s="18">
        <v>0</v>
      </c>
      <c r="P1023" s="18">
        <v>0</v>
      </c>
      <c r="Q1023" s="18">
        <v>215</v>
      </c>
      <c r="R1023" s="2">
        <f t="shared" si="1415"/>
        <v>688000</v>
      </c>
      <c r="S1023" s="2">
        <v>150000</v>
      </c>
      <c r="T1023" s="2">
        <v>100000</v>
      </c>
      <c r="U1023" s="6">
        <f t="shared" si="1427"/>
        <v>6600</v>
      </c>
      <c r="V1023" s="1"/>
      <c r="W1023" s="1"/>
      <c r="X1023" s="1"/>
      <c r="Y1023" s="1"/>
      <c r="Z1023" s="1"/>
      <c r="AA1023" s="1"/>
      <c r="AB1023" s="3"/>
    </row>
    <row r="1024" spans="1:29" ht="22.9" customHeight="1" x14ac:dyDescent="0.25">
      <c r="A1024" s="39" t="s">
        <v>1996</v>
      </c>
      <c r="B1024" s="9" t="s">
        <v>507</v>
      </c>
      <c r="C1024" s="7">
        <f t="shared" si="1429"/>
        <v>6606600</v>
      </c>
      <c r="D1024" s="2">
        <f t="shared" si="1430"/>
        <v>0</v>
      </c>
      <c r="E1024" s="18">
        <v>0</v>
      </c>
      <c r="F1024" s="18">
        <v>0</v>
      </c>
      <c r="G1024" s="18">
        <v>0</v>
      </c>
      <c r="H1024" s="18">
        <v>0</v>
      </c>
      <c r="I1024" s="18">
        <v>0</v>
      </c>
      <c r="J1024" s="18">
        <v>0</v>
      </c>
      <c r="K1024" s="34">
        <v>0</v>
      </c>
      <c r="L1024" s="18">
        <v>0</v>
      </c>
      <c r="M1024" s="18">
        <v>1001</v>
      </c>
      <c r="N1024" s="2">
        <f t="shared" si="1426"/>
        <v>6606600</v>
      </c>
      <c r="O1024" s="18">
        <v>0</v>
      </c>
      <c r="P1024" s="18">
        <v>0</v>
      </c>
      <c r="Q1024" s="18">
        <v>0</v>
      </c>
      <c r="R1024" s="18">
        <v>0</v>
      </c>
      <c r="S1024" s="2">
        <v>0</v>
      </c>
      <c r="T1024" s="2">
        <v>0</v>
      </c>
      <c r="U1024" s="6">
        <f t="shared" si="1427"/>
        <v>6600</v>
      </c>
      <c r="V1024" s="1"/>
      <c r="W1024" s="1"/>
      <c r="X1024" s="1"/>
      <c r="Y1024" s="1"/>
      <c r="Z1024" s="1"/>
      <c r="AA1024" s="1"/>
      <c r="AB1024" s="3"/>
    </row>
    <row r="1025" spans="1:29" ht="22.9" customHeight="1" x14ac:dyDescent="0.25">
      <c r="A1025" s="39" t="s">
        <v>1997</v>
      </c>
      <c r="B1025" s="9" t="s">
        <v>508</v>
      </c>
      <c r="C1025" s="7">
        <f t="shared" si="1429"/>
        <v>1502275</v>
      </c>
      <c r="D1025" s="2">
        <f t="shared" si="1430"/>
        <v>1402275</v>
      </c>
      <c r="E1025" s="2">
        <f>700*801.3</f>
        <v>560910</v>
      </c>
      <c r="F1025" s="18">
        <v>0</v>
      </c>
      <c r="G1025" s="2">
        <f>350*801.3</f>
        <v>280455</v>
      </c>
      <c r="H1025" s="2">
        <f>400*801.3</f>
        <v>320520</v>
      </c>
      <c r="I1025" s="2">
        <f>300*801.3</f>
        <v>240390</v>
      </c>
      <c r="J1025" s="18">
        <v>0</v>
      </c>
      <c r="K1025" s="34">
        <v>0</v>
      </c>
      <c r="L1025" s="18">
        <v>0</v>
      </c>
      <c r="M1025" s="18">
        <v>0</v>
      </c>
      <c r="N1025" s="18">
        <v>0</v>
      </c>
      <c r="O1025" s="18">
        <v>0</v>
      </c>
      <c r="P1025" s="18">
        <v>0</v>
      </c>
      <c r="Q1025" s="18">
        <v>0</v>
      </c>
      <c r="R1025" s="18">
        <v>0</v>
      </c>
      <c r="S1025" s="2">
        <v>0</v>
      </c>
      <c r="T1025" s="2">
        <v>100000</v>
      </c>
      <c r="U1025" s="6" t="e">
        <f t="shared" si="1427"/>
        <v>#DIV/0!</v>
      </c>
      <c r="V1025" s="1"/>
      <c r="W1025" s="1"/>
      <c r="X1025" s="1"/>
      <c r="Y1025" s="1"/>
      <c r="Z1025" s="1"/>
      <c r="AA1025" s="1"/>
      <c r="AB1025" s="3"/>
    </row>
    <row r="1026" spans="1:29" ht="45" customHeight="1" x14ac:dyDescent="0.25">
      <c r="A1026" s="43" t="s">
        <v>520</v>
      </c>
      <c r="B1026" s="43"/>
      <c r="C1026" s="1">
        <f>SUM(C1027:C1030)</f>
        <v>32275652.5</v>
      </c>
      <c r="D1026" s="1">
        <f t="shared" ref="D1026:T1026" si="1431">SUM(D1027:D1030)</f>
        <v>8344452.5</v>
      </c>
      <c r="E1026" s="1">
        <f t="shared" si="1431"/>
        <v>2204195</v>
      </c>
      <c r="F1026" s="1">
        <f t="shared" si="1431"/>
        <v>4093505</v>
      </c>
      <c r="G1026" s="1">
        <f t="shared" si="1431"/>
        <v>1102097.5</v>
      </c>
      <c r="H1026" s="1">
        <f t="shared" si="1431"/>
        <v>0</v>
      </c>
      <c r="I1026" s="1">
        <f t="shared" si="1431"/>
        <v>944655</v>
      </c>
      <c r="J1026" s="1">
        <f t="shared" si="1431"/>
        <v>0</v>
      </c>
      <c r="K1026" s="33">
        <f t="shared" si="1431"/>
        <v>0</v>
      </c>
      <c r="L1026" s="1">
        <f t="shared" si="1431"/>
        <v>0</v>
      </c>
      <c r="M1026" s="1">
        <f t="shared" si="1431"/>
        <v>2272</v>
      </c>
      <c r="N1026" s="1">
        <f t="shared" si="1431"/>
        <v>14995200</v>
      </c>
      <c r="O1026" s="1">
        <f t="shared" si="1431"/>
        <v>0</v>
      </c>
      <c r="P1026" s="1">
        <f t="shared" si="1431"/>
        <v>0</v>
      </c>
      <c r="Q1026" s="1">
        <f t="shared" si="1431"/>
        <v>2480</v>
      </c>
      <c r="R1026" s="1">
        <f t="shared" si="1431"/>
        <v>7936000</v>
      </c>
      <c r="S1026" s="1">
        <f t="shared" si="1431"/>
        <v>600000</v>
      </c>
      <c r="T1026" s="1">
        <f t="shared" si="1431"/>
        <v>400000</v>
      </c>
      <c r="U1026" s="3" t="e">
        <f>C1026+#REF!+#REF!</f>
        <v>#REF!</v>
      </c>
    </row>
    <row r="1027" spans="1:29" ht="22.9" customHeight="1" x14ac:dyDescent="0.25">
      <c r="A1027" s="39" t="s">
        <v>1998</v>
      </c>
      <c r="B1027" s="9" t="s">
        <v>523</v>
      </c>
      <c r="C1027" s="7">
        <f t="shared" ref="C1027:C1030" si="1432">D1027+L1027+N1027+P1027+R1027+S1027+T1027</f>
        <v>8041028.5</v>
      </c>
      <c r="D1027" s="2">
        <f t="shared" ref="D1027:D1030" si="1433">SUM(E1027:J1027)</f>
        <v>2058228.5</v>
      </c>
      <c r="E1027" s="2">
        <f>700*776.69</f>
        <v>543683</v>
      </c>
      <c r="F1027" s="2">
        <f>1300*776.69</f>
        <v>1009697.0000000001</v>
      </c>
      <c r="G1027" s="2">
        <f>350*776.69</f>
        <v>271841.5</v>
      </c>
      <c r="H1027" s="18">
        <v>0</v>
      </c>
      <c r="I1027" s="2">
        <f>300*776.69</f>
        <v>233007.00000000003</v>
      </c>
      <c r="J1027" s="18">
        <v>0</v>
      </c>
      <c r="K1027" s="34">
        <v>0</v>
      </c>
      <c r="L1027" s="18">
        <v>0</v>
      </c>
      <c r="M1027" s="18">
        <v>568</v>
      </c>
      <c r="N1027" s="2">
        <f t="shared" ref="N1027:N1030" si="1434">M1027*6600</f>
        <v>3748800</v>
      </c>
      <c r="O1027" s="18">
        <v>0</v>
      </c>
      <c r="P1027" s="18">
        <v>0</v>
      </c>
      <c r="Q1027" s="18">
        <v>620</v>
      </c>
      <c r="R1027" s="2">
        <f t="shared" ref="R1027:R1030" si="1435">Q1027*3200</f>
        <v>1984000</v>
      </c>
      <c r="S1027" s="2">
        <v>150000</v>
      </c>
      <c r="T1027" s="2">
        <v>100000</v>
      </c>
      <c r="U1027" s="6">
        <f t="shared" si="1427"/>
        <v>6600</v>
      </c>
      <c r="V1027" s="1"/>
      <c r="W1027" s="1"/>
      <c r="X1027" s="1"/>
      <c r="Y1027" s="1"/>
      <c r="Z1027" s="1"/>
      <c r="AA1027" s="1"/>
      <c r="AB1027" s="1"/>
      <c r="AC1027" s="3"/>
    </row>
    <row r="1028" spans="1:29" ht="22.9" customHeight="1" x14ac:dyDescent="0.25">
      <c r="A1028" s="39" t="s">
        <v>1999</v>
      </c>
      <c r="B1028" s="9" t="s">
        <v>524</v>
      </c>
      <c r="C1028" s="7">
        <f t="shared" si="1432"/>
        <v>8042936.5</v>
      </c>
      <c r="D1028" s="2">
        <f t="shared" si="1433"/>
        <v>2060136.5</v>
      </c>
      <c r="E1028" s="2">
        <f>700*777.41</f>
        <v>544187</v>
      </c>
      <c r="F1028" s="2">
        <f>1300*777.41</f>
        <v>1010633</v>
      </c>
      <c r="G1028" s="2">
        <f>350*777.41</f>
        <v>272093.5</v>
      </c>
      <c r="H1028" s="18">
        <v>0</v>
      </c>
      <c r="I1028" s="2">
        <f>300*777.41</f>
        <v>233223</v>
      </c>
      <c r="J1028" s="18">
        <v>0</v>
      </c>
      <c r="K1028" s="34">
        <v>0</v>
      </c>
      <c r="L1028" s="18">
        <v>0</v>
      </c>
      <c r="M1028" s="18">
        <v>568</v>
      </c>
      <c r="N1028" s="2">
        <f t="shared" si="1434"/>
        <v>3748800</v>
      </c>
      <c r="O1028" s="18">
        <v>0</v>
      </c>
      <c r="P1028" s="18">
        <v>0</v>
      </c>
      <c r="Q1028" s="18">
        <v>620</v>
      </c>
      <c r="R1028" s="2">
        <f t="shared" si="1435"/>
        <v>1984000</v>
      </c>
      <c r="S1028" s="2">
        <v>150000</v>
      </c>
      <c r="T1028" s="2">
        <v>100000</v>
      </c>
      <c r="U1028" s="6">
        <f t="shared" si="1427"/>
        <v>6600</v>
      </c>
      <c r="V1028" s="1"/>
      <c r="W1028" s="1"/>
      <c r="X1028" s="1"/>
      <c r="Y1028" s="1"/>
      <c r="Z1028" s="1"/>
      <c r="AA1028" s="1"/>
      <c r="AB1028" s="1"/>
      <c r="AC1028" s="3"/>
    </row>
    <row r="1029" spans="1:29" ht="22.9" customHeight="1" x14ac:dyDescent="0.25">
      <c r="A1029" s="39" t="s">
        <v>2000</v>
      </c>
      <c r="B1029" s="9" t="s">
        <v>525</v>
      </c>
      <c r="C1029" s="7">
        <f t="shared" si="1432"/>
        <v>8114168.5</v>
      </c>
      <c r="D1029" s="2">
        <f t="shared" si="1433"/>
        <v>2131368.5</v>
      </c>
      <c r="E1029" s="2">
        <f>700*804.29</f>
        <v>563003</v>
      </c>
      <c r="F1029" s="2">
        <f>1300*804.29</f>
        <v>1045577</v>
      </c>
      <c r="G1029" s="2">
        <f>350*804.29</f>
        <v>281501.5</v>
      </c>
      <c r="H1029" s="18">
        <v>0</v>
      </c>
      <c r="I1029" s="2">
        <f>300*804.29</f>
        <v>241287</v>
      </c>
      <c r="J1029" s="18">
        <v>0</v>
      </c>
      <c r="K1029" s="34">
        <v>0</v>
      </c>
      <c r="L1029" s="18">
        <v>0</v>
      </c>
      <c r="M1029" s="18">
        <v>568</v>
      </c>
      <c r="N1029" s="2">
        <f t="shared" si="1434"/>
        <v>3748800</v>
      </c>
      <c r="O1029" s="18">
        <v>0</v>
      </c>
      <c r="P1029" s="18">
        <v>0</v>
      </c>
      <c r="Q1029" s="18">
        <v>620</v>
      </c>
      <c r="R1029" s="2">
        <f t="shared" si="1435"/>
        <v>1984000</v>
      </c>
      <c r="S1029" s="2">
        <v>150000</v>
      </c>
      <c r="T1029" s="2">
        <v>100000</v>
      </c>
      <c r="U1029" s="6">
        <f t="shared" si="1427"/>
        <v>6600</v>
      </c>
      <c r="V1029" s="3"/>
    </row>
    <row r="1030" spans="1:29" ht="22.9" customHeight="1" x14ac:dyDescent="0.25">
      <c r="A1030" s="39" t="s">
        <v>2001</v>
      </c>
      <c r="B1030" s="9" t="s">
        <v>526</v>
      </c>
      <c r="C1030" s="7">
        <f t="shared" si="1432"/>
        <v>8077519</v>
      </c>
      <c r="D1030" s="2">
        <f t="shared" si="1433"/>
        <v>2094719</v>
      </c>
      <c r="E1030" s="2">
        <f>700*790.46</f>
        <v>553322</v>
      </c>
      <c r="F1030" s="2">
        <f>1300*790.46</f>
        <v>1027598</v>
      </c>
      <c r="G1030" s="2">
        <f>350*790.46</f>
        <v>276661</v>
      </c>
      <c r="H1030" s="18">
        <v>0</v>
      </c>
      <c r="I1030" s="2">
        <f>300*790.46</f>
        <v>237138</v>
      </c>
      <c r="J1030" s="18">
        <v>0</v>
      </c>
      <c r="K1030" s="34">
        <v>0</v>
      </c>
      <c r="L1030" s="18">
        <v>0</v>
      </c>
      <c r="M1030" s="18">
        <v>568</v>
      </c>
      <c r="N1030" s="2">
        <f t="shared" si="1434"/>
        <v>3748800</v>
      </c>
      <c r="O1030" s="18">
        <v>0</v>
      </c>
      <c r="P1030" s="18">
        <v>0</v>
      </c>
      <c r="Q1030" s="18">
        <v>620</v>
      </c>
      <c r="R1030" s="2">
        <f t="shared" si="1435"/>
        <v>1984000</v>
      </c>
      <c r="S1030" s="2">
        <v>150000</v>
      </c>
      <c r="T1030" s="2">
        <v>100000</v>
      </c>
      <c r="U1030" s="6">
        <f t="shared" si="1427"/>
        <v>6600</v>
      </c>
      <c r="V1030" s="3"/>
    </row>
    <row r="1031" spans="1:29" ht="45" customHeight="1" x14ac:dyDescent="0.25">
      <c r="A1031" s="43" t="s">
        <v>527</v>
      </c>
      <c r="B1031" s="43"/>
      <c r="C1031" s="1">
        <f t="shared" ref="C1031:T1031" si="1436">SUM(C1032:C1050)</f>
        <v>134134946.5</v>
      </c>
      <c r="D1031" s="1">
        <f t="shared" si="1436"/>
        <v>47206375</v>
      </c>
      <c r="E1031" s="1">
        <f t="shared" si="1436"/>
        <v>10834250</v>
      </c>
      <c r="F1031" s="1">
        <f t="shared" si="1436"/>
        <v>20120750</v>
      </c>
      <c r="G1031" s="1">
        <f t="shared" si="1436"/>
        <v>5417125</v>
      </c>
      <c r="H1031" s="1">
        <f t="shared" si="1436"/>
        <v>6191000</v>
      </c>
      <c r="I1031" s="1">
        <f t="shared" si="1436"/>
        <v>4643250</v>
      </c>
      <c r="J1031" s="1">
        <f t="shared" si="1436"/>
        <v>0</v>
      </c>
      <c r="K1031" s="33">
        <f t="shared" si="1436"/>
        <v>8</v>
      </c>
      <c r="L1031" s="1">
        <f t="shared" si="1436"/>
        <v>21600000</v>
      </c>
      <c r="M1031" s="1">
        <f t="shared" si="1436"/>
        <v>8273.02</v>
      </c>
      <c r="N1031" s="1">
        <f t="shared" si="1436"/>
        <v>47347939.5</v>
      </c>
      <c r="O1031" s="1">
        <f t="shared" si="1436"/>
        <v>858.42</v>
      </c>
      <c r="P1031" s="1">
        <f t="shared" si="1436"/>
        <v>1030104</v>
      </c>
      <c r="Q1031" s="1">
        <f t="shared" si="1436"/>
        <v>4797.0399999999991</v>
      </c>
      <c r="R1031" s="1">
        <f t="shared" si="1436"/>
        <v>15350528</v>
      </c>
      <c r="S1031" s="1">
        <f t="shared" si="1436"/>
        <v>0</v>
      </c>
      <c r="T1031" s="1">
        <f t="shared" si="1436"/>
        <v>1600000</v>
      </c>
      <c r="U1031" s="3" t="e">
        <f>C1031+#REF!+#REF!</f>
        <v>#REF!</v>
      </c>
    </row>
    <row r="1032" spans="1:29" ht="22.9" customHeight="1" x14ac:dyDescent="0.25">
      <c r="A1032" s="39" t="s">
        <v>2002</v>
      </c>
      <c r="B1032" s="9" t="s">
        <v>565</v>
      </c>
      <c r="C1032" s="7">
        <f t="shared" ref="C1032:C1050" si="1437">D1032+L1032+N1032+P1032+R1032+S1032+T1032</f>
        <v>5500000</v>
      </c>
      <c r="D1032" s="2">
        <f t="shared" ref="D1032:D1050" si="1438">SUM(E1032:J1032)</f>
        <v>0</v>
      </c>
      <c r="E1032" s="8">
        <v>0</v>
      </c>
      <c r="F1032" s="8">
        <v>0</v>
      </c>
      <c r="G1032" s="8">
        <v>0</v>
      </c>
      <c r="H1032" s="8">
        <v>0</v>
      </c>
      <c r="I1032" s="8">
        <v>0</v>
      </c>
      <c r="J1032" s="8">
        <v>0</v>
      </c>
      <c r="K1032" s="32">
        <v>2</v>
      </c>
      <c r="L1032" s="8">
        <f>K1032*2700000</f>
        <v>5400000</v>
      </c>
      <c r="M1032" s="8">
        <v>0</v>
      </c>
      <c r="N1032" s="8">
        <v>0</v>
      </c>
      <c r="O1032" s="8">
        <v>0</v>
      </c>
      <c r="P1032" s="8">
        <v>0</v>
      </c>
      <c r="Q1032" s="8">
        <v>0</v>
      </c>
      <c r="R1032" s="8">
        <v>0</v>
      </c>
      <c r="S1032" s="8">
        <v>0</v>
      </c>
      <c r="T1032" s="2">
        <v>100000</v>
      </c>
      <c r="U1032" s="6" t="e">
        <f t="shared" ref="U1032:U1050" si="1439">N1032/M1032</f>
        <v>#DIV/0!</v>
      </c>
      <c r="V1032" s="1"/>
      <c r="W1032" s="1"/>
      <c r="X1032" s="1"/>
      <c r="Y1032" s="1"/>
      <c r="Z1032" s="1"/>
      <c r="AA1032" s="1"/>
      <c r="AB1032" s="3"/>
    </row>
    <row r="1033" spans="1:29" ht="22.9" customHeight="1" x14ac:dyDescent="0.25">
      <c r="A1033" s="39" t="s">
        <v>2003</v>
      </c>
      <c r="B1033" s="9" t="s">
        <v>566</v>
      </c>
      <c r="C1033" s="7">
        <f t="shared" si="1437"/>
        <v>5500000</v>
      </c>
      <c r="D1033" s="2">
        <f t="shared" si="1438"/>
        <v>0</v>
      </c>
      <c r="E1033" s="8">
        <v>0</v>
      </c>
      <c r="F1033" s="8">
        <v>0</v>
      </c>
      <c r="G1033" s="8">
        <v>0</v>
      </c>
      <c r="H1033" s="8">
        <v>0</v>
      </c>
      <c r="I1033" s="8">
        <v>0</v>
      </c>
      <c r="J1033" s="8">
        <v>0</v>
      </c>
      <c r="K1033" s="32">
        <v>2</v>
      </c>
      <c r="L1033" s="8">
        <f>K1033*2700000</f>
        <v>5400000</v>
      </c>
      <c r="M1033" s="8">
        <v>0</v>
      </c>
      <c r="N1033" s="8">
        <v>0</v>
      </c>
      <c r="O1033" s="8">
        <v>0</v>
      </c>
      <c r="P1033" s="8">
        <v>0</v>
      </c>
      <c r="Q1033" s="8">
        <v>0</v>
      </c>
      <c r="R1033" s="8">
        <v>0</v>
      </c>
      <c r="S1033" s="8">
        <v>0</v>
      </c>
      <c r="T1033" s="2">
        <v>100000</v>
      </c>
      <c r="U1033" s="6" t="e">
        <f t="shared" si="1439"/>
        <v>#DIV/0!</v>
      </c>
      <c r="V1033" s="1"/>
      <c r="W1033" s="1"/>
      <c r="X1033" s="1"/>
      <c r="Y1033" s="1"/>
      <c r="Z1033" s="1"/>
      <c r="AA1033" s="1"/>
      <c r="AB1033" s="3"/>
    </row>
    <row r="1034" spans="1:29" ht="22.9" customHeight="1" x14ac:dyDescent="0.25">
      <c r="A1034" s="39" t="s">
        <v>2004</v>
      </c>
      <c r="B1034" s="9" t="s">
        <v>567</v>
      </c>
      <c r="C1034" s="7">
        <f t="shared" si="1437"/>
        <v>5500000</v>
      </c>
      <c r="D1034" s="2">
        <f t="shared" si="1438"/>
        <v>0</v>
      </c>
      <c r="E1034" s="8">
        <v>0</v>
      </c>
      <c r="F1034" s="8">
        <v>0</v>
      </c>
      <c r="G1034" s="8">
        <v>0</v>
      </c>
      <c r="H1034" s="8">
        <v>0</v>
      </c>
      <c r="I1034" s="8">
        <v>0</v>
      </c>
      <c r="J1034" s="8">
        <v>0</v>
      </c>
      <c r="K1034" s="32">
        <v>2</v>
      </c>
      <c r="L1034" s="8">
        <f>K1034*2700000</f>
        <v>5400000</v>
      </c>
      <c r="M1034" s="8">
        <v>0</v>
      </c>
      <c r="N1034" s="8">
        <v>0</v>
      </c>
      <c r="O1034" s="8">
        <v>0</v>
      </c>
      <c r="P1034" s="8">
        <v>0</v>
      </c>
      <c r="Q1034" s="8">
        <v>0</v>
      </c>
      <c r="R1034" s="8">
        <v>0</v>
      </c>
      <c r="S1034" s="8">
        <v>0</v>
      </c>
      <c r="T1034" s="2">
        <v>100000</v>
      </c>
      <c r="U1034" s="6" t="e">
        <f t="shared" si="1439"/>
        <v>#DIV/0!</v>
      </c>
      <c r="V1034" s="1"/>
      <c r="W1034" s="1"/>
      <c r="X1034" s="1"/>
      <c r="Y1034" s="1"/>
      <c r="Z1034" s="1"/>
      <c r="AA1034" s="1"/>
      <c r="AB1034" s="3"/>
    </row>
    <row r="1035" spans="1:29" ht="25.15" customHeight="1" x14ac:dyDescent="0.25">
      <c r="A1035" s="39" t="s">
        <v>2005</v>
      </c>
      <c r="B1035" s="9" t="s">
        <v>568</v>
      </c>
      <c r="C1035" s="7">
        <f t="shared" si="1437"/>
        <v>5500000</v>
      </c>
      <c r="D1035" s="2">
        <f t="shared" si="1438"/>
        <v>0</v>
      </c>
      <c r="E1035" s="8">
        <v>0</v>
      </c>
      <c r="F1035" s="8">
        <v>0</v>
      </c>
      <c r="G1035" s="8">
        <v>0</v>
      </c>
      <c r="H1035" s="8">
        <v>0</v>
      </c>
      <c r="I1035" s="8">
        <v>0</v>
      </c>
      <c r="J1035" s="8">
        <v>0</v>
      </c>
      <c r="K1035" s="32">
        <v>2</v>
      </c>
      <c r="L1035" s="8">
        <f>K1035*2700000</f>
        <v>5400000</v>
      </c>
      <c r="M1035" s="8">
        <v>0</v>
      </c>
      <c r="N1035" s="8">
        <v>0</v>
      </c>
      <c r="O1035" s="8">
        <v>0</v>
      </c>
      <c r="P1035" s="8">
        <v>0</v>
      </c>
      <c r="Q1035" s="8">
        <v>0</v>
      </c>
      <c r="R1035" s="8">
        <v>0</v>
      </c>
      <c r="S1035" s="8">
        <v>0</v>
      </c>
      <c r="T1035" s="2">
        <v>100000</v>
      </c>
      <c r="U1035" s="6" t="e">
        <f t="shared" si="1439"/>
        <v>#DIV/0!</v>
      </c>
      <c r="V1035" s="1"/>
      <c r="W1035" s="1"/>
      <c r="X1035" s="1"/>
      <c r="Y1035" s="1"/>
      <c r="Z1035" s="1"/>
      <c r="AA1035" s="1"/>
      <c r="AB1035" s="3"/>
    </row>
    <row r="1036" spans="1:29" ht="25.15" customHeight="1" x14ac:dyDescent="0.25">
      <c r="A1036" s="39" t="s">
        <v>2006</v>
      </c>
      <c r="B1036" s="9" t="s">
        <v>569</v>
      </c>
      <c r="C1036" s="7">
        <f t="shared" si="1437"/>
        <v>21008385</v>
      </c>
      <c r="D1036" s="2">
        <f t="shared" si="1438"/>
        <v>10539275</v>
      </c>
      <c r="E1036" s="2">
        <f>700*3455.5</f>
        <v>2418850</v>
      </c>
      <c r="F1036" s="2">
        <f>1300*3455.5</f>
        <v>4492150</v>
      </c>
      <c r="G1036" s="2">
        <f>350*3455.5</f>
        <v>1209425</v>
      </c>
      <c r="H1036" s="2">
        <f>400*3455.5</f>
        <v>1382200</v>
      </c>
      <c r="I1036" s="2">
        <f>300*3455.5</f>
        <v>1036650</v>
      </c>
      <c r="J1036" s="2">
        <v>0</v>
      </c>
      <c r="K1036" s="21">
        <v>0</v>
      </c>
      <c r="L1036" s="2">
        <v>0</v>
      </c>
      <c r="M1036" s="2">
        <v>1074.3499999999999</v>
      </c>
      <c r="N1036" s="2">
        <f>M1036*6600</f>
        <v>7090709.9999999991</v>
      </c>
      <c r="O1036" s="2">
        <v>0</v>
      </c>
      <c r="P1036" s="2">
        <v>0</v>
      </c>
      <c r="Q1036" s="2">
        <v>1024.5</v>
      </c>
      <c r="R1036" s="2">
        <f>Q1036*3200</f>
        <v>3278400</v>
      </c>
      <c r="S1036" s="8">
        <v>0</v>
      </c>
      <c r="T1036" s="2">
        <v>100000</v>
      </c>
      <c r="U1036" s="6">
        <f t="shared" si="1439"/>
        <v>6600</v>
      </c>
      <c r="V1036" s="1"/>
      <c r="W1036" s="1"/>
      <c r="X1036" s="1"/>
      <c r="Y1036" s="1"/>
      <c r="Z1036" s="1"/>
      <c r="AA1036" s="1"/>
      <c r="AB1036" s="3"/>
    </row>
    <row r="1037" spans="1:29" ht="25.15" customHeight="1" x14ac:dyDescent="0.25">
      <c r="A1037" s="39" t="s">
        <v>2007</v>
      </c>
      <c r="B1037" s="9" t="s">
        <v>570</v>
      </c>
      <c r="C1037" s="7">
        <f t="shared" si="1437"/>
        <v>20858935</v>
      </c>
      <c r="D1037" s="2">
        <f t="shared" si="1438"/>
        <v>10389825</v>
      </c>
      <c r="E1037" s="2">
        <f>700*3406.5</f>
        <v>2384550</v>
      </c>
      <c r="F1037" s="2">
        <f>1300*3406.5</f>
        <v>4428450</v>
      </c>
      <c r="G1037" s="2">
        <f>350*3406.5</f>
        <v>1192275</v>
      </c>
      <c r="H1037" s="2">
        <f>400*3406.5</f>
        <v>1362600</v>
      </c>
      <c r="I1037" s="2">
        <f>300*3406.5</f>
        <v>1021950</v>
      </c>
      <c r="J1037" s="2">
        <v>0</v>
      </c>
      <c r="K1037" s="21">
        <v>0</v>
      </c>
      <c r="L1037" s="2">
        <v>0</v>
      </c>
      <c r="M1037" s="2">
        <v>1074.3499999999999</v>
      </c>
      <c r="N1037" s="2">
        <f>M1037*6600</f>
        <v>7090709.9999999991</v>
      </c>
      <c r="O1037" s="2">
        <v>0</v>
      </c>
      <c r="P1037" s="2">
        <v>0</v>
      </c>
      <c r="Q1037" s="2">
        <v>1024.5</v>
      </c>
      <c r="R1037" s="2">
        <f>Q1037*3200</f>
        <v>3278400</v>
      </c>
      <c r="S1037" s="8">
        <v>0</v>
      </c>
      <c r="T1037" s="2">
        <v>100000</v>
      </c>
      <c r="U1037" s="6">
        <f t="shared" si="1439"/>
        <v>6600</v>
      </c>
      <c r="V1037" s="1"/>
      <c r="W1037" s="1"/>
      <c r="X1037" s="1"/>
      <c r="Y1037" s="1"/>
      <c r="Z1037" s="1"/>
      <c r="AA1037" s="1"/>
      <c r="AB1037" s="3"/>
    </row>
    <row r="1038" spans="1:29" ht="25.15" customHeight="1" x14ac:dyDescent="0.25">
      <c r="A1038" s="39" t="s">
        <v>2008</v>
      </c>
      <c r="B1038" s="9" t="s">
        <v>571</v>
      </c>
      <c r="C1038" s="7">
        <f t="shared" si="1437"/>
        <v>10166530</v>
      </c>
      <c r="D1038" s="2">
        <f t="shared" si="1438"/>
        <v>4837910</v>
      </c>
      <c r="E1038" s="2">
        <f>700*1586.2</f>
        <v>1110340</v>
      </c>
      <c r="F1038" s="2">
        <f>1300*1586.2</f>
        <v>2062060</v>
      </c>
      <c r="G1038" s="2">
        <f>350*1586.2</f>
        <v>555170</v>
      </c>
      <c r="H1038" s="2">
        <f>400*1586.2</f>
        <v>634480</v>
      </c>
      <c r="I1038" s="2">
        <f>300*1586.2</f>
        <v>475860</v>
      </c>
      <c r="J1038" s="2">
        <v>0</v>
      </c>
      <c r="K1038" s="21">
        <v>0</v>
      </c>
      <c r="L1038" s="2">
        <v>0</v>
      </c>
      <c r="M1038" s="2">
        <v>671.6</v>
      </c>
      <c r="N1038" s="2">
        <f>M1038*4450</f>
        <v>2988620</v>
      </c>
      <c r="O1038" s="2">
        <v>0</v>
      </c>
      <c r="P1038" s="2">
        <v>0</v>
      </c>
      <c r="Q1038" s="2">
        <v>700</v>
      </c>
      <c r="R1038" s="2">
        <f>Q1038*3200</f>
        <v>2240000</v>
      </c>
      <c r="S1038" s="8">
        <v>0</v>
      </c>
      <c r="T1038" s="2">
        <v>100000</v>
      </c>
      <c r="U1038" s="6">
        <f t="shared" si="1439"/>
        <v>4450</v>
      </c>
      <c r="V1038" s="1"/>
      <c r="W1038" s="1"/>
      <c r="X1038" s="1"/>
      <c r="Y1038" s="1"/>
      <c r="Z1038" s="1"/>
      <c r="AA1038" s="1"/>
      <c r="AB1038" s="3"/>
    </row>
    <row r="1039" spans="1:29" ht="25.15" customHeight="1" x14ac:dyDescent="0.25">
      <c r="A1039" s="39" t="s">
        <v>2009</v>
      </c>
      <c r="B1039" s="9" t="s">
        <v>572</v>
      </c>
      <c r="C1039" s="7">
        <f t="shared" si="1437"/>
        <v>4645454.5</v>
      </c>
      <c r="D1039" s="2">
        <f t="shared" si="1438"/>
        <v>1847080</v>
      </c>
      <c r="E1039" s="2">
        <f>700*605.6</f>
        <v>423920</v>
      </c>
      <c r="F1039" s="2">
        <f>1300*605.6</f>
        <v>787280</v>
      </c>
      <c r="G1039" s="2">
        <f>350*605.6</f>
        <v>211960</v>
      </c>
      <c r="H1039" s="2">
        <f>400*605.6</f>
        <v>242240</v>
      </c>
      <c r="I1039" s="2">
        <f>300*605.6</f>
        <v>181680</v>
      </c>
      <c r="J1039" s="2">
        <v>0</v>
      </c>
      <c r="K1039" s="21">
        <v>0</v>
      </c>
      <c r="L1039" s="2">
        <v>0</v>
      </c>
      <c r="M1039" s="2">
        <v>456.53</v>
      </c>
      <c r="N1039" s="2">
        <f>M1039*4450</f>
        <v>2031558.4999999998</v>
      </c>
      <c r="O1039" s="2">
        <v>0</v>
      </c>
      <c r="P1039" s="2">
        <v>0</v>
      </c>
      <c r="Q1039" s="2">
        <v>208.38</v>
      </c>
      <c r="R1039" s="2">
        <f>Q1039*3200</f>
        <v>666816</v>
      </c>
      <c r="S1039" s="8">
        <v>0</v>
      </c>
      <c r="T1039" s="2">
        <v>100000</v>
      </c>
      <c r="U1039" s="6">
        <f t="shared" si="1439"/>
        <v>4450</v>
      </c>
      <c r="V1039" s="1"/>
      <c r="W1039" s="1"/>
      <c r="X1039" s="1"/>
      <c r="Y1039" s="1"/>
      <c r="Z1039" s="1"/>
      <c r="AA1039" s="1"/>
      <c r="AB1039" s="3"/>
    </row>
    <row r="1040" spans="1:29" ht="25.15" customHeight="1" x14ac:dyDescent="0.25">
      <c r="A1040" s="39" t="s">
        <v>2010</v>
      </c>
      <c r="B1040" s="9" t="s">
        <v>573</v>
      </c>
      <c r="C1040" s="7">
        <f t="shared" si="1437"/>
        <v>19441421</v>
      </c>
      <c r="D1040" s="2">
        <f t="shared" si="1438"/>
        <v>8329855</v>
      </c>
      <c r="E1040" s="2">
        <f>700*2731.1</f>
        <v>1911770</v>
      </c>
      <c r="F1040" s="2">
        <f>1300*2731.1</f>
        <v>3550430</v>
      </c>
      <c r="G1040" s="2">
        <f>350*2731.1</f>
        <v>955885</v>
      </c>
      <c r="H1040" s="2">
        <f>400*2731.1</f>
        <v>1092440</v>
      </c>
      <c r="I1040" s="2">
        <f>300*2731.1</f>
        <v>819330</v>
      </c>
      <c r="J1040" s="2">
        <v>0</v>
      </c>
      <c r="K1040" s="21">
        <v>0</v>
      </c>
      <c r="L1040" s="2">
        <v>0</v>
      </c>
      <c r="M1040" s="2">
        <v>1115.95</v>
      </c>
      <c r="N1040" s="2">
        <f>M1040*6600</f>
        <v>7365270</v>
      </c>
      <c r="O1040" s="2">
        <v>858.42</v>
      </c>
      <c r="P1040" s="2">
        <f>O1040*1200</f>
        <v>1030104</v>
      </c>
      <c r="Q1040" s="2">
        <v>817.56</v>
      </c>
      <c r="R1040" s="2">
        <f>Q1040*3200</f>
        <v>2616192</v>
      </c>
      <c r="S1040" s="8">
        <v>0</v>
      </c>
      <c r="T1040" s="2">
        <v>100000</v>
      </c>
      <c r="U1040" s="6">
        <f t="shared" si="1439"/>
        <v>6600</v>
      </c>
      <c r="V1040" s="1"/>
      <c r="W1040" s="1"/>
      <c r="X1040" s="1"/>
      <c r="Y1040" s="1"/>
      <c r="Z1040" s="1"/>
      <c r="AA1040" s="1"/>
      <c r="AB1040" s="3"/>
    </row>
    <row r="1041" spans="1:29" ht="25.15" customHeight="1" x14ac:dyDescent="0.25">
      <c r="A1041" s="39" t="s">
        <v>2011</v>
      </c>
      <c r="B1041" s="9" t="s">
        <v>574</v>
      </c>
      <c r="C1041" s="7">
        <f t="shared" si="1437"/>
        <v>3857349</v>
      </c>
      <c r="D1041" s="2">
        <f t="shared" si="1438"/>
        <v>0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  <c r="J1041" s="2">
        <v>0</v>
      </c>
      <c r="K1041" s="21">
        <v>0</v>
      </c>
      <c r="L1041" s="2">
        <v>0</v>
      </c>
      <c r="M1041" s="2">
        <v>866.82</v>
      </c>
      <c r="N1041" s="2">
        <f>M1041*4450</f>
        <v>3857349</v>
      </c>
      <c r="O1041" s="2">
        <v>0</v>
      </c>
      <c r="P1041" s="2">
        <v>0</v>
      </c>
      <c r="Q1041" s="2">
        <v>0</v>
      </c>
      <c r="R1041" s="2">
        <v>0</v>
      </c>
      <c r="S1041" s="8">
        <v>0</v>
      </c>
      <c r="T1041" s="2">
        <v>0</v>
      </c>
      <c r="U1041" s="6">
        <f t="shared" si="1439"/>
        <v>4450</v>
      </c>
      <c r="V1041" s="1"/>
      <c r="W1041" s="1"/>
      <c r="X1041" s="1"/>
      <c r="Y1041" s="1"/>
      <c r="Z1041" s="1"/>
      <c r="AA1041" s="1"/>
      <c r="AB1041" s="3"/>
    </row>
    <row r="1042" spans="1:29" ht="25.15" customHeight="1" x14ac:dyDescent="0.25">
      <c r="A1042" s="39" t="s">
        <v>2012</v>
      </c>
      <c r="B1042" s="9" t="s">
        <v>575</v>
      </c>
      <c r="C1042" s="7">
        <f t="shared" si="1437"/>
        <v>2128860</v>
      </c>
      <c r="D1042" s="2">
        <f t="shared" si="1438"/>
        <v>2028860.0000000002</v>
      </c>
      <c r="E1042" s="2">
        <f>700*665.2</f>
        <v>465640.00000000006</v>
      </c>
      <c r="F1042" s="2">
        <f>1300*665.2</f>
        <v>864760.00000000012</v>
      </c>
      <c r="G1042" s="2">
        <f>350*665.2</f>
        <v>232820.00000000003</v>
      </c>
      <c r="H1042" s="2">
        <f>400*665.2</f>
        <v>266080</v>
      </c>
      <c r="I1042" s="2">
        <f>300*665.2</f>
        <v>199560</v>
      </c>
      <c r="J1042" s="2">
        <v>0</v>
      </c>
      <c r="K1042" s="21">
        <v>0</v>
      </c>
      <c r="L1042" s="2">
        <v>0</v>
      </c>
      <c r="M1042" s="2">
        <v>0</v>
      </c>
      <c r="N1042" s="2">
        <v>0</v>
      </c>
      <c r="O1042" s="2">
        <v>0</v>
      </c>
      <c r="P1042" s="2">
        <v>0</v>
      </c>
      <c r="Q1042" s="2">
        <v>0</v>
      </c>
      <c r="R1042" s="2">
        <v>0</v>
      </c>
      <c r="S1042" s="8">
        <v>0</v>
      </c>
      <c r="T1042" s="2">
        <v>100000</v>
      </c>
      <c r="U1042" s="6" t="e">
        <f t="shared" si="1439"/>
        <v>#DIV/0!</v>
      </c>
      <c r="V1042" s="1"/>
      <c r="W1042" s="1"/>
      <c r="X1042" s="1"/>
      <c r="Y1042" s="1"/>
      <c r="Z1042" s="1"/>
      <c r="AA1042" s="1"/>
      <c r="AB1042" s="3"/>
    </row>
    <row r="1043" spans="1:29" ht="25.15" customHeight="1" x14ac:dyDescent="0.25">
      <c r="A1043" s="39" t="s">
        <v>2013</v>
      </c>
      <c r="B1043" s="9" t="s">
        <v>576</v>
      </c>
      <c r="C1043" s="7">
        <f t="shared" si="1437"/>
        <v>2792390</v>
      </c>
      <c r="D1043" s="2">
        <f t="shared" si="1438"/>
        <v>2031910.0000000002</v>
      </c>
      <c r="E1043" s="2">
        <f>700*666.2</f>
        <v>466340.00000000006</v>
      </c>
      <c r="F1043" s="2">
        <f>1300*666.2</f>
        <v>866060.00000000012</v>
      </c>
      <c r="G1043" s="2">
        <f>350*666.2</f>
        <v>233170.00000000003</v>
      </c>
      <c r="H1043" s="2">
        <f>400*666.2</f>
        <v>266480</v>
      </c>
      <c r="I1043" s="2">
        <f>300*666.2</f>
        <v>199860</v>
      </c>
      <c r="J1043" s="2">
        <v>0</v>
      </c>
      <c r="K1043" s="21">
        <v>0</v>
      </c>
      <c r="L1043" s="2">
        <v>0</v>
      </c>
      <c r="M1043" s="2">
        <v>0</v>
      </c>
      <c r="N1043" s="2">
        <v>0</v>
      </c>
      <c r="O1043" s="2">
        <v>0</v>
      </c>
      <c r="P1043" s="2">
        <v>0</v>
      </c>
      <c r="Q1043" s="2">
        <v>206.4</v>
      </c>
      <c r="R1043" s="2">
        <f>Q1043*3200</f>
        <v>660480</v>
      </c>
      <c r="S1043" s="8">
        <v>0</v>
      </c>
      <c r="T1043" s="2">
        <v>100000</v>
      </c>
      <c r="U1043" s="6" t="e">
        <f t="shared" si="1439"/>
        <v>#DIV/0!</v>
      </c>
      <c r="V1043" s="1"/>
      <c r="W1043" s="1"/>
      <c r="X1043" s="1"/>
      <c r="Y1043" s="1"/>
      <c r="Z1043" s="1"/>
      <c r="AA1043" s="1"/>
      <c r="AB1043" s="3"/>
    </row>
    <row r="1044" spans="1:29" ht="25.15" customHeight="1" x14ac:dyDescent="0.25">
      <c r="A1044" s="39" t="s">
        <v>2014</v>
      </c>
      <c r="B1044" s="9" t="s">
        <v>577</v>
      </c>
      <c r="C1044" s="7">
        <f t="shared" si="1437"/>
        <v>2813130</v>
      </c>
      <c r="D1044" s="2">
        <f t="shared" si="1438"/>
        <v>2052650</v>
      </c>
      <c r="E1044" s="2">
        <f>700*673</f>
        <v>471100</v>
      </c>
      <c r="F1044" s="2">
        <f>1300*673</f>
        <v>874900</v>
      </c>
      <c r="G1044" s="2">
        <f>350*673</f>
        <v>235550</v>
      </c>
      <c r="H1044" s="2">
        <f>400*673</f>
        <v>269200</v>
      </c>
      <c r="I1044" s="2">
        <f>300*673</f>
        <v>201900</v>
      </c>
      <c r="J1044" s="2">
        <v>0</v>
      </c>
      <c r="K1044" s="21">
        <v>0</v>
      </c>
      <c r="L1044" s="2">
        <v>0</v>
      </c>
      <c r="M1044" s="2">
        <v>0</v>
      </c>
      <c r="N1044" s="2">
        <v>0</v>
      </c>
      <c r="O1044" s="2">
        <v>0</v>
      </c>
      <c r="P1044" s="2">
        <v>0</v>
      </c>
      <c r="Q1044" s="2">
        <v>206.4</v>
      </c>
      <c r="R1044" s="2">
        <f>Q1044*3200</f>
        <v>660480</v>
      </c>
      <c r="S1044" s="8">
        <v>0</v>
      </c>
      <c r="T1044" s="2">
        <v>100000</v>
      </c>
      <c r="U1044" s="6" t="e">
        <f t="shared" si="1439"/>
        <v>#DIV/0!</v>
      </c>
      <c r="V1044" s="1"/>
      <c r="W1044" s="1"/>
      <c r="X1044" s="1"/>
      <c r="Y1044" s="1"/>
      <c r="Z1044" s="1"/>
      <c r="AA1044" s="1"/>
      <c r="AB1044" s="3"/>
    </row>
    <row r="1045" spans="1:29" ht="25.15" customHeight="1" x14ac:dyDescent="0.25">
      <c r="A1045" s="39" t="s">
        <v>2015</v>
      </c>
      <c r="B1045" s="9" t="s">
        <v>578</v>
      </c>
      <c r="C1045" s="7">
        <f t="shared" si="1437"/>
        <v>6136550</v>
      </c>
      <c r="D1045" s="2">
        <f t="shared" si="1438"/>
        <v>0</v>
      </c>
      <c r="E1045" s="2">
        <v>0</v>
      </c>
      <c r="F1045" s="2">
        <v>0</v>
      </c>
      <c r="G1045" s="2">
        <v>0</v>
      </c>
      <c r="H1045" s="2">
        <v>0</v>
      </c>
      <c r="I1045" s="2">
        <v>0</v>
      </c>
      <c r="J1045" s="2">
        <v>0</v>
      </c>
      <c r="K1045" s="21">
        <v>0</v>
      </c>
      <c r="L1045" s="2">
        <v>0</v>
      </c>
      <c r="M1045" s="2">
        <v>1379</v>
      </c>
      <c r="N1045" s="2">
        <f>M1045*4450</f>
        <v>6136550</v>
      </c>
      <c r="O1045" s="2">
        <v>0</v>
      </c>
      <c r="P1045" s="2">
        <v>0</v>
      </c>
      <c r="Q1045" s="2">
        <v>0</v>
      </c>
      <c r="R1045" s="2">
        <v>0</v>
      </c>
      <c r="S1045" s="8">
        <v>0</v>
      </c>
      <c r="T1045" s="2">
        <v>0</v>
      </c>
      <c r="U1045" s="6">
        <f t="shared" si="1439"/>
        <v>4450</v>
      </c>
      <c r="V1045" s="1"/>
      <c r="W1045" s="1"/>
      <c r="X1045" s="1"/>
      <c r="Y1045" s="1"/>
      <c r="Z1045" s="1"/>
      <c r="AA1045" s="1"/>
      <c r="AB1045" s="3"/>
    </row>
    <row r="1046" spans="1:29" ht="25.15" customHeight="1" x14ac:dyDescent="0.25">
      <c r="A1046" s="39" t="s">
        <v>2016</v>
      </c>
      <c r="B1046" s="9" t="s">
        <v>579</v>
      </c>
      <c r="C1046" s="7">
        <f t="shared" si="1437"/>
        <v>4356245</v>
      </c>
      <c r="D1046" s="2">
        <f t="shared" si="1438"/>
        <v>1286185</v>
      </c>
      <c r="E1046" s="2">
        <f>700*421.7</f>
        <v>295190</v>
      </c>
      <c r="F1046" s="2">
        <f>1300*421.7</f>
        <v>548210</v>
      </c>
      <c r="G1046" s="2">
        <f>350*421.7</f>
        <v>147595</v>
      </c>
      <c r="H1046" s="2">
        <f>400*421.7</f>
        <v>168680</v>
      </c>
      <c r="I1046" s="2">
        <f>300*421.7</f>
        <v>126510</v>
      </c>
      <c r="J1046" s="2">
        <v>0</v>
      </c>
      <c r="K1046" s="21">
        <v>0</v>
      </c>
      <c r="L1046" s="2">
        <v>0</v>
      </c>
      <c r="M1046" s="2">
        <v>371.26</v>
      </c>
      <c r="N1046" s="2">
        <f>M1046*6600</f>
        <v>2450316</v>
      </c>
      <c r="O1046" s="2">
        <v>0</v>
      </c>
      <c r="P1046" s="2">
        <v>0</v>
      </c>
      <c r="Q1046" s="2">
        <v>162.41999999999999</v>
      </c>
      <c r="R1046" s="2">
        <f>Q1046*3200</f>
        <v>519743.99999999994</v>
      </c>
      <c r="S1046" s="8">
        <v>0</v>
      </c>
      <c r="T1046" s="2">
        <v>100000</v>
      </c>
      <c r="U1046" s="6">
        <f t="shared" si="1439"/>
        <v>6600</v>
      </c>
      <c r="V1046" s="1"/>
      <c r="W1046" s="1"/>
      <c r="X1046" s="1"/>
      <c r="Y1046" s="1"/>
      <c r="Z1046" s="1"/>
      <c r="AA1046" s="1"/>
      <c r="AB1046" s="3"/>
    </row>
    <row r="1047" spans="1:29" ht="25.15" customHeight="1" x14ac:dyDescent="0.25">
      <c r="A1047" s="39" t="s">
        <v>2017</v>
      </c>
      <c r="B1047" s="9" t="s">
        <v>580</v>
      </c>
      <c r="C1047" s="7">
        <f t="shared" si="1437"/>
        <v>1896870</v>
      </c>
      <c r="D1047" s="2">
        <f t="shared" si="1438"/>
        <v>1280390</v>
      </c>
      <c r="E1047" s="2">
        <f>700*419.8</f>
        <v>293860</v>
      </c>
      <c r="F1047" s="2">
        <f>1300*419.8</f>
        <v>545740</v>
      </c>
      <c r="G1047" s="2">
        <f>350*419.8</f>
        <v>146930</v>
      </c>
      <c r="H1047" s="2">
        <f>400*419.8</f>
        <v>167920</v>
      </c>
      <c r="I1047" s="2">
        <f>300*419.8</f>
        <v>125940</v>
      </c>
      <c r="J1047" s="2">
        <v>0</v>
      </c>
      <c r="K1047" s="21">
        <v>0</v>
      </c>
      <c r="L1047" s="2">
        <v>0</v>
      </c>
      <c r="M1047" s="2">
        <v>0</v>
      </c>
      <c r="N1047" s="2">
        <v>0</v>
      </c>
      <c r="O1047" s="2">
        <v>0</v>
      </c>
      <c r="P1047" s="2">
        <v>0</v>
      </c>
      <c r="Q1047" s="2">
        <v>161.4</v>
      </c>
      <c r="R1047" s="2">
        <f>Q1047*3200</f>
        <v>516480</v>
      </c>
      <c r="S1047" s="8">
        <v>0</v>
      </c>
      <c r="T1047" s="2">
        <v>100000</v>
      </c>
      <c r="U1047" s="6" t="e">
        <f t="shared" si="1439"/>
        <v>#DIV/0!</v>
      </c>
      <c r="V1047" s="1"/>
      <c r="W1047" s="1"/>
      <c r="X1047" s="1"/>
      <c r="Y1047" s="1"/>
      <c r="Z1047" s="1"/>
      <c r="AA1047" s="1"/>
      <c r="AB1047" s="3"/>
    </row>
    <row r="1048" spans="1:29" ht="25.15" customHeight="1" x14ac:dyDescent="0.25">
      <c r="A1048" s="39" t="s">
        <v>2018</v>
      </c>
      <c r="B1048" s="9" t="s">
        <v>581</v>
      </c>
      <c r="C1048" s="7">
        <f t="shared" si="1437"/>
        <v>3865949</v>
      </c>
      <c r="D1048" s="2">
        <f t="shared" si="1438"/>
        <v>1273375</v>
      </c>
      <c r="E1048" s="2">
        <f>700*417.5</f>
        <v>292250</v>
      </c>
      <c r="F1048" s="2">
        <f>1300*417.5</f>
        <v>542750</v>
      </c>
      <c r="G1048" s="2">
        <f>350*417.5</f>
        <v>146125</v>
      </c>
      <c r="H1048" s="2">
        <f>400*417.5</f>
        <v>167000</v>
      </c>
      <c r="I1048" s="2">
        <f>300*417.5</f>
        <v>125250</v>
      </c>
      <c r="J1048" s="2">
        <v>0</v>
      </c>
      <c r="K1048" s="21">
        <v>0</v>
      </c>
      <c r="L1048" s="2">
        <v>0</v>
      </c>
      <c r="M1048" s="2">
        <v>311.83</v>
      </c>
      <c r="N1048" s="2">
        <f>M1048*6600</f>
        <v>2058078</v>
      </c>
      <c r="O1048" s="2">
        <v>0</v>
      </c>
      <c r="P1048" s="2">
        <v>0</v>
      </c>
      <c r="Q1048" s="2">
        <v>135.78</v>
      </c>
      <c r="R1048" s="2">
        <f>Q1048*3200</f>
        <v>434496</v>
      </c>
      <c r="S1048" s="8">
        <v>0</v>
      </c>
      <c r="T1048" s="2">
        <v>100000</v>
      </c>
      <c r="U1048" s="6">
        <f t="shared" si="1439"/>
        <v>6600</v>
      </c>
      <c r="V1048" s="1"/>
      <c r="W1048" s="1"/>
      <c r="X1048" s="1"/>
      <c r="Y1048" s="1"/>
      <c r="Z1048" s="1"/>
      <c r="AA1048" s="1"/>
      <c r="AB1048" s="3"/>
    </row>
    <row r="1049" spans="1:29" ht="25.15" customHeight="1" x14ac:dyDescent="0.25">
      <c r="A1049" s="39" t="s">
        <v>2019</v>
      </c>
      <c r="B1049" s="9" t="s">
        <v>582</v>
      </c>
      <c r="C1049" s="7">
        <f t="shared" si="1437"/>
        <v>4317758</v>
      </c>
      <c r="D1049" s="2">
        <f t="shared" si="1438"/>
        <v>1309060</v>
      </c>
      <c r="E1049" s="2">
        <f>700*429.2</f>
        <v>300440</v>
      </c>
      <c r="F1049" s="2">
        <f>1300*429.2</f>
        <v>557960</v>
      </c>
      <c r="G1049" s="2">
        <f>350*429.2</f>
        <v>150220</v>
      </c>
      <c r="H1049" s="2">
        <f>400*429.2</f>
        <v>171680</v>
      </c>
      <c r="I1049" s="2">
        <f>300*429.2</f>
        <v>128760</v>
      </c>
      <c r="J1049" s="2">
        <v>0</v>
      </c>
      <c r="K1049" s="21">
        <v>0</v>
      </c>
      <c r="L1049" s="2">
        <v>0</v>
      </c>
      <c r="M1049" s="2">
        <v>368.13</v>
      </c>
      <c r="N1049" s="2">
        <f>M1049*6600</f>
        <v>2429658</v>
      </c>
      <c r="O1049" s="2">
        <v>0</v>
      </c>
      <c r="P1049" s="2">
        <v>0</v>
      </c>
      <c r="Q1049" s="2">
        <v>149.69999999999999</v>
      </c>
      <c r="R1049" s="2">
        <f>Q1049*3200</f>
        <v>479039.99999999994</v>
      </c>
      <c r="S1049" s="8">
        <v>0</v>
      </c>
      <c r="T1049" s="2">
        <v>100000</v>
      </c>
      <c r="U1049" s="6">
        <f t="shared" si="1439"/>
        <v>6600</v>
      </c>
      <c r="V1049" s="1"/>
      <c r="W1049" s="1"/>
      <c r="X1049" s="1"/>
      <c r="Y1049" s="1"/>
      <c r="Z1049" s="1"/>
      <c r="AA1049" s="1"/>
      <c r="AB1049" s="3"/>
    </row>
    <row r="1050" spans="1:29" ht="25.15" customHeight="1" x14ac:dyDescent="0.25">
      <c r="A1050" s="39" t="s">
        <v>2020</v>
      </c>
      <c r="B1050" s="9" t="s">
        <v>583</v>
      </c>
      <c r="C1050" s="7">
        <f t="shared" si="1437"/>
        <v>3849120.0000000005</v>
      </c>
      <c r="D1050" s="2">
        <f t="shared" si="1438"/>
        <v>0</v>
      </c>
      <c r="E1050" s="2">
        <v>0</v>
      </c>
      <c r="F1050" s="2">
        <v>0</v>
      </c>
      <c r="G1050" s="2">
        <v>0</v>
      </c>
      <c r="H1050" s="2">
        <v>0</v>
      </c>
      <c r="I1050" s="2">
        <v>0</v>
      </c>
      <c r="J1050" s="2">
        <v>0</v>
      </c>
      <c r="K1050" s="21">
        <v>0</v>
      </c>
      <c r="L1050" s="2">
        <v>0</v>
      </c>
      <c r="M1050" s="2">
        <v>583.20000000000005</v>
      </c>
      <c r="N1050" s="2">
        <f>M1050*6600</f>
        <v>3849120.0000000005</v>
      </c>
      <c r="O1050" s="2">
        <v>0</v>
      </c>
      <c r="P1050" s="2">
        <v>0</v>
      </c>
      <c r="Q1050" s="2">
        <v>0</v>
      </c>
      <c r="R1050" s="2">
        <f>Q1050*3200</f>
        <v>0</v>
      </c>
      <c r="S1050" s="8">
        <v>0</v>
      </c>
      <c r="T1050" s="2">
        <v>0</v>
      </c>
      <c r="U1050" s="6">
        <f t="shared" si="1439"/>
        <v>6600</v>
      </c>
      <c r="V1050" s="1"/>
      <c r="W1050" s="1"/>
      <c r="X1050" s="1"/>
      <c r="Y1050" s="1"/>
      <c r="Z1050" s="1"/>
      <c r="AA1050" s="1"/>
      <c r="AB1050" s="3"/>
    </row>
    <row r="1051" spans="1:29" ht="45" customHeight="1" x14ac:dyDescent="0.25">
      <c r="A1051" s="43" t="s">
        <v>584</v>
      </c>
      <c r="B1051" s="43"/>
      <c r="C1051" s="1">
        <f>SUM(C1052:C1053)</f>
        <v>3961940</v>
      </c>
      <c r="D1051" s="1">
        <f t="shared" ref="D1051:T1051" si="1440">SUM(D1052:D1053)</f>
        <v>1116180</v>
      </c>
      <c r="E1051" s="1">
        <f t="shared" si="1440"/>
        <v>578760</v>
      </c>
      <c r="F1051" s="1">
        <f t="shared" si="1440"/>
        <v>0</v>
      </c>
      <c r="G1051" s="1">
        <f t="shared" si="1440"/>
        <v>289380</v>
      </c>
      <c r="H1051" s="1">
        <f t="shared" si="1440"/>
        <v>0</v>
      </c>
      <c r="I1051" s="1">
        <f t="shared" si="1440"/>
        <v>248040</v>
      </c>
      <c r="J1051" s="1">
        <f t="shared" si="1440"/>
        <v>0</v>
      </c>
      <c r="K1051" s="33">
        <f t="shared" si="1440"/>
        <v>0</v>
      </c>
      <c r="L1051" s="1">
        <f t="shared" si="1440"/>
        <v>0</v>
      </c>
      <c r="M1051" s="1">
        <f t="shared" si="1440"/>
        <v>0</v>
      </c>
      <c r="N1051" s="1">
        <f t="shared" si="1440"/>
        <v>0</v>
      </c>
      <c r="O1051" s="1">
        <f t="shared" si="1440"/>
        <v>0</v>
      </c>
      <c r="P1051" s="1">
        <f t="shared" si="1440"/>
        <v>0</v>
      </c>
      <c r="Q1051" s="1">
        <f t="shared" si="1440"/>
        <v>826.8</v>
      </c>
      <c r="R1051" s="1">
        <f t="shared" si="1440"/>
        <v>2645760</v>
      </c>
      <c r="S1051" s="1">
        <f t="shared" si="1440"/>
        <v>0</v>
      </c>
      <c r="T1051" s="1">
        <f t="shared" si="1440"/>
        <v>200000</v>
      </c>
      <c r="U1051" s="3" t="e">
        <f>C1051+#REF!+#REF!</f>
        <v>#REF!</v>
      </c>
    </row>
    <row r="1052" spans="1:29" ht="22.9" customHeight="1" x14ac:dyDescent="0.25">
      <c r="A1052" s="39" t="s">
        <v>2021</v>
      </c>
      <c r="B1052" s="9" t="s">
        <v>589</v>
      </c>
      <c r="C1052" s="7">
        <f t="shared" ref="C1052:C1053" si="1441">D1052+L1052+N1052+P1052+R1052+S1052+T1052</f>
        <v>1966410</v>
      </c>
      <c r="D1052" s="2">
        <f t="shared" ref="D1052:D1053" si="1442">SUM(E1052:J1052)</f>
        <v>553770</v>
      </c>
      <c r="E1052" s="2">
        <f>700*410.2</f>
        <v>287140</v>
      </c>
      <c r="F1052" s="2">
        <v>0</v>
      </c>
      <c r="G1052" s="2">
        <f>350*410.2</f>
        <v>143570</v>
      </c>
      <c r="H1052" s="2">
        <v>0</v>
      </c>
      <c r="I1052" s="2">
        <f>300*410.2</f>
        <v>123060</v>
      </c>
      <c r="J1052" s="2">
        <v>0</v>
      </c>
      <c r="K1052" s="21">
        <v>0</v>
      </c>
      <c r="L1052" s="2">
        <v>0</v>
      </c>
      <c r="M1052" s="2">
        <v>0</v>
      </c>
      <c r="N1052" s="2">
        <v>0</v>
      </c>
      <c r="O1052" s="2">
        <v>0</v>
      </c>
      <c r="P1052" s="2">
        <v>0</v>
      </c>
      <c r="Q1052" s="2">
        <v>410.2</v>
      </c>
      <c r="R1052" s="2">
        <f t="shared" ref="R1052:R1053" si="1443">Q1052*3200</f>
        <v>1312640</v>
      </c>
      <c r="S1052" s="8">
        <v>0</v>
      </c>
      <c r="T1052" s="2">
        <v>100000</v>
      </c>
      <c r="U1052" s="6" t="e">
        <f t="shared" si="1427"/>
        <v>#DIV/0!</v>
      </c>
      <c r="V1052" s="1"/>
      <c r="W1052" s="1"/>
      <c r="X1052" s="1"/>
      <c r="Y1052" s="1"/>
      <c r="Z1052" s="1"/>
      <c r="AA1052" s="1"/>
      <c r="AB1052" s="1"/>
      <c r="AC1052" s="3"/>
    </row>
    <row r="1053" spans="1:29" ht="22.9" customHeight="1" x14ac:dyDescent="0.25">
      <c r="A1053" s="39" t="s">
        <v>2022</v>
      </c>
      <c r="B1053" s="9" t="s">
        <v>590</v>
      </c>
      <c r="C1053" s="7">
        <f t="shared" si="1441"/>
        <v>1995530</v>
      </c>
      <c r="D1053" s="2">
        <f t="shared" si="1442"/>
        <v>562410</v>
      </c>
      <c r="E1053" s="2">
        <f>700*416.6</f>
        <v>291620</v>
      </c>
      <c r="F1053" s="2">
        <v>0</v>
      </c>
      <c r="G1053" s="2">
        <f>350*416.6</f>
        <v>145810</v>
      </c>
      <c r="H1053" s="2">
        <v>0</v>
      </c>
      <c r="I1053" s="2">
        <f>300*416.6</f>
        <v>124980</v>
      </c>
      <c r="J1053" s="2">
        <v>0</v>
      </c>
      <c r="K1053" s="21">
        <v>0</v>
      </c>
      <c r="L1053" s="2">
        <v>0</v>
      </c>
      <c r="M1053" s="2">
        <v>0</v>
      </c>
      <c r="N1053" s="2">
        <v>0</v>
      </c>
      <c r="O1053" s="2">
        <v>0</v>
      </c>
      <c r="P1053" s="2">
        <v>0</v>
      </c>
      <c r="Q1053" s="2">
        <v>416.6</v>
      </c>
      <c r="R1053" s="2">
        <f t="shared" si="1443"/>
        <v>1333120</v>
      </c>
      <c r="S1053" s="8">
        <v>0</v>
      </c>
      <c r="T1053" s="2">
        <v>100000</v>
      </c>
      <c r="U1053" s="6" t="e">
        <f t="shared" si="1427"/>
        <v>#DIV/0!</v>
      </c>
      <c r="V1053" s="1"/>
      <c r="W1053" s="1"/>
      <c r="X1053" s="1"/>
      <c r="Y1053" s="1"/>
      <c r="Z1053" s="1"/>
      <c r="AA1053" s="1"/>
      <c r="AB1053" s="1"/>
      <c r="AC1053" s="3"/>
    </row>
    <row r="1054" spans="1:29" ht="45" customHeight="1" x14ac:dyDescent="0.25">
      <c r="A1054" s="43" t="s">
        <v>594</v>
      </c>
      <c r="B1054" s="43"/>
      <c r="C1054" s="1">
        <f>SUM(C1055:C1056)</f>
        <v>8713782</v>
      </c>
      <c r="D1054" s="1">
        <f t="shared" ref="D1054:T1054" si="1444">SUM(D1055:D1056)</f>
        <v>526330</v>
      </c>
      <c r="E1054" s="1">
        <f t="shared" si="1444"/>
        <v>526330</v>
      </c>
      <c r="F1054" s="1">
        <f t="shared" si="1444"/>
        <v>0</v>
      </c>
      <c r="G1054" s="1">
        <f t="shared" si="1444"/>
        <v>0</v>
      </c>
      <c r="H1054" s="1">
        <f t="shared" si="1444"/>
        <v>0</v>
      </c>
      <c r="I1054" s="1">
        <f t="shared" si="1444"/>
        <v>0</v>
      </c>
      <c r="J1054" s="1">
        <f t="shared" si="1444"/>
        <v>0</v>
      </c>
      <c r="K1054" s="33">
        <f t="shared" si="1444"/>
        <v>0</v>
      </c>
      <c r="L1054" s="1">
        <f t="shared" si="1444"/>
        <v>0</v>
      </c>
      <c r="M1054" s="1">
        <f t="shared" si="1444"/>
        <v>759.66</v>
      </c>
      <c r="N1054" s="1">
        <f t="shared" si="1444"/>
        <v>5013756</v>
      </c>
      <c r="O1054" s="1">
        <f t="shared" si="1444"/>
        <v>0</v>
      </c>
      <c r="P1054" s="1">
        <f t="shared" si="1444"/>
        <v>0</v>
      </c>
      <c r="Q1054" s="1">
        <f t="shared" si="1444"/>
        <v>929.28</v>
      </c>
      <c r="R1054" s="1">
        <f t="shared" si="1444"/>
        <v>2973696</v>
      </c>
      <c r="S1054" s="1">
        <f t="shared" si="1444"/>
        <v>0</v>
      </c>
      <c r="T1054" s="1">
        <f t="shared" si="1444"/>
        <v>200000</v>
      </c>
      <c r="U1054" s="3" t="e">
        <f>C1054+#REF!+#REF!</f>
        <v>#REF!</v>
      </c>
    </row>
    <row r="1055" spans="1:29" ht="22.9" customHeight="1" x14ac:dyDescent="0.25">
      <c r="A1055" s="39" t="s">
        <v>2023</v>
      </c>
      <c r="B1055" s="9" t="s">
        <v>599</v>
      </c>
      <c r="C1055" s="7">
        <f t="shared" ref="C1055:C1056" si="1445">D1055+L1055+N1055+P1055+R1055+S1055+T1055</f>
        <v>4358326</v>
      </c>
      <c r="D1055" s="2">
        <f t="shared" ref="D1055:D1056" si="1446">SUM(E1055:J1055)</f>
        <v>264600</v>
      </c>
      <c r="E1055" s="2">
        <f>700*378</f>
        <v>264600</v>
      </c>
      <c r="F1055" s="2">
        <v>0</v>
      </c>
      <c r="G1055" s="2">
        <v>0</v>
      </c>
      <c r="H1055" s="2">
        <v>0</v>
      </c>
      <c r="I1055" s="2">
        <v>0</v>
      </c>
      <c r="J1055" s="2">
        <v>0</v>
      </c>
      <c r="K1055" s="21">
        <v>0</v>
      </c>
      <c r="L1055" s="2">
        <v>0</v>
      </c>
      <c r="M1055" s="2">
        <v>379.83</v>
      </c>
      <c r="N1055" s="2">
        <f t="shared" ref="N1055:N1068" si="1447">M1055*6600</f>
        <v>2506878</v>
      </c>
      <c r="O1055" s="2">
        <v>0</v>
      </c>
      <c r="P1055" s="2">
        <v>0</v>
      </c>
      <c r="Q1055" s="2">
        <v>464.64</v>
      </c>
      <c r="R1055" s="2">
        <f t="shared" ref="R1055:R1056" si="1448">Q1055*3200</f>
        <v>1486848</v>
      </c>
      <c r="S1055" s="8">
        <v>0</v>
      </c>
      <c r="T1055" s="2">
        <v>100000</v>
      </c>
      <c r="U1055" s="6">
        <f t="shared" ref="U1055:U1056" si="1449">N1055/M1055</f>
        <v>6600</v>
      </c>
      <c r="V1055" s="1"/>
      <c r="W1055" s="1"/>
      <c r="X1055" s="1"/>
      <c r="Y1055" s="1"/>
      <c r="Z1055" s="1"/>
      <c r="AA1055" s="1"/>
      <c r="AB1055" s="3"/>
    </row>
    <row r="1056" spans="1:29" ht="22.9" customHeight="1" x14ac:dyDescent="0.25">
      <c r="A1056" s="39" t="s">
        <v>2024</v>
      </c>
      <c r="B1056" s="9" t="s">
        <v>600</v>
      </c>
      <c r="C1056" s="7">
        <f t="shared" si="1445"/>
        <v>4355456</v>
      </c>
      <c r="D1056" s="2">
        <f t="shared" si="1446"/>
        <v>261729.99999999997</v>
      </c>
      <c r="E1056" s="2">
        <f>700*373.9</f>
        <v>261729.99999999997</v>
      </c>
      <c r="F1056" s="2">
        <v>0</v>
      </c>
      <c r="G1056" s="2">
        <v>0</v>
      </c>
      <c r="H1056" s="2">
        <v>0</v>
      </c>
      <c r="I1056" s="2">
        <v>0</v>
      </c>
      <c r="J1056" s="2">
        <v>0</v>
      </c>
      <c r="K1056" s="21">
        <v>0</v>
      </c>
      <c r="L1056" s="2">
        <v>0</v>
      </c>
      <c r="M1056" s="2">
        <v>379.83</v>
      </c>
      <c r="N1056" s="2">
        <f t="shared" si="1447"/>
        <v>2506878</v>
      </c>
      <c r="O1056" s="2">
        <v>0</v>
      </c>
      <c r="P1056" s="2">
        <v>0</v>
      </c>
      <c r="Q1056" s="2">
        <v>464.64</v>
      </c>
      <c r="R1056" s="2">
        <f t="shared" si="1448"/>
        <v>1486848</v>
      </c>
      <c r="S1056" s="8">
        <v>0</v>
      </c>
      <c r="T1056" s="2">
        <v>100000</v>
      </c>
      <c r="U1056" s="6">
        <f t="shared" si="1449"/>
        <v>6600</v>
      </c>
      <c r="V1056" s="1"/>
      <c r="W1056" s="1"/>
      <c r="X1056" s="1"/>
      <c r="Y1056" s="1"/>
      <c r="Z1056" s="1"/>
      <c r="AA1056" s="1"/>
      <c r="AB1056" s="3"/>
    </row>
    <row r="1057" spans="1:28" ht="45" customHeight="1" x14ac:dyDescent="0.25">
      <c r="A1057" s="43" t="s">
        <v>601</v>
      </c>
      <c r="B1057" s="43"/>
      <c r="C1057" s="1">
        <f>SUM(C1058)</f>
        <v>4753390</v>
      </c>
      <c r="D1057" s="1">
        <f t="shared" ref="D1057:T1057" si="1450">SUM(D1058)</f>
        <v>563390</v>
      </c>
      <c r="E1057" s="1">
        <f t="shared" si="1450"/>
        <v>292600</v>
      </c>
      <c r="F1057" s="1">
        <f t="shared" si="1450"/>
        <v>0</v>
      </c>
      <c r="G1057" s="1">
        <f t="shared" si="1450"/>
        <v>145810</v>
      </c>
      <c r="H1057" s="1">
        <f t="shared" si="1450"/>
        <v>0</v>
      </c>
      <c r="I1057" s="1">
        <f t="shared" si="1450"/>
        <v>124980</v>
      </c>
      <c r="J1057" s="1">
        <f t="shared" si="1450"/>
        <v>0</v>
      </c>
      <c r="K1057" s="33">
        <f t="shared" si="1450"/>
        <v>0</v>
      </c>
      <c r="L1057" s="1">
        <f t="shared" si="1450"/>
        <v>0</v>
      </c>
      <c r="M1057" s="1">
        <f t="shared" si="1450"/>
        <v>450</v>
      </c>
      <c r="N1057" s="1">
        <f t="shared" si="1450"/>
        <v>2970000</v>
      </c>
      <c r="O1057" s="1">
        <f t="shared" si="1450"/>
        <v>0</v>
      </c>
      <c r="P1057" s="1">
        <f t="shared" si="1450"/>
        <v>0</v>
      </c>
      <c r="Q1057" s="1">
        <f t="shared" si="1450"/>
        <v>350</v>
      </c>
      <c r="R1057" s="1">
        <f t="shared" si="1450"/>
        <v>1120000</v>
      </c>
      <c r="S1057" s="1">
        <f t="shared" si="1450"/>
        <v>0</v>
      </c>
      <c r="T1057" s="1">
        <f t="shared" si="1450"/>
        <v>100000</v>
      </c>
      <c r="U1057" s="3" t="e">
        <f>C1057+#REF!+#REF!</f>
        <v>#REF!</v>
      </c>
    </row>
    <row r="1058" spans="1:28" ht="22.9" customHeight="1" x14ac:dyDescent="0.25">
      <c r="A1058" s="39" t="s">
        <v>2025</v>
      </c>
      <c r="B1058" s="9" t="s">
        <v>604</v>
      </c>
      <c r="C1058" s="7">
        <f t="shared" ref="C1058" si="1451">D1058+L1058+N1058+P1058+R1058+S1058+T1058</f>
        <v>4753390</v>
      </c>
      <c r="D1058" s="2">
        <f t="shared" ref="D1058" si="1452">SUM(E1058:J1058)</f>
        <v>563390</v>
      </c>
      <c r="E1058" s="2">
        <f>700*418</f>
        <v>292600</v>
      </c>
      <c r="F1058" s="2">
        <v>0</v>
      </c>
      <c r="G1058" s="2">
        <f>350*416.6</f>
        <v>145810</v>
      </c>
      <c r="H1058" s="2">
        <v>0</v>
      </c>
      <c r="I1058" s="2">
        <f>300*416.6</f>
        <v>124980</v>
      </c>
      <c r="J1058" s="2">
        <v>0</v>
      </c>
      <c r="K1058" s="21">
        <v>0</v>
      </c>
      <c r="L1058" s="2">
        <v>0</v>
      </c>
      <c r="M1058" s="2">
        <v>450</v>
      </c>
      <c r="N1058" s="2">
        <f t="shared" si="1447"/>
        <v>2970000</v>
      </c>
      <c r="O1058" s="2">
        <v>0</v>
      </c>
      <c r="P1058" s="2">
        <v>0</v>
      </c>
      <c r="Q1058" s="2">
        <v>350</v>
      </c>
      <c r="R1058" s="2">
        <f t="shared" ref="R1058" si="1453">Q1058*3200</f>
        <v>1120000</v>
      </c>
      <c r="S1058" s="8">
        <v>0</v>
      </c>
      <c r="T1058" s="2">
        <v>100000</v>
      </c>
      <c r="U1058" s="6">
        <f t="shared" ref="U1058" si="1454">N1058/M1058</f>
        <v>6600</v>
      </c>
      <c r="V1058" s="1"/>
      <c r="W1058" s="1"/>
      <c r="X1058" s="1"/>
      <c r="Y1058" s="1"/>
      <c r="Z1058" s="1"/>
      <c r="AA1058" s="1"/>
      <c r="AB1058" s="3"/>
    </row>
    <row r="1059" spans="1:28" ht="45" customHeight="1" x14ac:dyDescent="0.25">
      <c r="A1059" s="43" t="s">
        <v>605</v>
      </c>
      <c r="B1059" s="43"/>
      <c r="C1059" s="1">
        <f>SUM(C1060:C1061)</f>
        <v>6978613</v>
      </c>
      <c r="D1059" s="1">
        <f t="shared" ref="D1059:T1059" si="1455">SUM(D1060:D1061)</f>
        <v>1383445</v>
      </c>
      <c r="E1059" s="1">
        <f t="shared" si="1455"/>
        <v>412090</v>
      </c>
      <c r="F1059" s="1">
        <f t="shared" si="1455"/>
        <v>765310</v>
      </c>
      <c r="G1059" s="1">
        <f t="shared" si="1455"/>
        <v>206045</v>
      </c>
      <c r="H1059" s="1">
        <f t="shared" si="1455"/>
        <v>0</v>
      </c>
      <c r="I1059" s="1">
        <f t="shared" si="1455"/>
        <v>0</v>
      </c>
      <c r="J1059" s="1">
        <f t="shared" si="1455"/>
        <v>0</v>
      </c>
      <c r="K1059" s="33">
        <f t="shared" si="1455"/>
        <v>0</v>
      </c>
      <c r="L1059" s="1">
        <f t="shared" si="1455"/>
        <v>0</v>
      </c>
      <c r="M1059" s="1">
        <f t="shared" si="1455"/>
        <v>513.28</v>
      </c>
      <c r="N1059" s="1">
        <f t="shared" si="1455"/>
        <v>3387648</v>
      </c>
      <c r="O1059" s="1">
        <f t="shared" si="1455"/>
        <v>50</v>
      </c>
      <c r="P1059" s="1">
        <f t="shared" si="1455"/>
        <v>60000</v>
      </c>
      <c r="Q1059" s="1">
        <f t="shared" si="1455"/>
        <v>608.6</v>
      </c>
      <c r="R1059" s="1">
        <f t="shared" si="1455"/>
        <v>1947520</v>
      </c>
      <c r="S1059" s="1">
        <f t="shared" si="1455"/>
        <v>0</v>
      </c>
      <c r="T1059" s="1">
        <f t="shared" si="1455"/>
        <v>200000</v>
      </c>
      <c r="U1059" s="3" t="e">
        <f>C1059+#REF!+#REF!</f>
        <v>#REF!</v>
      </c>
    </row>
    <row r="1060" spans="1:28" ht="22.9" customHeight="1" x14ac:dyDescent="0.25">
      <c r="A1060" s="39" t="s">
        <v>2026</v>
      </c>
      <c r="B1060" s="9" t="s">
        <v>609</v>
      </c>
      <c r="C1060" s="7">
        <f t="shared" ref="C1060:C1061" si="1456">D1060+L1060+N1060+P1060+R1060+S1060+T1060</f>
        <v>3451620</v>
      </c>
      <c r="D1060" s="2">
        <f t="shared" ref="D1060:D1061" si="1457">SUM(E1060:J1060)</f>
        <v>691839.99999999988</v>
      </c>
      <c r="E1060" s="2">
        <f>700*294.4</f>
        <v>206079.99999999997</v>
      </c>
      <c r="F1060" s="2">
        <f>1300*294.4</f>
        <v>382719.99999999994</v>
      </c>
      <c r="G1060" s="2">
        <f>350*294.4</f>
        <v>103039.99999999999</v>
      </c>
      <c r="H1060" s="2">
        <v>0</v>
      </c>
      <c r="I1060" s="2">
        <v>0</v>
      </c>
      <c r="J1060" s="2">
        <v>0</v>
      </c>
      <c r="K1060" s="21">
        <v>0</v>
      </c>
      <c r="L1060" s="2">
        <v>0</v>
      </c>
      <c r="M1060" s="2">
        <v>255.7</v>
      </c>
      <c r="N1060" s="2">
        <f t="shared" si="1447"/>
        <v>1687620</v>
      </c>
      <c r="O1060" s="2">
        <v>0</v>
      </c>
      <c r="P1060" s="2">
        <v>0</v>
      </c>
      <c r="Q1060" s="2">
        <v>303.8</v>
      </c>
      <c r="R1060" s="2">
        <f t="shared" ref="R1060:R1061" si="1458">Q1060*3200</f>
        <v>972160</v>
      </c>
      <c r="S1060" s="8">
        <v>0</v>
      </c>
      <c r="T1060" s="2">
        <v>100000</v>
      </c>
      <c r="U1060" s="6">
        <f t="shared" ref="U1060:U1061" si="1459">N1060/M1060</f>
        <v>6600</v>
      </c>
      <c r="V1060" s="1"/>
      <c r="W1060" s="1"/>
      <c r="X1060" s="1"/>
      <c r="Y1060" s="1"/>
      <c r="Z1060" s="1"/>
      <c r="AA1060" s="1"/>
      <c r="AB1060" s="3"/>
    </row>
    <row r="1061" spans="1:28" ht="22.9" customHeight="1" x14ac:dyDescent="0.25">
      <c r="A1061" s="39" t="s">
        <v>2027</v>
      </c>
      <c r="B1061" s="9" t="s">
        <v>610</v>
      </c>
      <c r="C1061" s="7">
        <f t="shared" si="1456"/>
        <v>3526993</v>
      </c>
      <c r="D1061" s="2">
        <f t="shared" si="1457"/>
        <v>691605</v>
      </c>
      <c r="E1061" s="2">
        <f>700*294.3</f>
        <v>206010</v>
      </c>
      <c r="F1061" s="2">
        <f>1300*294.3</f>
        <v>382590</v>
      </c>
      <c r="G1061" s="2">
        <f>350*294.3</f>
        <v>103005</v>
      </c>
      <c r="H1061" s="2">
        <v>0</v>
      </c>
      <c r="I1061" s="2">
        <v>0</v>
      </c>
      <c r="J1061" s="2">
        <v>0</v>
      </c>
      <c r="K1061" s="21">
        <v>0</v>
      </c>
      <c r="L1061" s="2">
        <v>0</v>
      </c>
      <c r="M1061" s="2">
        <v>257.58</v>
      </c>
      <c r="N1061" s="2">
        <f t="shared" si="1447"/>
        <v>1700028</v>
      </c>
      <c r="O1061" s="2">
        <v>50</v>
      </c>
      <c r="P1061" s="2">
        <f>O1061*1200</f>
        <v>60000</v>
      </c>
      <c r="Q1061" s="2">
        <v>304.8</v>
      </c>
      <c r="R1061" s="2">
        <f t="shared" si="1458"/>
        <v>975360</v>
      </c>
      <c r="S1061" s="8">
        <v>0</v>
      </c>
      <c r="T1061" s="2">
        <v>100000</v>
      </c>
      <c r="U1061" s="6">
        <f t="shared" si="1459"/>
        <v>6600</v>
      </c>
      <c r="V1061" s="1"/>
      <c r="W1061" s="1"/>
      <c r="X1061" s="1"/>
      <c r="Y1061" s="1"/>
      <c r="Z1061" s="1"/>
      <c r="AA1061" s="1"/>
      <c r="AB1061" s="3"/>
    </row>
    <row r="1062" spans="1:28" ht="45" customHeight="1" x14ac:dyDescent="0.25">
      <c r="A1062" s="43" t="s">
        <v>626</v>
      </c>
      <c r="B1062" s="43"/>
      <c r="C1062" s="1">
        <f>SUM(C1063:C1065)</f>
        <v>16231180</v>
      </c>
      <c r="D1062" s="1">
        <f t="shared" ref="D1062:T1062" si="1460">SUM(D1063:D1065)</f>
        <v>818860</v>
      </c>
      <c r="E1062" s="1">
        <f t="shared" si="1460"/>
        <v>818860</v>
      </c>
      <c r="F1062" s="1">
        <f t="shared" si="1460"/>
        <v>0</v>
      </c>
      <c r="G1062" s="1">
        <f t="shared" si="1460"/>
        <v>0</v>
      </c>
      <c r="H1062" s="1">
        <f t="shared" si="1460"/>
        <v>0</v>
      </c>
      <c r="I1062" s="1">
        <f t="shared" si="1460"/>
        <v>0</v>
      </c>
      <c r="J1062" s="1">
        <f t="shared" si="1460"/>
        <v>0</v>
      </c>
      <c r="K1062" s="33">
        <f t="shared" si="1460"/>
        <v>0</v>
      </c>
      <c r="L1062" s="1">
        <f t="shared" si="1460"/>
        <v>0</v>
      </c>
      <c r="M1062" s="1">
        <f t="shared" si="1460"/>
        <v>1699.1999999999998</v>
      </c>
      <c r="N1062" s="1">
        <f t="shared" si="1460"/>
        <v>11214720</v>
      </c>
      <c r="O1062" s="1">
        <f t="shared" si="1460"/>
        <v>0</v>
      </c>
      <c r="P1062" s="1">
        <f t="shared" si="1460"/>
        <v>0</v>
      </c>
      <c r="Q1062" s="1">
        <f t="shared" si="1460"/>
        <v>1218</v>
      </c>
      <c r="R1062" s="1">
        <f t="shared" si="1460"/>
        <v>3897600</v>
      </c>
      <c r="S1062" s="1">
        <f t="shared" si="1460"/>
        <v>0</v>
      </c>
      <c r="T1062" s="1">
        <f t="shared" si="1460"/>
        <v>300000</v>
      </c>
      <c r="U1062" s="3" t="e">
        <f>C1062+#REF!+#REF!</f>
        <v>#REF!</v>
      </c>
    </row>
    <row r="1063" spans="1:28" ht="22.9" customHeight="1" x14ac:dyDescent="0.25">
      <c r="A1063" s="39" t="s">
        <v>2028</v>
      </c>
      <c r="B1063" s="9" t="s">
        <v>622</v>
      </c>
      <c r="C1063" s="7">
        <f t="shared" ref="C1063:C1065" si="1461">D1063+L1063+N1063+P1063+R1063+S1063+T1063</f>
        <v>5436340</v>
      </c>
      <c r="D1063" s="2">
        <f t="shared" ref="D1063:D1065" si="1462">SUM(E1063:J1063)</f>
        <v>298900</v>
      </c>
      <c r="E1063" s="2">
        <f>700*427</f>
        <v>298900</v>
      </c>
      <c r="F1063" s="2">
        <v>0</v>
      </c>
      <c r="G1063" s="2">
        <v>0</v>
      </c>
      <c r="H1063" s="2">
        <v>0</v>
      </c>
      <c r="I1063" s="2">
        <v>0</v>
      </c>
      <c r="J1063" s="2">
        <v>0</v>
      </c>
      <c r="K1063" s="21">
        <v>0</v>
      </c>
      <c r="L1063" s="2">
        <v>0</v>
      </c>
      <c r="M1063" s="2">
        <v>566.4</v>
      </c>
      <c r="N1063" s="2">
        <f t="shared" si="1447"/>
        <v>3738240</v>
      </c>
      <c r="O1063" s="2">
        <v>0</v>
      </c>
      <c r="P1063" s="2">
        <v>0</v>
      </c>
      <c r="Q1063" s="2">
        <v>406</v>
      </c>
      <c r="R1063" s="2">
        <f t="shared" ref="R1063:R1065" si="1463">Q1063*3200</f>
        <v>1299200</v>
      </c>
      <c r="S1063" s="8">
        <v>0</v>
      </c>
      <c r="T1063" s="2">
        <v>100000</v>
      </c>
      <c r="U1063" s="6">
        <f t="shared" ref="U1063:U1065" si="1464">N1063/M1063</f>
        <v>6600</v>
      </c>
      <c r="V1063" s="1"/>
      <c r="W1063" s="1"/>
      <c r="X1063" s="1"/>
      <c r="Y1063" s="1"/>
      <c r="Z1063" s="1"/>
      <c r="AA1063" s="1"/>
      <c r="AB1063" s="3"/>
    </row>
    <row r="1064" spans="1:28" ht="22.9" customHeight="1" x14ac:dyDescent="0.25">
      <c r="A1064" s="39" t="s">
        <v>2029</v>
      </c>
      <c r="B1064" s="9" t="s">
        <v>623</v>
      </c>
      <c r="C1064" s="7">
        <f t="shared" si="1461"/>
        <v>5398050</v>
      </c>
      <c r="D1064" s="2">
        <f t="shared" si="1462"/>
        <v>260610</v>
      </c>
      <c r="E1064" s="2">
        <f>700*372.3</f>
        <v>260610</v>
      </c>
      <c r="F1064" s="2">
        <v>0</v>
      </c>
      <c r="G1064" s="2">
        <v>0</v>
      </c>
      <c r="H1064" s="2">
        <v>0</v>
      </c>
      <c r="I1064" s="2">
        <v>0</v>
      </c>
      <c r="J1064" s="2">
        <v>0</v>
      </c>
      <c r="K1064" s="21">
        <v>0</v>
      </c>
      <c r="L1064" s="2">
        <v>0</v>
      </c>
      <c r="M1064" s="2">
        <v>566.4</v>
      </c>
      <c r="N1064" s="2">
        <f t="shared" si="1447"/>
        <v>3738240</v>
      </c>
      <c r="O1064" s="2">
        <v>0</v>
      </c>
      <c r="P1064" s="2">
        <v>0</v>
      </c>
      <c r="Q1064" s="2">
        <v>406</v>
      </c>
      <c r="R1064" s="2">
        <f t="shared" si="1463"/>
        <v>1299200</v>
      </c>
      <c r="S1064" s="8">
        <v>0</v>
      </c>
      <c r="T1064" s="2">
        <v>100000</v>
      </c>
      <c r="U1064" s="6">
        <f t="shared" si="1464"/>
        <v>6600</v>
      </c>
      <c r="V1064" s="1"/>
      <c r="W1064" s="1"/>
      <c r="X1064" s="1"/>
      <c r="Y1064" s="1"/>
      <c r="Z1064" s="1"/>
      <c r="AA1064" s="1"/>
      <c r="AB1064" s="3"/>
    </row>
    <row r="1065" spans="1:28" ht="22.9" customHeight="1" x14ac:dyDescent="0.25">
      <c r="A1065" s="39" t="s">
        <v>2030</v>
      </c>
      <c r="B1065" s="9" t="s">
        <v>624</v>
      </c>
      <c r="C1065" s="7">
        <f t="shared" si="1461"/>
        <v>5396790</v>
      </c>
      <c r="D1065" s="2">
        <f t="shared" si="1462"/>
        <v>259350</v>
      </c>
      <c r="E1065" s="2">
        <f>700*370.5</f>
        <v>259350</v>
      </c>
      <c r="F1065" s="2">
        <v>0</v>
      </c>
      <c r="G1065" s="2">
        <v>0</v>
      </c>
      <c r="H1065" s="2">
        <v>0</v>
      </c>
      <c r="I1065" s="2">
        <v>0</v>
      </c>
      <c r="J1065" s="2">
        <v>0</v>
      </c>
      <c r="K1065" s="21">
        <v>0</v>
      </c>
      <c r="L1065" s="2">
        <v>0</v>
      </c>
      <c r="M1065" s="2">
        <v>566.4</v>
      </c>
      <c r="N1065" s="2">
        <f t="shared" si="1447"/>
        <v>3738240</v>
      </c>
      <c r="O1065" s="2">
        <v>0</v>
      </c>
      <c r="P1065" s="2">
        <v>0</v>
      </c>
      <c r="Q1065" s="2">
        <v>406</v>
      </c>
      <c r="R1065" s="2">
        <f t="shared" si="1463"/>
        <v>1299200</v>
      </c>
      <c r="S1065" s="8">
        <v>0</v>
      </c>
      <c r="T1065" s="2">
        <v>100000</v>
      </c>
      <c r="U1065" s="6">
        <f t="shared" si="1464"/>
        <v>6600</v>
      </c>
      <c r="V1065" s="1"/>
      <c r="W1065" s="1"/>
      <c r="X1065" s="1"/>
      <c r="Y1065" s="1"/>
      <c r="Z1065" s="1"/>
      <c r="AA1065" s="1"/>
      <c r="AB1065" s="3"/>
    </row>
    <row r="1066" spans="1:28" ht="45" customHeight="1" x14ac:dyDescent="0.25">
      <c r="A1066" s="43" t="s">
        <v>625</v>
      </c>
      <c r="B1066" s="43"/>
      <c r="C1066" s="1">
        <f>SUM(C1067:C1068)</f>
        <v>8993540</v>
      </c>
      <c r="D1066" s="1">
        <f t="shared" ref="D1066:T1066" si="1465">SUM(D1067:D1068)</f>
        <v>518700</v>
      </c>
      <c r="E1066" s="1">
        <f t="shared" si="1465"/>
        <v>518700</v>
      </c>
      <c r="F1066" s="1">
        <f t="shared" si="1465"/>
        <v>0</v>
      </c>
      <c r="G1066" s="1">
        <f t="shared" si="1465"/>
        <v>0</v>
      </c>
      <c r="H1066" s="1">
        <f t="shared" si="1465"/>
        <v>0</v>
      </c>
      <c r="I1066" s="1">
        <f t="shared" si="1465"/>
        <v>0</v>
      </c>
      <c r="J1066" s="1">
        <f t="shared" si="1465"/>
        <v>0</v>
      </c>
      <c r="K1066" s="33">
        <f t="shared" si="1465"/>
        <v>0</v>
      </c>
      <c r="L1066" s="1">
        <f t="shared" si="1465"/>
        <v>0</v>
      </c>
      <c r="M1066" s="1">
        <f t="shared" si="1465"/>
        <v>817.4</v>
      </c>
      <c r="N1066" s="1">
        <f t="shared" si="1465"/>
        <v>5394840</v>
      </c>
      <c r="O1066" s="1">
        <f t="shared" si="1465"/>
        <v>0</v>
      </c>
      <c r="P1066" s="1">
        <f t="shared" si="1465"/>
        <v>0</v>
      </c>
      <c r="Q1066" s="1">
        <f t="shared" si="1465"/>
        <v>900</v>
      </c>
      <c r="R1066" s="1">
        <f t="shared" si="1465"/>
        <v>2880000</v>
      </c>
      <c r="S1066" s="1">
        <f t="shared" si="1465"/>
        <v>0</v>
      </c>
      <c r="T1066" s="1">
        <f t="shared" si="1465"/>
        <v>200000</v>
      </c>
      <c r="U1066" s="3" t="e">
        <f>C1066+#REF!+#REF!</f>
        <v>#REF!</v>
      </c>
    </row>
    <row r="1067" spans="1:28" ht="22.9" customHeight="1" x14ac:dyDescent="0.25">
      <c r="A1067" s="39" t="s">
        <v>2031</v>
      </c>
      <c r="B1067" s="9" t="s">
        <v>627</v>
      </c>
      <c r="C1067" s="7">
        <f t="shared" ref="C1067:C1068" si="1466">D1067+L1067+N1067+P1067+R1067+S1067+T1067</f>
        <v>4496770</v>
      </c>
      <c r="D1067" s="2">
        <f t="shared" ref="D1067:D1068" si="1467">SUM(E1067:J1067)</f>
        <v>259350</v>
      </c>
      <c r="E1067" s="2">
        <f t="shared" ref="E1067:E1068" si="1468">700*370.5</f>
        <v>259350</v>
      </c>
      <c r="F1067" s="2">
        <v>0</v>
      </c>
      <c r="G1067" s="2">
        <v>0</v>
      </c>
      <c r="H1067" s="2">
        <v>0</v>
      </c>
      <c r="I1067" s="2">
        <v>0</v>
      </c>
      <c r="J1067" s="2">
        <v>0</v>
      </c>
      <c r="K1067" s="21">
        <v>0</v>
      </c>
      <c r="L1067" s="2">
        <v>0</v>
      </c>
      <c r="M1067" s="2">
        <v>408.7</v>
      </c>
      <c r="N1067" s="2">
        <f t="shared" si="1447"/>
        <v>2697420</v>
      </c>
      <c r="O1067" s="2">
        <v>0</v>
      </c>
      <c r="P1067" s="2">
        <v>0</v>
      </c>
      <c r="Q1067" s="2">
        <v>450</v>
      </c>
      <c r="R1067" s="2">
        <f t="shared" ref="R1067:R1068" si="1469">Q1067*3200</f>
        <v>1440000</v>
      </c>
      <c r="S1067" s="8">
        <v>0</v>
      </c>
      <c r="T1067" s="2">
        <v>100000</v>
      </c>
      <c r="U1067" s="6">
        <f t="shared" ref="U1067:U1068" si="1470">N1067/M1067</f>
        <v>6600</v>
      </c>
      <c r="V1067" s="1"/>
      <c r="W1067" s="1"/>
      <c r="X1067" s="1"/>
      <c r="Y1067" s="1"/>
      <c r="Z1067" s="1"/>
      <c r="AA1067" s="1"/>
      <c r="AB1067" s="3"/>
    </row>
    <row r="1068" spans="1:28" ht="22.9" customHeight="1" x14ac:dyDescent="0.25">
      <c r="A1068" s="39" t="s">
        <v>2032</v>
      </c>
      <c r="B1068" s="9" t="s">
        <v>628</v>
      </c>
      <c r="C1068" s="7">
        <f t="shared" si="1466"/>
        <v>4496770</v>
      </c>
      <c r="D1068" s="2">
        <f t="shared" si="1467"/>
        <v>259350</v>
      </c>
      <c r="E1068" s="2">
        <f t="shared" si="1468"/>
        <v>259350</v>
      </c>
      <c r="F1068" s="2">
        <v>0</v>
      </c>
      <c r="G1068" s="2">
        <v>0</v>
      </c>
      <c r="H1068" s="2">
        <v>0</v>
      </c>
      <c r="I1068" s="2">
        <v>0</v>
      </c>
      <c r="J1068" s="2">
        <v>0</v>
      </c>
      <c r="K1068" s="21">
        <v>0</v>
      </c>
      <c r="L1068" s="2">
        <v>0</v>
      </c>
      <c r="M1068" s="2">
        <v>408.7</v>
      </c>
      <c r="N1068" s="2">
        <f t="shared" si="1447"/>
        <v>2697420</v>
      </c>
      <c r="O1068" s="2">
        <v>0</v>
      </c>
      <c r="P1068" s="2">
        <v>0</v>
      </c>
      <c r="Q1068" s="2">
        <v>450</v>
      </c>
      <c r="R1068" s="2">
        <f t="shared" si="1469"/>
        <v>1440000</v>
      </c>
      <c r="S1068" s="8">
        <v>0</v>
      </c>
      <c r="T1068" s="2">
        <v>100000</v>
      </c>
      <c r="U1068" s="6">
        <f t="shared" si="1470"/>
        <v>6600</v>
      </c>
      <c r="V1068" s="1"/>
      <c r="W1068" s="1"/>
      <c r="X1068" s="1"/>
      <c r="Y1068" s="1"/>
      <c r="Z1068" s="1"/>
      <c r="AA1068" s="1"/>
      <c r="AB1068" s="3"/>
    </row>
    <row r="1069" spans="1:28" ht="45" customHeight="1" x14ac:dyDescent="0.25">
      <c r="A1069" s="43" t="s">
        <v>2195</v>
      </c>
      <c r="B1069" s="43"/>
      <c r="C1069" s="1">
        <f>SUM(C1070:C1166)</f>
        <v>579553781.5</v>
      </c>
      <c r="D1069" s="1">
        <f t="shared" ref="D1069:T1069" si="1471">SUM(D1070:D1166)</f>
        <v>137267164.5</v>
      </c>
      <c r="E1069" s="1">
        <f t="shared" si="1471"/>
        <v>31503934</v>
      </c>
      <c r="F1069" s="1">
        <f t="shared" si="1471"/>
        <v>58507319</v>
      </c>
      <c r="G1069" s="1">
        <f t="shared" si="1471"/>
        <v>15751977.5</v>
      </c>
      <c r="H1069" s="1">
        <f t="shared" si="1471"/>
        <v>18002248</v>
      </c>
      <c r="I1069" s="1">
        <f t="shared" si="1471"/>
        <v>13501686</v>
      </c>
      <c r="J1069" s="1">
        <f t="shared" si="1471"/>
        <v>0</v>
      </c>
      <c r="K1069" s="33">
        <f t="shared" si="1471"/>
        <v>4</v>
      </c>
      <c r="L1069" s="1">
        <f t="shared" si="1471"/>
        <v>11120000</v>
      </c>
      <c r="M1069" s="1">
        <f t="shared" si="1471"/>
        <v>67461.11</v>
      </c>
      <c r="N1069" s="1">
        <f t="shared" si="1471"/>
        <v>376855481</v>
      </c>
      <c r="O1069" s="1">
        <f t="shared" si="1471"/>
        <v>0</v>
      </c>
      <c r="P1069" s="1">
        <f t="shared" si="1471"/>
        <v>0</v>
      </c>
      <c r="Q1069" s="1">
        <f t="shared" si="1471"/>
        <v>16628.48</v>
      </c>
      <c r="R1069" s="1">
        <f t="shared" si="1471"/>
        <v>53211136</v>
      </c>
      <c r="S1069" s="1">
        <f t="shared" si="1471"/>
        <v>0</v>
      </c>
      <c r="T1069" s="1">
        <f t="shared" si="1471"/>
        <v>1100000</v>
      </c>
      <c r="U1069" s="3" t="e">
        <f>C1069+#REF!+#REF!</f>
        <v>#REF!</v>
      </c>
    </row>
    <row r="1070" spans="1:28" ht="22.9" customHeight="1" x14ac:dyDescent="0.25">
      <c r="A1070" s="39" t="s">
        <v>2033</v>
      </c>
      <c r="B1070" s="20" t="s">
        <v>841</v>
      </c>
      <c r="C1070" s="7">
        <f t="shared" ref="C1070:C1071" si="1472">D1070+L1070+N1070+P1070+R1070+S1070+T1070</f>
        <v>4331580</v>
      </c>
      <c r="D1070" s="2">
        <f t="shared" ref="D1070:D1071" si="1473">SUM(E1070:J1070)</f>
        <v>0</v>
      </c>
      <c r="E1070" s="2">
        <v>0</v>
      </c>
      <c r="F1070" s="2">
        <v>0</v>
      </c>
      <c r="G1070" s="2">
        <v>0</v>
      </c>
      <c r="H1070" s="2">
        <v>0</v>
      </c>
      <c r="I1070" s="2">
        <v>0</v>
      </c>
      <c r="J1070" s="2">
        <v>0</v>
      </c>
      <c r="K1070" s="21">
        <v>0</v>
      </c>
      <c r="L1070" s="2">
        <v>0</v>
      </c>
      <c r="M1070" s="2">
        <v>656.3</v>
      </c>
      <c r="N1070" s="2">
        <f t="shared" ref="N1070:N1071" si="1474">M1070*6600</f>
        <v>4331580</v>
      </c>
      <c r="O1070" s="2">
        <v>0</v>
      </c>
      <c r="P1070" s="2">
        <v>0</v>
      </c>
      <c r="Q1070" s="2">
        <v>0</v>
      </c>
      <c r="R1070" s="2">
        <f t="shared" ref="R1070:R1071" si="1475">Q1070*3200</f>
        <v>0</v>
      </c>
      <c r="S1070" s="8">
        <v>0</v>
      </c>
      <c r="T1070" s="2">
        <v>0</v>
      </c>
      <c r="U1070" s="6">
        <f t="shared" ref="U1070:U1133" si="1476">N1070/M1070</f>
        <v>6600.0000000000009</v>
      </c>
    </row>
    <row r="1071" spans="1:28" ht="22.9" customHeight="1" x14ac:dyDescent="0.25">
      <c r="A1071" s="39" t="s">
        <v>2034</v>
      </c>
      <c r="B1071" s="9" t="s">
        <v>842</v>
      </c>
      <c r="C1071" s="7">
        <f t="shared" si="1472"/>
        <v>3257660</v>
      </c>
      <c r="D1071" s="2">
        <f t="shared" si="1473"/>
        <v>0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  <c r="J1071" s="2">
        <v>0</v>
      </c>
      <c r="K1071" s="21">
        <v>0</v>
      </c>
      <c r="L1071" s="2">
        <v>0</v>
      </c>
      <c r="M1071" s="2">
        <v>291.5</v>
      </c>
      <c r="N1071" s="2">
        <f t="shared" si="1474"/>
        <v>1923900</v>
      </c>
      <c r="O1071" s="2">
        <v>0</v>
      </c>
      <c r="P1071" s="2">
        <v>0</v>
      </c>
      <c r="Q1071" s="2">
        <v>416.8</v>
      </c>
      <c r="R1071" s="2">
        <f t="shared" si="1475"/>
        <v>1333760</v>
      </c>
      <c r="S1071" s="8">
        <v>0</v>
      </c>
      <c r="T1071" s="2">
        <v>0</v>
      </c>
      <c r="U1071" s="6">
        <f t="shared" si="1476"/>
        <v>6600</v>
      </c>
    </row>
    <row r="1072" spans="1:28" ht="22.9" customHeight="1" x14ac:dyDescent="0.25">
      <c r="A1072" s="39" t="s">
        <v>2035</v>
      </c>
      <c r="B1072" s="9" t="s">
        <v>843</v>
      </c>
      <c r="C1072" s="7">
        <f t="shared" ref="C1072" si="1477">D1072+L1072+N1072+P1072+R1072+S1072+T1072</f>
        <v>4540800</v>
      </c>
      <c r="D1072" s="2">
        <f t="shared" ref="D1072" si="1478">SUM(E1072:J1072)</f>
        <v>0</v>
      </c>
      <c r="E1072" s="2">
        <v>0</v>
      </c>
      <c r="F1072" s="2">
        <v>0</v>
      </c>
      <c r="G1072" s="2">
        <v>0</v>
      </c>
      <c r="H1072" s="2">
        <v>0</v>
      </c>
      <c r="I1072" s="2">
        <v>0</v>
      </c>
      <c r="J1072" s="2">
        <v>0</v>
      </c>
      <c r="K1072" s="21">
        <v>0</v>
      </c>
      <c r="L1072" s="2">
        <v>0</v>
      </c>
      <c r="M1072" s="2">
        <v>688</v>
      </c>
      <c r="N1072" s="2">
        <f t="shared" ref="N1072" si="1479">M1072*6600</f>
        <v>4540800</v>
      </c>
      <c r="O1072" s="2">
        <v>0</v>
      </c>
      <c r="P1072" s="2">
        <v>0</v>
      </c>
      <c r="Q1072" s="2">
        <v>0</v>
      </c>
      <c r="R1072" s="2">
        <f t="shared" ref="R1072" si="1480">Q1072*3200</f>
        <v>0</v>
      </c>
      <c r="S1072" s="8">
        <v>0</v>
      </c>
      <c r="T1072" s="2">
        <v>0</v>
      </c>
      <c r="U1072" s="6">
        <f t="shared" si="1476"/>
        <v>6600</v>
      </c>
    </row>
    <row r="1073" spans="1:21" ht="22.9" customHeight="1" x14ac:dyDescent="0.25">
      <c r="A1073" s="39" t="s">
        <v>2036</v>
      </c>
      <c r="B1073" s="9" t="s">
        <v>844</v>
      </c>
      <c r="C1073" s="7">
        <f t="shared" ref="C1073" si="1481">D1073+L1073+N1073+P1073+R1073+S1073+T1073</f>
        <v>4600200</v>
      </c>
      <c r="D1073" s="2">
        <f t="shared" ref="D1073" si="1482">SUM(E1073:J1073)</f>
        <v>0</v>
      </c>
      <c r="E1073" s="2">
        <v>0</v>
      </c>
      <c r="F1073" s="2">
        <v>0</v>
      </c>
      <c r="G1073" s="2">
        <v>0</v>
      </c>
      <c r="H1073" s="2">
        <v>0</v>
      </c>
      <c r="I1073" s="2">
        <v>0</v>
      </c>
      <c r="J1073" s="2">
        <v>0</v>
      </c>
      <c r="K1073" s="21">
        <v>0</v>
      </c>
      <c r="L1073" s="2">
        <v>0</v>
      </c>
      <c r="M1073" s="2">
        <v>697</v>
      </c>
      <c r="N1073" s="2">
        <f t="shared" ref="N1073" si="1483">M1073*6600</f>
        <v>4600200</v>
      </c>
      <c r="O1073" s="2">
        <v>0</v>
      </c>
      <c r="P1073" s="2">
        <v>0</v>
      </c>
      <c r="Q1073" s="2">
        <v>0</v>
      </c>
      <c r="R1073" s="2">
        <f t="shared" ref="R1073" si="1484">Q1073*3200</f>
        <v>0</v>
      </c>
      <c r="S1073" s="8">
        <v>0</v>
      </c>
      <c r="T1073" s="2">
        <v>0</v>
      </c>
      <c r="U1073" s="6">
        <f t="shared" si="1476"/>
        <v>6600</v>
      </c>
    </row>
    <row r="1074" spans="1:21" ht="22.9" customHeight="1" x14ac:dyDescent="0.25">
      <c r="A1074" s="39" t="s">
        <v>2037</v>
      </c>
      <c r="B1074" s="9" t="s">
        <v>845</v>
      </c>
      <c r="C1074" s="7">
        <f t="shared" ref="C1074" si="1485">D1074+L1074+N1074+P1074+R1074+S1074+T1074</f>
        <v>2400420</v>
      </c>
      <c r="D1074" s="2">
        <f t="shared" ref="D1074" si="1486">SUM(E1074:J1074)</f>
        <v>0</v>
      </c>
      <c r="E1074" s="2">
        <v>0</v>
      </c>
      <c r="F1074" s="2">
        <v>0</v>
      </c>
      <c r="G1074" s="2">
        <v>0</v>
      </c>
      <c r="H1074" s="2">
        <v>0</v>
      </c>
      <c r="I1074" s="2">
        <v>0</v>
      </c>
      <c r="J1074" s="2">
        <v>0</v>
      </c>
      <c r="K1074" s="21">
        <v>0</v>
      </c>
      <c r="L1074" s="2">
        <v>0</v>
      </c>
      <c r="M1074" s="2">
        <v>363.7</v>
      </c>
      <c r="N1074" s="2">
        <f t="shared" ref="N1074" si="1487">M1074*6600</f>
        <v>2400420</v>
      </c>
      <c r="O1074" s="2">
        <v>0</v>
      </c>
      <c r="P1074" s="2">
        <v>0</v>
      </c>
      <c r="Q1074" s="2">
        <v>0</v>
      </c>
      <c r="R1074" s="2">
        <f t="shared" ref="R1074" si="1488">Q1074*3200</f>
        <v>0</v>
      </c>
      <c r="S1074" s="8">
        <v>0</v>
      </c>
      <c r="T1074" s="2">
        <v>0</v>
      </c>
      <c r="U1074" s="6">
        <f t="shared" si="1476"/>
        <v>6600</v>
      </c>
    </row>
    <row r="1075" spans="1:21" ht="22.9" customHeight="1" x14ac:dyDescent="0.25">
      <c r="A1075" s="39" t="s">
        <v>2038</v>
      </c>
      <c r="B1075" s="9" t="s">
        <v>846</v>
      </c>
      <c r="C1075" s="7">
        <f t="shared" ref="C1075" si="1489">D1075+L1075+N1075+P1075+R1075+S1075+T1075</f>
        <v>1617000</v>
      </c>
      <c r="D1075" s="2">
        <f t="shared" ref="D1075" si="1490">SUM(E1075:J1075)</f>
        <v>0</v>
      </c>
      <c r="E1075" s="2">
        <v>0</v>
      </c>
      <c r="F1075" s="2">
        <v>0</v>
      </c>
      <c r="G1075" s="2">
        <v>0</v>
      </c>
      <c r="H1075" s="2">
        <v>0</v>
      </c>
      <c r="I1075" s="2">
        <v>0</v>
      </c>
      <c r="J1075" s="2">
        <v>0</v>
      </c>
      <c r="K1075" s="21">
        <v>0</v>
      </c>
      <c r="L1075" s="2">
        <v>0</v>
      </c>
      <c r="M1075" s="2">
        <v>245</v>
      </c>
      <c r="N1075" s="2">
        <f t="shared" ref="N1075" si="1491">M1075*6600</f>
        <v>1617000</v>
      </c>
      <c r="O1075" s="2">
        <v>0</v>
      </c>
      <c r="P1075" s="2">
        <v>0</v>
      </c>
      <c r="Q1075" s="2">
        <v>0</v>
      </c>
      <c r="R1075" s="2">
        <f t="shared" ref="R1075" si="1492">Q1075*3200</f>
        <v>0</v>
      </c>
      <c r="S1075" s="8">
        <v>0</v>
      </c>
      <c r="T1075" s="2">
        <v>0</v>
      </c>
      <c r="U1075" s="6">
        <f t="shared" si="1476"/>
        <v>6600</v>
      </c>
    </row>
    <row r="1076" spans="1:21" ht="22.9" customHeight="1" x14ac:dyDescent="0.25">
      <c r="A1076" s="39" t="s">
        <v>2039</v>
      </c>
      <c r="B1076" s="9" t="s">
        <v>847</v>
      </c>
      <c r="C1076" s="7">
        <f t="shared" ref="C1076" si="1493">D1076+L1076+N1076+P1076+R1076+S1076+T1076</f>
        <v>3748800</v>
      </c>
      <c r="D1076" s="2">
        <f t="shared" ref="D1076" si="1494">SUM(E1076:J1076)</f>
        <v>0</v>
      </c>
      <c r="E1076" s="2">
        <v>0</v>
      </c>
      <c r="F1076" s="2">
        <v>0</v>
      </c>
      <c r="G1076" s="2">
        <v>0</v>
      </c>
      <c r="H1076" s="2">
        <v>0</v>
      </c>
      <c r="I1076" s="2">
        <v>0</v>
      </c>
      <c r="J1076" s="2">
        <v>0</v>
      </c>
      <c r="K1076" s="21">
        <v>0</v>
      </c>
      <c r="L1076" s="2">
        <v>0</v>
      </c>
      <c r="M1076" s="2">
        <v>568</v>
      </c>
      <c r="N1076" s="2">
        <f t="shared" ref="N1076" si="1495">M1076*6600</f>
        <v>3748800</v>
      </c>
      <c r="O1076" s="2">
        <v>0</v>
      </c>
      <c r="P1076" s="2">
        <v>0</v>
      </c>
      <c r="Q1076" s="2">
        <v>0</v>
      </c>
      <c r="R1076" s="2">
        <f t="shared" ref="R1076" si="1496">Q1076*3200</f>
        <v>0</v>
      </c>
      <c r="S1076" s="8">
        <v>0</v>
      </c>
      <c r="T1076" s="2">
        <v>0</v>
      </c>
      <c r="U1076" s="6">
        <f t="shared" si="1476"/>
        <v>6600</v>
      </c>
    </row>
    <row r="1077" spans="1:21" ht="22.9" customHeight="1" x14ac:dyDescent="0.25">
      <c r="A1077" s="39" t="s">
        <v>2040</v>
      </c>
      <c r="B1077" s="9" t="s">
        <v>848</v>
      </c>
      <c r="C1077" s="7">
        <f t="shared" ref="C1077" si="1497">D1077+L1077+N1077+P1077+R1077+S1077+T1077</f>
        <v>3780479.9999999995</v>
      </c>
      <c r="D1077" s="2">
        <f t="shared" ref="D1077" si="1498">SUM(E1077:J1077)</f>
        <v>0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  <c r="J1077" s="2">
        <v>0</v>
      </c>
      <c r="K1077" s="21">
        <v>0</v>
      </c>
      <c r="L1077" s="2">
        <v>0</v>
      </c>
      <c r="M1077" s="2">
        <v>572.79999999999995</v>
      </c>
      <c r="N1077" s="2">
        <f t="shared" ref="N1077" si="1499">M1077*6600</f>
        <v>3780479.9999999995</v>
      </c>
      <c r="O1077" s="2">
        <v>0</v>
      </c>
      <c r="P1077" s="2">
        <v>0</v>
      </c>
      <c r="Q1077" s="2">
        <v>0</v>
      </c>
      <c r="R1077" s="2">
        <f t="shared" ref="R1077" si="1500">Q1077*3200</f>
        <v>0</v>
      </c>
      <c r="S1077" s="8">
        <v>0</v>
      </c>
      <c r="T1077" s="2">
        <v>0</v>
      </c>
      <c r="U1077" s="6">
        <f t="shared" si="1476"/>
        <v>6600</v>
      </c>
    </row>
    <row r="1078" spans="1:21" ht="22.9" customHeight="1" x14ac:dyDescent="0.25">
      <c r="A1078" s="39" t="s">
        <v>2041</v>
      </c>
      <c r="B1078" s="9" t="s">
        <v>849</v>
      </c>
      <c r="C1078" s="7">
        <f t="shared" ref="C1078" si="1501">D1078+L1078+N1078+P1078+R1078+S1078+T1078</f>
        <v>3682800</v>
      </c>
      <c r="D1078" s="2">
        <f t="shared" ref="D1078" si="1502">SUM(E1078:J1078)</f>
        <v>0</v>
      </c>
      <c r="E1078" s="2">
        <v>0</v>
      </c>
      <c r="F1078" s="2">
        <v>0</v>
      </c>
      <c r="G1078" s="2">
        <v>0</v>
      </c>
      <c r="H1078" s="2">
        <v>0</v>
      </c>
      <c r="I1078" s="2">
        <v>0</v>
      </c>
      <c r="J1078" s="2">
        <v>0</v>
      </c>
      <c r="K1078" s="21">
        <v>0</v>
      </c>
      <c r="L1078" s="2">
        <v>0</v>
      </c>
      <c r="M1078" s="2">
        <v>558</v>
      </c>
      <c r="N1078" s="2">
        <f t="shared" ref="N1078" si="1503">M1078*6600</f>
        <v>3682800</v>
      </c>
      <c r="O1078" s="2">
        <v>0</v>
      </c>
      <c r="P1078" s="2">
        <v>0</v>
      </c>
      <c r="Q1078" s="2">
        <v>0</v>
      </c>
      <c r="R1078" s="2">
        <f t="shared" ref="R1078" si="1504">Q1078*3200</f>
        <v>0</v>
      </c>
      <c r="S1078" s="8">
        <v>0</v>
      </c>
      <c r="T1078" s="2">
        <v>0</v>
      </c>
      <c r="U1078" s="6">
        <f t="shared" si="1476"/>
        <v>6600</v>
      </c>
    </row>
    <row r="1079" spans="1:21" ht="22.9" customHeight="1" x14ac:dyDescent="0.25">
      <c r="A1079" s="39" t="s">
        <v>2042</v>
      </c>
      <c r="B1079" s="20" t="s">
        <v>850</v>
      </c>
      <c r="C1079" s="7">
        <f t="shared" ref="C1079" si="1505">D1079+L1079+N1079+P1079+R1079+S1079+T1079</f>
        <v>6324785</v>
      </c>
      <c r="D1079" s="2">
        <f t="shared" ref="D1079" si="1506">SUM(E1079:J1079)</f>
        <v>0</v>
      </c>
      <c r="E1079" s="2">
        <v>0</v>
      </c>
      <c r="F1079" s="2">
        <v>0</v>
      </c>
      <c r="G1079" s="2">
        <v>0</v>
      </c>
      <c r="H1079" s="2">
        <v>0</v>
      </c>
      <c r="I1079" s="2">
        <v>0</v>
      </c>
      <c r="J1079" s="2">
        <v>0</v>
      </c>
      <c r="K1079" s="21">
        <v>0</v>
      </c>
      <c r="L1079" s="2">
        <v>0</v>
      </c>
      <c r="M1079" s="2">
        <v>1421.3</v>
      </c>
      <c r="N1079" s="2">
        <f>M1079*4450</f>
        <v>6324785</v>
      </c>
      <c r="O1079" s="2">
        <v>0</v>
      </c>
      <c r="P1079" s="2">
        <v>0</v>
      </c>
      <c r="Q1079" s="2">
        <v>0</v>
      </c>
      <c r="R1079" s="2">
        <f t="shared" ref="R1079" si="1507">Q1079*3200</f>
        <v>0</v>
      </c>
      <c r="S1079" s="8">
        <v>0</v>
      </c>
      <c r="T1079" s="2">
        <v>0</v>
      </c>
      <c r="U1079" s="6">
        <f t="shared" si="1476"/>
        <v>4450</v>
      </c>
    </row>
    <row r="1080" spans="1:21" ht="22.9" customHeight="1" x14ac:dyDescent="0.25">
      <c r="A1080" s="39" t="s">
        <v>2043</v>
      </c>
      <c r="B1080" s="9" t="s">
        <v>851</v>
      </c>
      <c r="C1080" s="7">
        <f>D1080+L1080+N1080+P1080+R1080+S1080+T1080</f>
        <v>4010160</v>
      </c>
      <c r="D1080" s="2">
        <f t="shared" ref="D1080" si="1508">SUM(E1080:J1080)</f>
        <v>0</v>
      </c>
      <c r="E1080" s="2">
        <v>0</v>
      </c>
      <c r="F1080" s="2">
        <v>0</v>
      </c>
      <c r="G1080" s="2">
        <v>0</v>
      </c>
      <c r="H1080" s="2">
        <v>0</v>
      </c>
      <c r="I1080" s="2">
        <v>0</v>
      </c>
      <c r="J1080" s="2">
        <v>0</v>
      </c>
      <c r="K1080" s="21">
        <v>0</v>
      </c>
      <c r="L1080" s="2">
        <v>0</v>
      </c>
      <c r="M1080" s="2">
        <v>607.6</v>
      </c>
      <c r="N1080" s="2">
        <f>M1080*6600</f>
        <v>4010160</v>
      </c>
      <c r="O1080" s="2">
        <v>0</v>
      </c>
      <c r="P1080" s="2">
        <v>0</v>
      </c>
      <c r="Q1080" s="2">
        <v>0</v>
      </c>
      <c r="R1080" s="2">
        <f t="shared" ref="R1080" si="1509">Q1080*3200</f>
        <v>0</v>
      </c>
      <c r="S1080" s="8">
        <v>0</v>
      </c>
      <c r="T1080" s="2">
        <v>0</v>
      </c>
      <c r="U1080" s="6">
        <f t="shared" si="1476"/>
        <v>6600</v>
      </c>
    </row>
    <row r="1081" spans="1:21" ht="22.9" customHeight="1" x14ac:dyDescent="0.25">
      <c r="A1081" s="39" t="s">
        <v>2044</v>
      </c>
      <c r="B1081" s="9" t="s">
        <v>852</v>
      </c>
      <c r="C1081" s="7">
        <f>D1081+L1081+N1081+P1081+R1081+S1081+T1081</f>
        <v>3999600</v>
      </c>
      <c r="D1081" s="2">
        <f t="shared" ref="D1081:D1082" si="1510">SUM(E1081:J1081)</f>
        <v>0</v>
      </c>
      <c r="E1081" s="2">
        <v>0</v>
      </c>
      <c r="F1081" s="2">
        <v>0</v>
      </c>
      <c r="G1081" s="2">
        <v>0</v>
      </c>
      <c r="H1081" s="2">
        <v>0</v>
      </c>
      <c r="I1081" s="2">
        <v>0</v>
      </c>
      <c r="J1081" s="2">
        <v>0</v>
      </c>
      <c r="K1081" s="21">
        <v>0</v>
      </c>
      <c r="L1081" s="2">
        <v>0</v>
      </c>
      <c r="M1081" s="2">
        <v>606</v>
      </c>
      <c r="N1081" s="2">
        <f>M1081*6600</f>
        <v>3999600</v>
      </c>
      <c r="O1081" s="2">
        <v>0</v>
      </c>
      <c r="P1081" s="2">
        <v>0</v>
      </c>
      <c r="Q1081" s="2">
        <v>0</v>
      </c>
      <c r="R1081" s="2">
        <f t="shared" ref="R1081:R1082" si="1511">Q1081*3200</f>
        <v>0</v>
      </c>
      <c r="S1081" s="8">
        <v>0</v>
      </c>
      <c r="T1081" s="2">
        <v>0</v>
      </c>
      <c r="U1081" s="6">
        <f t="shared" si="1476"/>
        <v>6600</v>
      </c>
    </row>
    <row r="1082" spans="1:21" ht="47.25" x14ac:dyDescent="0.25">
      <c r="A1082" s="39" t="s">
        <v>2045</v>
      </c>
      <c r="B1082" s="9" t="s">
        <v>853</v>
      </c>
      <c r="C1082" s="7">
        <f t="shared" ref="C1082:C1084" si="1512">D1082+L1082+N1082+P1082+R1082+S1082+T1082</f>
        <v>24025180</v>
      </c>
      <c r="D1082" s="2">
        <f t="shared" si="1510"/>
        <v>8183759.9999999991</v>
      </c>
      <c r="E1082" s="2">
        <f>700*2683.2</f>
        <v>1878239.9999999998</v>
      </c>
      <c r="F1082" s="2">
        <f>1300*2683.2</f>
        <v>3488159.9999999995</v>
      </c>
      <c r="G1082" s="2">
        <f>350*2683.2</f>
        <v>939119.99999999988</v>
      </c>
      <c r="H1082" s="2">
        <f>400*2683.2</f>
        <v>1073280</v>
      </c>
      <c r="I1082" s="2">
        <f>300*2683.2</f>
        <v>804960</v>
      </c>
      <c r="J1082" s="2">
        <v>0</v>
      </c>
      <c r="K1082" s="21">
        <v>0</v>
      </c>
      <c r="L1082" s="2">
        <v>0</v>
      </c>
      <c r="M1082" s="2">
        <v>652.70000000000005</v>
      </c>
      <c r="N1082" s="2">
        <f t="shared" ref="N1082:N1084" si="1513">M1082*6600</f>
        <v>4307820</v>
      </c>
      <c r="O1082" s="2">
        <v>0</v>
      </c>
      <c r="P1082" s="2">
        <v>0</v>
      </c>
      <c r="Q1082" s="2">
        <v>3573</v>
      </c>
      <c r="R1082" s="2">
        <f t="shared" si="1511"/>
        <v>11433600</v>
      </c>
      <c r="S1082" s="8">
        <v>0</v>
      </c>
      <c r="T1082" s="2">
        <v>100000</v>
      </c>
      <c r="U1082" s="6">
        <f t="shared" si="1476"/>
        <v>6599.9999999999991</v>
      </c>
    </row>
    <row r="1083" spans="1:21" ht="22.9" customHeight="1" x14ac:dyDescent="0.25">
      <c r="A1083" s="39" t="s">
        <v>2046</v>
      </c>
      <c r="B1083" s="9" t="s">
        <v>854</v>
      </c>
      <c r="C1083" s="7">
        <f t="shared" si="1512"/>
        <v>2625480</v>
      </c>
      <c r="D1083" s="2">
        <f t="shared" ref="D1083:D1084" si="1514">SUM(E1083:J1083)</f>
        <v>0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  <c r="J1083" s="2">
        <v>0</v>
      </c>
      <c r="K1083" s="21">
        <v>0</v>
      </c>
      <c r="L1083" s="2">
        <v>0</v>
      </c>
      <c r="M1083" s="2">
        <v>397.8</v>
      </c>
      <c r="N1083" s="2">
        <f t="shared" si="1513"/>
        <v>2625480</v>
      </c>
      <c r="O1083" s="2">
        <v>0</v>
      </c>
      <c r="P1083" s="2">
        <v>0</v>
      </c>
      <c r="Q1083" s="2">
        <v>0</v>
      </c>
      <c r="R1083" s="2">
        <f t="shared" ref="R1083:R1084" si="1515">Q1083*3200</f>
        <v>0</v>
      </c>
      <c r="S1083" s="8">
        <v>0</v>
      </c>
      <c r="T1083" s="2">
        <v>0</v>
      </c>
      <c r="U1083" s="6">
        <f t="shared" si="1476"/>
        <v>6600</v>
      </c>
    </row>
    <row r="1084" spans="1:21" ht="22.9" customHeight="1" x14ac:dyDescent="0.25">
      <c r="A1084" s="39" t="s">
        <v>2047</v>
      </c>
      <c r="B1084" s="9" t="s">
        <v>855</v>
      </c>
      <c r="C1084" s="7">
        <f t="shared" si="1512"/>
        <v>3260400</v>
      </c>
      <c r="D1084" s="2">
        <f t="shared" si="1514"/>
        <v>0</v>
      </c>
      <c r="E1084" s="2">
        <v>0</v>
      </c>
      <c r="F1084" s="2">
        <v>0</v>
      </c>
      <c r="G1084" s="2">
        <v>0</v>
      </c>
      <c r="H1084" s="2">
        <v>0</v>
      </c>
      <c r="I1084" s="2">
        <v>0</v>
      </c>
      <c r="J1084" s="2">
        <v>0</v>
      </c>
      <c r="K1084" s="21">
        <v>0</v>
      </c>
      <c r="L1084" s="2">
        <v>0</v>
      </c>
      <c r="M1084" s="2">
        <v>494</v>
      </c>
      <c r="N1084" s="2">
        <f t="shared" si="1513"/>
        <v>3260400</v>
      </c>
      <c r="O1084" s="2">
        <v>0</v>
      </c>
      <c r="P1084" s="2">
        <v>0</v>
      </c>
      <c r="Q1084" s="2">
        <v>0</v>
      </c>
      <c r="R1084" s="2">
        <f t="shared" si="1515"/>
        <v>0</v>
      </c>
      <c r="S1084" s="8">
        <v>0</v>
      </c>
      <c r="T1084" s="2">
        <v>0</v>
      </c>
      <c r="U1084" s="6">
        <f t="shared" si="1476"/>
        <v>6600</v>
      </c>
    </row>
    <row r="1085" spans="1:21" ht="22.9" customHeight="1" x14ac:dyDescent="0.25">
      <c r="A1085" s="39" t="s">
        <v>2048</v>
      </c>
      <c r="B1085" s="9" t="s">
        <v>856</v>
      </c>
      <c r="C1085" s="7">
        <f t="shared" ref="C1085" si="1516">D1085+L1085+N1085+P1085+R1085+S1085+T1085</f>
        <v>7590659.9999999991</v>
      </c>
      <c r="D1085" s="2">
        <f t="shared" ref="D1085" si="1517">SUM(E1085:J1085)</f>
        <v>0</v>
      </c>
      <c r="E1085" s="2">
        <v>0</v>
      </c>
      <c r="F1085" s="2">
        <v>0</v>
      </c>
      <c r="G1085" s="2">
        <v>0</v>
      </c>
      <c r="H1085" s="2">
        <v>0</v>
      </c>
      <c r="I1085" s="2">
        <v>0</v>
      </c>
      <c r="J1085" s="2">
        <v>0</v>
      </c>
      <c r="K1085" s="21">
        <v>0</v>
      </c>
      <c r="L1085" s="2">
        <v>0</v>
      </c>
      <c r="M1085" s="2">
        <v>1150.0999999999999</v>
      </c>
      <c r="N1085" s="2">
        <f t="shared" ref="N1085" si="1518">M1085*6600</f>
        <v>7590659.9999999991</v>
      </c>
      <c r="O1085" s="2">
        <v>0</v>
      </c>
      <c r="P1085" s="2">
        <v>0</v>
      </c>
      <c r="Q1085" s="2">
        <v>0</v>
      </c>
      <c r="R1085" s="2">
        <f t="shared" ref="R1085" si="1519">Q1085*3200</f>
        <v>0</v>
      </c>
      <c r="S1085" s="8">
        <v>0</v>
      </c>
      <c r="T1085" s="2">
        <v>0</v>
      </c>
      <c r="U1085" s="6">
        <f t="shared" si="1476"/>
        <v>6600</v>
      </c>
    </row>
    <row r="1086" spans="1:21" ht="22.9" customHeight="1" x14ac:dyDescent="0.25">
      <c r="A1086" s="39" t="s">
        <v>2049</v>
      </c>
      <c r="B1086" s="20" t="s">
        <v>857</v>
      </c>
      <c r="C1086" s="7">
        <f t="shared" ref="C1086" si="1520">D1086+L1086+N1086+P1086+R1086+S1086+T1086</f>
        <v>5113020</v>
      </c>
      <c r="D1086" s="2">
        <f t="shared" ref="D1086" si="1521">SUM(E1086:J1086)</f>
        <v>0</v>
      </c>
      <c r="E1086" s="2">
        <v>0</v>
      </c>
      <c r="F1086" s="2">
        <v>0</v>
      </c>
      <c r="G1086" s="2">
        <v>0</v>
      </c>
      <c r="H1086" s="2">
        <v>0</v>
      </c>
      <c r="I1086" s="2">
        <v>0</v>
      </c>
      <c r="J1086" s="2">
        <v>0</v>
      </c>
      <c r="K1086" s="21">
        <v>0</v>
      </c>
      <c r="L1086" s="2">
        <v>0</v>
      </c>
      <c r="M1086" s="2">
        <v>774.7</v>
      </c>
      <c r="N1086" s="2">
        <f t="shared" ref="N1086" si="1522">M1086*6600</f>
        <v>5113020</v>
      </c>
      <c r="O1086" s="2">
        <v>0</v>
      </c>
      <c r="P1086" s="2">
        <v>0</v>
      </c>
      <c r="Q1086" s="2">
        <v>0</v>
      </c>
      <c r="R1086" s="2">
        <f t="shared" ref="R1086" si="1523">Q1086*3200</f>
        <v>0</v>
      </c>
      <c r="S1086" s="8">
        <v>0</v>
      </c>
      <c r="T1086" s="2">
        <v>0</v>
      </c>
      <c r="U1086" s="6">
        <f t="shared" si="1476"/>
        <v>6600</v>
      </c>
    </row>
    <row r="1087" spans="1:21" ht="22.9" customHeight="1" x14ac:dyDescent="0.25">
      <c r="A1087" s="39" t="s">
        <v>2050</v>
      </c>
      <c r="B1087" s="9" t="s">
        <v>858</v>
      </c>
      <c r="C1087" s="7">
        <f t="shared" ref="C1087" si="1524">D1087+L1087+N1087+P1087+R1087+S1087+T1087</f>
        <v>8330400</v>
      </c>
      <c r="D1087" s="2">
        <f t="shared" ref="D1087" si="1525">SUM(E1087:J1087)</f>
        <v>0</v>
      </c>
      <c r="E1087" s="2">
        <v>0</v>
      </c>
      <c r="F1087" s="2">
        <v>0</v>
      </c>
      <c r="G1087" s="2">
        <v>0</v>
      </c>
      <c r="H1087" s="2">
        <v>0</v>
      </c>
      <c r="I1087" s="2">
        <v>0</v>
      </c>
      <c r="J1087" s="2">
        <v>0</v>
      </c>
      <c r="K1087" s="21">
        <v>0</v>
      </c>
      <c r="L1087" s="2">
        <v>0</v>
      </c>
      <c r="M1087" s="2">
        <v>1872</v>
      </c>
      <c r="N1087" s="2">
        <f>M1087*4450</f>
        <v>8330400</v>
      </c>
      <c r="O1087" s="2">
        <v>0</v>
      </c>
      <c r="P1087" s="2">
        <v>0</v>
      </c>
      <c r="Q1087" s="2">
        <v>0</v>
      </c>
      <c r="R1087" s="2">
        <f t="shared" ref="R1087" si="1526">Q1087*3200</f>
        <v>0</v>
      </c>
      <c r="S1087" s="8">
        <v>0</v>
      </c>
      <c r="T1087" s="2">
        <v>0</v>
      </c>
      <c r="U1087" s="6">
        <f t="shared" si="1476"/>
        <v>4450</v>
      </c>
    </row>
    <row r="1088" spans="1:21" ht="22.9" customHeight="1" x14ac:dyDescent="0.25">
      <c r="A1088" s="39" t="s">
        <v>2051</v>
      </c>
      <c r="B1088" s="9" t="s">
        <v>859</v>
      </c>
      <c r="C1088" s="7">
        <f t="shared" ref="C1088" si="1527">D1088+L1088+N1088+P1088+R1088+S1088+T1088</f>
        <v>6127650</v>
      </c>
      <c r="D1088" s="2">
        <f t="shared" ref="D1088" si="1528">SUM(E1088:J1088)</f>
        <v>0</v>
      </c>
      <c r="E1088" s="2">
        <v>0</v>
      </c>
      <c r="F1088" s="2">
        <v>0</v>
      </c>
      <c r="G1088" s="2">
        <v>0</v>
      </c>
      <c r="H1088" s="2">
        <v>0</v>
      </c>
      <c r="I1088" s="2">
        <v>0</v>
      </c>
      <c r="J1088" s="2">
        <v>0</v>
      </c>
      <c r="K1088" s="21">
        <v>0</v>
      </c>
      <c r="L1088" s="2">
        <v>0</v>
      </c>
      <c r="M1088" s="2">
        <v>1377</v>
      </c>
      <c r="N1088" s="2">
        <f>M1088*4450</f>
        <v>6127650</v>
      </c>
      <c r="O1088" s="2">
        <v>0</v>
      </c>
      <c r="P1088" s="2">
        <v>0</v>
      </c>
      <c r="Q1088" s="2">
        <v>0</v>
      </c>
      <c r="R1088" s="2">
        <f t="shared" ref="R1088" si="1529">Q1088*3200</f>
        <v>0</v>
      </c>
      <c r="S1088" s="8">
        <v>0</v>
      </c>
      <c r="T1088" s="2">
        <v>0</v>
      </c>
      <c r="U1088" s="6">
        <f t="shared" si="1476"/>
        <v>4450</v>
      </c>
    </row>
    <row r="1089" spans="1:21" ht="22.9" customHeight="1" x14ac:dyDescent="0.25">
      <c r="A1089" s="39" t="s">
        <v>2052</v>
      </c>
      <c r="B1089" s="9" t="s">
        <v>860</v>
      </c>
      <c r="C1089" s="7">
        <f t="shared" ref="C1089" si="1530">D1089+L1089+N1089+P1089+R1089+S1089+T1089</f>
        <v>4085100</v>
      </c>
      <c r="D1089" s="2">
        <f t="shared" ref="D1089" si="1531">SUM(E1089:J1089)</f>
        <v>0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  <c r="J1089" s="2">
        <v>0</v>
      </c>
      <c r="K1089" s="21">
        <v>0</v>
      </c>
      <c r="L1089" s="2">
        <v>0</v>
      </c>
      <c r="M1089" s="2">
        <v>918</v>
      </c>
      <c r="N1089" s="2">
        <f>M1089*4450</f>
        <v>4085100</v>
      </c>
      <c r="O1089" s="2">
        <v>0</v>
      </c>
      <c r="P1089" s="2">
        <v>0</v>
      </c>
      <c r="Q1089" s="2">
        <v>0</v>
      </c>
      <c r="R1089" s="2">
        <f t="shared" ref="R1089" si="1532">Q1089*3200</f>
        <v>0</v>
      </c>
      <c r="S1089" s="8">
        <v>0</v>
      </c>
      <c r="T1089" s="2">
        <v>0</v>
      </c>
      <c r="U1089" s="6">
        <f t="shared" si="1476"/>
        <v>4450</v>
      </c>
    </row>
    <row r="1090" spans="1:21" ht="22.9" customHeight="1" x14ac:dyDescent="0.25">
      <c r="A1090" s="39" t="s">
        <v>2053</v>
      </c>
      <c r="B1090" s="9" t="s">
        <v>861</v>
      </c>
      <c r="C1090" s="7">
        <f t="shared" ref="C1090:C1091" si="1533">D1090+L1090+N1090+P1090+R1090+S1090+T1090</f>
        <v>4085100</v>
      </c>
      <c r="D1090" s="2">
        <f t="shared" ref="D1090:D1091" si="1534">SUM(E1090:J1090)</f>
        <v>0</v>
      </c>
      <c r="E1090" s="2">
        <v>0</v>
      </c>
      <c r="F1090" s="2">
        <v>0</v>
      </c>
      <c r="G1090" s="2">
        <v>0</v>
      </c>
      <c r="H1090" s="2">
        <v>0</v>
      </c>
      <c r="I1090" s="2">
        <v>0</v>
      </c>
      <c r="J1090" s="2">
        <v>0</v>
      </c>
      <c r="K1090" s="21">
        <v>0</v>
      </c>
      <c r="L1090" s="2">
        <v>0</v>
      </c>
      <c r="M1090" s="2">
        <v>918</v>
      </c>
      <c r="N1090" s="2">
        <f>M1090*4450</f>
        <v>4085100</v>
      </c>
      <c r="O1090" s="2">
        <v>0</v>
      </c>
      <c r="P1090" s="2">
        <v>0</v>
      </c>
      <c r="Q1090" s="2">
        <v>0</v>
      </c>
      <c r="R1090" s="2">
        <f t="shared" ref="R1090:R1091" si="1535">Q1090*3200</f>
        <v>0</v>
      </c>
      <c r="S1090" s="8">
        <v>0</v>
      </c>
      <c r="T1090" s="2">
        <v>0</v>
      </c>
      <c r="U1090" s="6">
        <f t="shared" si="1476"/>
        <v>4450</v>
      </c>
    </row>
    <row r="1091" spans="1:21" ht="22.9" customHeight="1" x14ac:dyDescent="0.25">
      <c r="A1091" s="39" t="s">
        <v>2054</v>
      </c>
      <c r="B1091" s="9" t="s">
        <v>862</v>
      </c>
      <c r="C1091" s="7">
        <f t="shared" si="1533"/>
        <v>4085100</v>
      </c>
      <c r="D1091" s="2">
        <f t="shared" si="1534"/>
        <v>0</v>
      </c>
      <c r="E1091" s="2">
        <v>0</v>
      </c>
      <c r="F1091" s="2">
        <v>0</v>
      </c>
      <c r="G1091" s="2">
        <v>0</v>
      </c>
      <c r="H1091" s="2">
        <v>0</v>
      </c>
      <c r="I1091" s="2">
        <v>0</v>
      </c>
      <c r="J1091" s="2">
        <v>0</v>
      </c>
      <c r="K1091" s="21">
        <v>0</v>
      </c>
      <c r="L1091" s="2">
        <v>0</v>
      </c>
      <c r="M1091" s="2">
        <v>918</v>
      </c>
      <c r="N1091" s="2">
        <f>M1091*4450</f>
        <v>4085100</v>
      </c>
      <c r="O1091" s="2">
        <v>0</v>
      </c>
      <c r="P1091" s="2">
        <v>0</v>
      </c>
      <c r="Q1091" s="2">
        <v>0</v>
      </c>
      <c r="R1091" s="2">
        <f t="shared" si="1535"/>
        <v>0</v>
      </c>
      <c r="S1091" s="8">
        <v>0</v>
      </c>
      <c r="T1091" s="2">
        <v>0</v>
      </c>
      <c r="U1091" s="6">
        <f t="shared" si="1476"/>
        <v>4450</v>
      </c>
    </row>
    <row r="1092" spans="1:21" ht="22.9" customHeight="1" x14ac:dyDescent="0.25">
      <c r="A1092" s="39" t="s">
        <v>2055</v>
      </c>
      <c r="B1092" s="20" t="s">
        <v>863</v>
      </c>
      <c r="C1092" s="7">
        <f t="shared" ref="C1092:C1093" si="1536">D1092+L1092+N1092+P1092+R1092+S1092+T1092</f>
        <v>3793020.0000000005</v>
      </c>
      <c r="D1092" s="2">
        <f t="shared" ref="D1092:D1093" si="1537">SUM(E1092:J1092)</f>
        <v>0</v>
      </c>
      <c r="E1092" s="2">
        <v>0</v>
      </c>
      <c r="F1092" s="2">
        <v>0</v>
      </c>
      <c r="G1092" s="2">
        <v>0</v>
      </c>
      <c r="H1092" s="2">
        <v>0</v>
      </c>
      <c r="I1092" s="2">
        <v>0</v>
      </c>
      <c r="J1092" s="2">
        <v>0</v>
      </c>
      <c r="K1092" s="21">
        <v>0</v>
      </c>
      <c r="L1092" s="2">
        <v>0</v>
      </c>
      <c r="M1092" s="2">
        <v>574.70000000000005</v>
      </c>
      <c r="N1092" s="2">
        <f>M1092*6600</f>
        <v>3793020.0000000005</v>
      </c>
      <c r="O1092" s="2">
        <v>0</v>
      </c>
      <c r="P1092" s="2">
        <v>0</v>
      </c>
      <c r="Q1092" s="2">
        <v>0</v>
      </c>
      <c r="R1092" s="2">
        <f t="shared" ref="R1092:R1093" si="1538">Q1092*3200</f>
        <v>0</v>
      </c>
      <c r="S1092" s="8">
        <v>0</v>
      </c>
      <c r="T1092" s="2">
        <v>0</v>
      </c>
      <c r="U1092" s="6">
        <f t="shared" si="1476"/>
        <v>6600</v>
      </c>
    </row>
    <row r="1093" spans="1:21" ht="22.9" customHeight="1" x14ac:dyDescent="0.25">
      <c r="A1093" s="39" t="s">
        <v>2056</v>
      </c>
      <c r="B1093" s="9" t="s">
        <v>864</v>
      </c>
      <c r="C1093" s="7">
        <f t="shared" si="1536"/>
        <v>61239350</v>
      </c>
      <c r="D1093" s="2">
        <f t="shared" si="1537"/>
        <v>49919350</v>
      </c>
      <c r="E1093" s="2">
        <f>700*16367</f>
        <v>11456900</v>
      </c>
      <c r="F1093" s="2">
        <f>1300*16367</f>
        <v>21277100</v>
      </c>
      <c r="G1093" s="2">
        <f>350*16367</f>
        <v>5728450</v>
      </c>
      <c r="H1093" s="2">
        <f>400*16367</f>
        <v>6546800</v>
      </c>
      <c r="I1093" s="2">
        <f>300*16367</f>
        <v>4910100</v>
      </c>
      <c r="J1093" s="2">
        <v>0</v>
      </c>
      <c r="K1093" s="21">
        <v>4</v>
      </c>
      <c r="L1093" s="2">
        <f>K1093*2780000</f>
        <v>11120000</v>
      </c>
      <c r="M1093" s="2">
        <v>0</v>
      </c>
      <c r="N1093" s="2">
        <f t="shared" ref="N1093" si="1539">M1093*6600</f>
        <v>0</v>
      </c>
      <c r="O1093" s="2">
        <v>0</v>
      </c>
      <c r="P1093" s="2">
        <v>0</v>
      </c>
      <c r="Q1093" s="2">
        <v>0</v>
      </c>
      <c r="R1093" s="2">
        <f t="shared" si="1538"/>
        <v>0</v>
      </c>
      <c r="S1093" s="8">
        <v>0</v>
      </c>
      <c r="T1093" s="2">
        <v>200000</v>
      </c>
      <c r="U1093" s="6" t="e">
        <f t="shared" si="1476"/>
        <v>#DIV/0!</v>
      </c>
    </row>
    <row r="1094" spans="1:21" ht="22.9" customHeight="1" x14ac:dyDescent="0.25">
      <c r="A1094" s="39" t="s">
        <v>2057</v>
      </c>
      <c r="B1094" s="9" t="s">
        <v>865</v>
      </c>
      <c r="C1094" s="7">
        <f t="shared" ref="C1094" si="1540">D1094+L1094+N1094+P1094+R1094+S1094+T1094</f>
        <v>7342500</v>
      </c>
      <c r="D1094" s="2">
        <f t="shared" ref="D1094" si="1541">SUM(E1094:J1094)</f>
        <v>0</v>
      </c>
      <c r="E1094" s="2">
        <v>0</v>
      </c>
      <c r="F1094" s="2">
        <v>0</v>
      </c>
      <c r="G1094" s="2">
        <v>0</v>
      </c>
      <c r="H1094" s="2">
        <v>0</v>
      </c>
      <c r="I1094" s="2">
        <v>0</v>
      </c>
      <c r="J1094" s="2">
        <v>0</v>
      </c>
      <c r="K1094" s="21">
        <v>0</v>
      </c>
      <c r="L1094" s="2">
        <v>0</v>
      </c>
      <c r="M1094" s="2">
        <v>1112.5</v>
      </c>
      <c r="N1094" s="2">
        <f>M1094*6600</f>
        <v>7342500</v>
      </c>
      <c r="O1094" s="2">
        <v>0</v>
      </c>
      <c r="P1094" s="2">
        <v>0</v>
      </c>
      <c r="Q1094" s="2">
        <v>0</v>
      </c>
      <c r="R1094" s="2">
        <f t="shared" ref="R1094" si="1542">Q1094*3200</f>
        <v>0</v>
      </c>
      <c r="S1094" s="8">
        <v>0</v>
      </c>
      <c r="T1094" s="2">
        <v>0</v>
      </c>
      <c r="U1094" s="6">
        <f t="shared" si="1476"/>
        <v>6600</v>
      </c>
    </row>
    <row r="1095" spans="1:21" ht="22.9" customHeight="1" x14ac:dyDescent="0.25">
      <c r="A1095" s="39" t="s">
        <v>2058</v>
      </c>
      <c r="B1095" s="9" t="s">
        <v>866</v>
      </c>
      <c r="C1095" s="7">
        <f t="shared" ref="C1095" si="1543">D1095+L1095+N1095+P1095+R1095+S1095+T1095</f>
        <v>2171600</v>
      </c>
      <c r="D1095" s="2">
        <f t="shared" ref="D1095" si="1544">SUM(E1095:J1095)</f>
        <v>0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  <c r="J1095" s="2">
        <v>0</v>
      </c>
      <c r="K1095" s="21">
        <v>0</v>
      </c>
      <c r="L1095" s="2">
        <v>0</v>
      </c>
      <c r="M1095" s="2">
        <v>488</v>
      </c>
      <c r="N1095" s="2">
        <f>M1095*4450</f>
        <v>2171600</v>
      </c>
      <c r="O1095" s="2">
        <v>0</v>
      </c>
      <c r="P1095" s="2">
        <v>0</v>
      </c>
      <c r="Q1095" s="2">
        <v>0</v>
      </c>
      <c r="R1095" s="2">
        <f t="shared" ref="R1095" si="1545">Q1095*3200</f>
        <v>0</v>
      </c>
      <c r="S1095" s="8">
        <v>0</v>
      </c>
      <c r="T1095" s="2">
        <v>0</v>
      </c>
      <c r="U1095" s="6">
        <f t="shared" si="1476"/>
        <v>4450</v>
      </c>
    </row>
    <row r="1096" spans="1:21" ht="22.9" customHeight="1" x14ac:dyDescent="0.25">
      <c r="A1096" s="39" t="s">
        <v>2059</v>
      </c>
      <c r="B1096" s="9" t="s">
        <v>867</v>
      </c>
      <c r="C1096" s="7">
        <f t="shared" ref="C1096" si="1546">D1096+L1096+N1096+P1096+R1096+S1096+T1096</f>
        <v>6336000</v>
      </c>
      <c r="D1096" s="2">
        <f t="shared" ref="D1096" si="1547">SUM(E1096:J1096)</f>
        <v>0</v>
      </c>
      <c r="E1096" s="2">
        <v>0</v>
      </c>
      <c r="F1096" s="2">
        <v>0</v>
      </c>
      <c r="G1096" s="2">
        <v>0</v>
      </c>
      <c r="H1096" s="2">
        <v>0</v>
      </c>
      <c r="I1096" s="2">
        <v>0</v>
      </c>
      <c r="J1096" s="2">
        <v>0</v>
      </c>
      <c r="K1096" s="21">
        <v>0</v>
      </c>
      <c r="L1096" s="2">
        <v>0</v>
      </c>
      <c r="M1096" s="2">
        <v>960</v>
      </c>
      <c r="N1096" s="2">
        <f>M1096*6600</f>
        <v>6336000</v>
      </c>
      <c r="O1096" s="2">
        <v>0</v>
      </c>
      <c r="P1096" s="2">
        <v>0</v>
      </c>
      <c r="Q1096" s="2">
        <v>0</v>
      </c>
      <c r="R1096" s="2">
        <f t="shared" ref="R1096" si="1548">Q1096*3200</f>
        <v>0</v>
      </c>
      <c r="S1096" s="8">
        <v>0</v>
      </c>
      <c r="T1096" s="2">
        <v>0</v>
      </c>
      <c r="U1096" s="6">
        <f t="shared" si="1476"/>
        <v>6600</v>
      </c>
    </row>
    <row r="1097" spans="1:21" ht="22.9" customHeight="1" x14ac:dyDescent="0.25">
      <c r="A1097" s="39" t="s">
        <v>2060</v>
      </c>
      <c r="B1097" s="9" t="s">
        <v>868</v>
      </c>
      <c r="C1097" s="7">
        <f t="shared" ref="C1097" si="1549">D1097+L1097+N1097+P1097+R1097+S1097+T1097</f>
        <v>5545320</v>
      </c>
      <c r="D1097" s="2">
        <f t="shared" ref="D1097" si="1550">SUM(E1097:J1097)</f>
        <v>0</v>
      </c>
      <c r="E1097" s="2">
        <v>0</v>
      </c>
      <c r="F1097" s="2">
        <v>0</v>
      </c>
      <c r="G1097" s="2">
        <v>0</v>
      </c>
      <c r="H1097" s="2">
        <v>0</v>
      </c>
      <c r="I1097" s="2">
        <v>0</v>
      </c>
      <c r="J1097" s="2">
        <v>0</v>
      </c>
      <c r="K1097" s="21">
        <v>0</v>
      </c>
      <c r="L1097" s="2">
        <v>0</v>
      </c>
      <c r="M1097" s="2">
        <v>840.2</v>
      </c>
      <c r="N1097" s="2">
        <f>M1097*6600</f>
        <v>5545320</v>
      </c>
      <c r="O1097" s="2">
        <v>0</v>
      </c>
      <c r="P1097" s="2">
        <v>0</v>
      </c>
      <c r="Q1097" s="2">
        <v>0</v>
      </c>
      <c r="R1097" s="2">
        <f t="shared" ref="R1097" si="1551">Q1097*3200</f>
        <v>0</v>
      </c>
      <c r="S1097" s="8">
        <v>0</v>
      </c>
      <c r="T1097" s="2">
        <v>0</v>
      </c>
      <c r="U1097" s="6">
        <f t="shared" si="1476"/>
        <v>6600</v>
      </c>
    </row>
    <row r="1098" spans="1:21" ht="22.9" customHeight="1" x14ac:dyDescent="0.25">
      <c r="A1098" s="39" t="s">
        <v>2061</v>
      </c>
      <c r="B1098" s="9" t="s">
        <v>869</v>
      </c>
      <c r="C1098" s="7">
        <f t="shared" ref="C1098" si="1552">D1098+L1098+N1098+P1098+R1098+S1098+T1098</f>
        <v>2792375</v>
      </c>
      <c r="D1098" s="2">
        <f t="shared" ref="D1098" si="1553">SUM(E1098:J1098)</f>
        <v>0</v>
      </c>
      <c r="E1098" s="2">
        <v>0</v>
      </c>
      <c r="F1098" s="2">
        <v>0</v>
      </c>
      <c r="G1098" s="2">
        <v>0</v>
      </c>
      <c r="H1098" s="2">
        <v>0</v>
      </c>
      <c r="I1098" s="2">
        <v>0</v>
      </c>
      <c r="J1098" s="2">
        <v>0</v>
      </c>
      <c r="K1098" s="21">
        <v>0</v>
      </c>
      <c r="L1098" s="2">
        <v>0</v>
      </c>
      <c r="M1098" s="2">
        <v>627.5</v>
      </c>
      <c r="N1098" s="2">
        <f>M1098*4450</f>
        <v>2792375</v>
      </c>
      <c r="O1098" s="2">
        <v>0</v>
      </c>
      <c r="P1098" s="2">
        <v>0</v>
      </c>
      <c r="Q1098" s="2">
        <v>0</v>
      </c>
      <c r="R1098" s="2">
        <f t="shared" ref="R1098" si="1554">Q1098*3200</f>
        <v>0</v>
      </c>
      <c r="S1098" s="8">
        <v>0</v>
      </c>
      <c r="T1098" s="2">
        <v>0</v>
      </c>
      <c r="U1098" s="6">
        <f t="shared" si="1476"/>
        <v>4450</v>
      </c>
    </row>
    <row r="1099" spans="1:21" ht="22.9" customHeight="1" x14ac:dyDescent="0.25">
      <c r="A1099" s="39" t="s">
        <v>2062</v>
      </c>
      <c r="B1099" s="9" t="s">
        <v>870</v>
      </c>
      <c r="C1099" s="7">
        <f t="shared" ref="C1099" si="1555">D1099+L1099+N1099+P1099+R1099+S1099+T1099</f>
        <v>1969570</v>
      </c>
      <c r="D1099" s="2">
        <f t="shared" ref="D1099" si="1556">SUM(E1099:J1099)</f>
        <v>0</v>
      </c>
      <c r="E1099" s="2">
        <v>0</v>
      </c>
      <c r="F1099" s="2">
        <v>0</v>
      </c>
      <c r="G1099" s="2">
        <v>0</v>
      </c>
      <c r="H1099" s="2">
        <v>0</v>
      </c>
      <c r="I1099" s="2">
        <v>0</v>
      </c>
      <c r="J1099" s="2">
        <v>0</v>
      </c>
      <c r="K1099" s="21">
        <v>0</v>
      </c>
      <c r="L1099" s="2">
        <v>0</v>
      </c>
      <c r="M1099" s="2">
        <v>442.6</v>
      </c>
      <c r="N1099" s="2">
        <f>M1099*4450</f>
        <v>1969570</v>
      </c>
      <c r="O1099" s="2">
        <v>0</v>
      </c>
      <c r="P1099" s="2">
        <v>0</v>
      </c>
      <c r="Q1099" s="2">
        <v>0</v>
      </c>
      <c r="R1099" s="2">
        <f t="shared" ref="R1099" si="1557">Q1099*3200</f>
        <v>0</v>
      </c>
      <c r="S1099" s="8">
        <v>0</v>
      </c>
      <c r="T1099" s="2">
        <v>0</v>
      </c>
      <c r="U1099" s="6">
        <f t="shared" si="1476"/>
        <v>4450</v>
      </c>
    </row>
    <row r="1100" spans="1:21" ht="22.9" customHeight="1" x14ac:dyDescent="0.25">
      <c r="A1100" s="39" t="s">
        <v>2063</v>
      </c>
      <c r="B1100" s="9" t="s">
        <v>871</v>
      </c>
      <c r="C1100" s="7">
        <f t="shared" ref="C1100" si="1558">D1100+L1100+N1100+P1100+R1100+S1100+T1100</f>
        <v>1987370</v>
      </c>
      <c r="D1100" s="2">
        <f t="shared" ref="D1100" si="1559">SUM(E1100:J1100)</f>
        <v>0</v>
      </c>
      <c r="E1100" s="2">
        <v>0</v>
      </c>
      <c r="F1100" s="2">
        <v>0</v>
      </c>
      <c r="G1100" s="2">
        <v>0</v>
      </c>
      <c r="H1100" s="2">
        <v>0</v>
      </c>
      <c r="I1100" s="2">
        <v>0</v>
      </c>
      <c r="J1100" s="2">
        <v>0</v>
      </c>
      <c r="K1100" s="21">
        <v>0</v>
      </c>
      <c r="L1100" s="2">
        <v>0</v>
      </c>
      <c r="M1100" s="2">
        <v>446.6</v>
      </c>
      <c r="N1100" s="2">
        <f>M1100*4450</f>
        <v>1987370</v>
      </c>
      <c r="O1100" s="2">
        <v>0</v>
      </c>
      <c r="P1100" s="2">
        <v>0</v>
      </c>
      <c r="Q1100" s="2">
        <v>0</v>
      </c>
      <c r="R1100" s="2">
        <f t="shared" ref="R1100" si="1560">Q1100*3200</f>
        <v>0</v>
      </c>
      <c r="S1100" s="8">
        <v>0</v>
      </c>
      <c r="T1100" s="2">
        <v>0</v>
      </c>
      <c r="U1100" s="6">
        <f t="shared" si="1476"/>
        <v>4450</v>
      </c>
    </row>
    <row r="1101" spans="1:21" ht="22.9" customHeight="1" x14ac:dyDescent="0.25">
      <c r="A1101" s="39" t="s">
        <v>2064</v>
      </c>
      <c r="B1101" s="9" t="s">
        <v>872</v>
      </c>
      <c r="C1101" s="7">
        <f t="shared" ref="C1101" si="1561">D1101+L1101+N1101+P1101+R1101+S1101+T1101</f>
        <v>3856815</v>
      </c>
      <c r="D1101" s="2">
        <f t="shared" ref="D1101" si="1562">SUM(E1101:J1101)</f>
        <v>0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  <c r="J1101" s="2">
        <v>0</v>
      </c>
      <c r="K1101" s="21">
        <v>0</v>
      </c>
      <c r="L1101" s="2">
        <v>0</v>
      </c>
      <c r="M1101" s="2">
        <v>866.7</v>
      </c>
      <c r="N1101" s="2">
        <f>M1101*4450</f>
        <v>3856815</v>
      </c>
      <c r="O1101" s="2">
        <v>0</v>
      </c>
      <c r="P1101" s="2">
        <v>0</v>
      </c>
      <c r="Q1101" s="2">
        <v>0</v>
      </c>
      <c r="R1101" s="2">
        <f t="shared" ref="R1101" si="1563">Q1101*3200</f>
        <v>0</v>
      </c>
      <c r="S1101" s="8">
        <v>0</v>
      </c>
      <c r="T1101" s="2">
        <v>0</v>
      </c>
      <c r="U1101" s="6">
        <f t="shared" si="1476"/>
        <v>4450</v>
      </c>
    </row>
    <row r="1102" spans="1:21" ht="22.9" customHeight="1" x14ac:dyDescent="0.25">
      <c r="A1102" s="39" t="s">
        <v>2065</v>
      </c>
      <c r="B1102" s="9" t="s">
        <v>873</v>
      </c>
      <c r="C1102" s="7">
        <f t="shared" ref="C1102" si="1564">D1102+L1102+N1102+P1102+R1102+S1102+T1102</f>
        <v>7837500</v>
      </c>
      <c r="D1102" s="2">
        <f t="shared" ref="D1102" si="1565">SUM(E1102:J1102)</f>
        <v>0</v>
      </c>
      <c r="E1102" s="2">
        <v>0</v>
      </c>
      <c r="F1102" s="2">
        <v>0</v>
      </c>
      <c r="G1102" s="2">
        <v>0</v>
      </c>
      <c r="H1102" s="2">
        <v>0</v>
      </c>
      <c r="I1102" s="2">
        <v>0</v>
      </c>
      <c r="J1102" s="2">
        <v>0</v>
      </c>
      <c r="K1102" s="21">
        <v>0</v>
      </c>
      <c r="L1102" s="2">
        <v>0</v>
      </c>
      <c r="M1102" s="2">
        <v>1187.5</v>
      </c>
      <c r="N1102" s="2">
        <f>M1102*6600</f>
        <v>7837500</v>
      </c>
      <c r="O1102" s="2">
        <v>0</v>
      </c>
      <c r="P1102" s="2">
        <v>0</v>
      </c>
      <c r="Q1102" s="2">
        <v>0</v>
      </c>
      <c r="R1102" s="2">
        <f t="shared" ref="R1102" si="1566">Q1102*3200</f>
        <v>0</v>
      </c>
      <c r="S1102" s="8">
        <v>0</v>
      </c>
      <c r="T1102" s="2">
        <v>0</v>
      </c>
      <c r="U1102" s="6">
        <f t="shared" si="1476"/>
        <v>6600</v>
      </c>
    </row>
    <row r="1103" spans="1:21" ht="22.9" customHeight="1" x14ac:dyDescent="0.25">
      <c r="A1103" s="39" t="s">
        <v>2066</v>
      </c>
      <c r="B1103" s="9" t="s">
        <v>874</v>
      </c>
      <c r="C1103" s="7">
        <f t="shared" ref="C1103:C1104" si="1567">D1103+L1103+N1103+P1103+R1103+S1103+T1103</f>
        <v>2948220</v>
      </c>
      <c r="D1103" s="2">
        <f t="shared" ref="D1103:D1104" si="1568">SUM(E1103:J1103)</f>
        <v>0</v>
      </c>
      <c r="E1103" s="2">
        <v>0</v>
      </c>
      <c r="F1103" s="2">
        <v>0</v>
      </c>
      <c r="G1103" s="2">
        <v>0</v>
      </c>
      <c r="H1103" s="2">
        <v>0</v>
      </c>
      <c r="I1103" s="2">
        <v>0</v>
      </c>
      <c r="J1103" s="2">
        <v>0</v>
      </c>
      <c r="K1103" s="21">
        <v>0</v>
      </c>
      <c r="L1103" s="2">
        <v>0</v>
      </c>
      <c r="M1103" s="2">
        <v>446.7</v>
      </c>
      <c r="N1103" s="2">
        <f t="shared" ref="N1103" si="1569">M1103*6600</f>
        <v>2948220</v>
      </c>
      <c r="O1103" s="2">
        <v>0</v>
      </c>
      <c r="P1103" s="2">
        <v>0</v>
      </c>
      <c r="Q1103" s="2">
        <v>0</v>
      </c>
      <c r="R1103" s="2">
        <f t="shared" ref="R1103:R1104" si="1570">Q1103*3200</f>
        <v>0</v>
      </c>
      <c r="S1103" s="8">
        <v>0</v>
      </c>
      <c r="T1103" s="2">
        <v>0</v>
      </c>
      <c r="U1103" s="6">
        <f t="shared" si="1476"/>
        <v>6600</v>
      </c>
    </row>
    <row r="1104" spans="1:21" ht="22.9" customHeight="1" x14ac:dyDescent="0.25">
      <c r="A1104" s="39" t="s">
        <v>2067</v>
      </c>
      <c r="B1104" s="9" t="s">
        <v>875</v>
      </c>
      <c r="C1104" s="7">
        <f t="shared" si="1567"/>
        <v>3866605</v>
      </c>
      <c r="D1104" s="2">
        <f t="shared" si="1568"/>
        <v>0</v>
      </c>
      <c r="E1104" s="2">
        <v>0</v>
      </c>
      <c r="F1104" s="2">
        <v>0</v>
      </c>
      <c r="G1104" s="2">
        <v>0</v>
      </c>
      <c r="H1104" s="2">
        <v>0</v>
      </c>
      <c r="I1104" s="2">
        <v>0</v>
      </c>
      <c r="J1104" s="2">
        <v>0</v>
      </c>
      <c r="K1104" s="21">
        <v>0</v>
      </c>
      <c r="L1104" s="2">
        <v>0</v>
      </c>
      <c r="M1104" s="2">
        <v>868.9</v>
      </c>
      <c r="N1104" s="2">
        <f>M1104*4450</f>
        <v>3866605</v>
      </c>
      <c r="O1104" s="2">
        <v>0</v>
      </c>
      <c r="P1104" s="2">
        <v>0</v>
      </c>
      <c r="Q1104" s="2">
        <v>0</v>
      </c>
      <c r="R1104" s="2">
        <f t="shared" si="1570"/>
        <v>0</v>
      </c>
      <c r="S1104" s="8">
        <v>0</v>
      </c>
      <c r="T1104" s="2">
        <v>0</v>
      </c>
      <c r="U1104" s="6">
        <f t="shared" si="1476"/>
        <v>4450</v>
      </c>
    </row>
    <row r="1105" spans="1:21" ht="22.9" customHeight="1" x14ac:dyDescent="0.25">
      <c r="A1105" s="39" t="s">
        <v>2068</v>
      </c>
      <c r="B1105" s="9" t="s">
        <v>876</v>
      </c>
      <c r="C1105" s="7">
        <f t="shared" ref="C1105:C1106" si="1571">D1105+L1105+N1105+P1105+R1105+S1105+T1105</f>
        <v>1970905</v>
      </c>
      <c r="D1105" s="2">
        <f t="shared" ref="D1105:D1106" si="1572">SUM(E1105:J1105)</f>
        <v>0</v>
      </c>
      <c r="E1105" s="2">
        <v>0</v>
      </c>
      <c r="F1105" s="2">
        <v>0</v>
      </c>
      <c r="G1105" s="2">
        <v>0</v>
      </c>
      <c r="H1105" s="2">
        <v>0</v>
      </c>
      <c r="I1105" s="2">
        <v>0</v>
      </c>
      <c r="J1105" s="2">
        <v>0</v>
      </c>
      <c r="K1105" s="21">
        <v>0</v>
      </c>
      <c r="L1105" s="2">
        <v>0</v>
      </c>
      <c r="M1105" s="2">
        <v>442.9</v>
      </c>
      <c r="N1105" s="2">
        <f t="shared" ref="N1105:N1106" si="1573">M1105*4450</f>
        <v>1970905</v>
      </c>
      <c r="O1105" s="2">
        <v>0</v>
      </c>
      <c r="P1105" s="2">
        <v>0</v>
      </c>
      <c r="Q1105" s="2">
        <v>0</v>
      </c>
      <c r="R1105" s="2">
        <f t="shared" ref="R1105:R1106" si="1574">Q1105*3200</f>
        <v>0</v>
      </c>
      <c r="S1105" s="8">
        <v>0</v>
      </c>
      <c r="T1105" s="2">
        <v>0</v>
      </c>
      <c r="U1105" s="6">
        <f t="shared" si="1476"/>
        <v>4450</v>
      </c>
    </row>
    <row r="1106" spans="1:21" ht="22.9" customHeight="1" x14ac:dyDescent="0.25">
      <c r="A1106" s="39" t="s">
        <v>2069</v>
      </c>
      <c r="B1106" s="9" t="s">
        <v>877</v>
      </c>
      <c r="C1106" s="7">
        <f t="shared" si="1571"/>
        <v>3056705</v>
      </c>
      <c r="D1106" s="2">
        <f t="shared" si="1572"/>
        <v>0</v>
      </c>
      <c r="E1106" s="2">
        <v>0</v>
      </c>
      <c r="F1106" s="2">
        <v>0</v>
      </c>
      <c r="G1106" s="2">
        <v>0</v>
      </c>
      <c r="H1106" s="2">
        <v>0</v>
      </c>
      <c r="I1106" s="2">
        <v>0</v>
      </c>
      <c r="J1106" s="2">
        <v>0</v>
      </c>
      <c r="K1106" s="21">
        <v>0</v>
      </c>
      <c r="L1106" s="2">
        <v>0</v>
      </c>
      <c r="M1106" s="2">
        <v>686.9</v>
      </c>
      <c r="N1106" s="2">
        <f t="shared" si="1573"/>
        <v>3056705</v>
      </c>
      <c r="O1106" s="2">
        <v>0</v>
      </c>
      <c r="P1106" s="2">
        <v>0</v>
      </c>
      <c r="Q1106" s="2">
        <v>0</v>
      </c>
      <c r="R1106" s="2">
        <f t="shared" si="1574"/>
        <v>0</v>
      </c>
      <c r="S1106" s="8">
        <v>0</v>
      </c>
      <c r="T1106" s="2">
        <v>0</v>
      </c>
      <c r="U1106" s="6">
        <f t="shared" si="1476"/>
        <v>4450</v>
      </c>
    </row>
    <row r="1107" spans="1:21" ht="22.9" customHeight="1" x14ac:dyDescent="0.25">
      <c r="A1107" s="39" t="s">
        <v>2070</v>
      </c>
      <c r="B1107" s="9" t="s">
        <v>878</v>
      </c>
      <c r="C1107" s="7">
        <f t="shared" ref="C1107" si="1575">D1107+L1107+N1107+P1107+R1107+S1107+T1107</f>
        <v>3793020.0000000005</v>
      </c>
      <c r="D1107" s="2">
        <f t="shared" ref="D1107" si="1576">SUM(E1107:J1107)</f>
        <v>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  <c r="J1107" s="2">
        <v>0</v>
      </c>
      <c r="K1107" s="21">
        <v>0</v>
      </c>
      <c r="L1107" s="2">
        <v>0</v>
      </c>
      <c r="M1107" s="2">
        <v>574.70000000000005</v>
      </c>
      <c r="N1107" s="2">
        <f>M1107*6600</f>
        <v>3793020.0000000005</v>
      </c>
      <c r="O1107" s="2">
        <v>0</v>
      </c>
      <c r="P1107" s="2">
        <v>0</v>
      </c>
      <c r="Q1107" s="2">
        <v>0</v>
      </c>
      <c r="R1107" s="2">
        <f t="shared" ref="R1107" si="1577">Q1107*3200</f>
        <v>0</v>
      </c>
      <c r="S1107" s="8">
        <v>0</v>
      </c>
      <c r="T1107" s="2">
        <v>0</v>
      </c>
      <c r="U1107" s="6">
        <f t="shared" si="1476"/>
        <v>6600</v>
      </c>
    </row>
    <row r="1108" spans="1:21" ht="22.9" customHeight="1" x14ac:dyDescent="0.25">
      <c r="A1108" s="39" t="s">
        <v>2071</v>
      </c>
      <c r="B1108" s="9" t="s">
        <v>879</v>
      </c>
      <c r="C1108" s="7">
        <f t="shared" ref="C1108" si="1578">D1108+L1108+N1108+P1108+R1108+S1108+T1108</f>
        <v>3168000</v>
      </c>
      <c r="D1108" s="2">
        <f t="shared" ref="D1108" si="1579">SUM(E1108:J1108)</f>
        <v>0</v>
      </c>
      <c r="E1108" s="2">
        <v>0</v>
      </c>
      <c r="F1108" s="2">
        <v>0</v>
      </c>
      <c r="G1108" s="2">
        <v>0</v>
      </c>
      <c r="H1108" s="2">
        <v>0</v>
      </c>
      <c r="I1108" s="2">
        <v>0</v>
      </c>
      <c r="J1108" s="2">
        <v>0</v>
      </c>
      <c r="K1108" s="21">
        <v>0</v>
      </c>
      <c r="L1108" s="2">
        <v>0</v>
      </c>
      <c r="M1108" s="2">
        <v>480</v>
      </c>
      <c r="N1108" s="2">
        <f>M1108*6600</f>
        <v>3168000</v>
      </c>
      <c r="O1108" s="2">
        <v>0</v>
      </c>
      <c r="P1108" s="2">
        <v>0</v>
      </c>
      <c r="Q1108" s="2">
        <v>0</v>
      </c>
      <c r="R1108" s="2">
        <f t="shared" ref="R1108" si="1580">Q1108*3200</f>
        <v>0</v>
      </c>
      <c r="S1108" s="8">
        <v>0</v>
      </c>
      <c r="T1108" s="2">
        <v>0</v>
      </c>
      <c r="U1108" s="6">
        <f t="shared" si="1476"/>
        <v>6600</v>
      </c>
    </row>
    <row r="1109" spans="1:21" ht="22.9" customHeight="1" x14ac:dyDescent="0.25">
      <c r="A1109" s="39" t="s">
        <v>2072</v>
      </c>
      <c r="B1109" s="9" t="s">
        <v>880</v>
      </c>
      <c r="C1109" s="7">
        <f t="shared" ref="C1109:C1110" si="1581">D1109+L1109+N1109+P1109+R1109+S1109+T1109</f>
        <v>3168000</v>
      </c>
      <c r="D1109" s="2">
        <f t="shared" ref="D1109:D1110" si="1582">SUM(E1109:J1109)</f>
        <v>0</v>
      </c>
      <c r="E1109" s="2">
        <v>0</v>
      </c>
      <c r="F1109" s="2">
        <v>0</v>
      </c>
      <c r="G1109" s="2">
        <v>0</v>
      </c>
      <c r="H1109" s="2">
        <v>0</v>
      </c>
      <c r="I1109" s="2">
        <v>0</v>
      </c>
      <c r="J1109" s="2">
        <v>0</v>
      </c>
      <c r="K1109" s="21">
        <v>0</v>
      </c>
      <c r="L1109" s="2">
        <v>0</v>
      </c>
      <c r="M1109" s="2">
        <v>480</v>
      </c>
      <c r="N1109" s="2">
        <f>M1109*6600</f>
        <v>3168000</v>
      </c>
      <c r="O1109" s="2">
        <v>0</v>
      </c>
      <c r="P1109" s="2">
        <v>0</v>
      </c>
      <c r="Q1109" s="2">
        <v>0</v>
      </c>
      <c r="R1109" s="2">
        <f t="shared" ref="R1109:R1110" si="1583">Q1109*3200</f>
        <v>0</v>
      </c>
      <c r="S1109" s="8">
        <v>0</v>
      </c>
      <c r="T1109" s="2">
        <v>0</v>
      </c>
      <c r="U1109" s="6">
        <f t="shared" si="1476"/>
        <v>6600</v>
      </c>
    </row>
    <row r="1110" spans="1:21" ht="22.9" customHeight="1" x14ac:dyDescent="0.25">
      <c r="A1110" s="39" t="s">
        <v>2073</v>
      </c>
      <c r="B1110" s="9" t="s">
        <v>881</v>
      </c>
      <c r="C1110" s="7">
        <f t="shared" si="1581"/>
        <v>3352800</v>
      </c>
      <c r="D1110" s="2">
        <f t="shared" si="1582"/>
        <v>0</v>
      </c>
      <c r="E1110" s="2">
        <v>0</v>
      </c>
      <c r="F1110" s="2">
        <v>0</v>
      </c>
      <c r="G1110" s="2">
        <v>0</v>
      </c>
      <c r="H1110" s="2">
        <v>0</v>
      </c>
      <c r="I1110" s="2">
        <v>0</v>
      </c>
      <c r="J1110" s="2">
        <v>0</v>
      </c>
      <c r="K1110" s="21">
        <v>0</v>
      </c>
      <c r="L1110" s="2">
        <v>0</v>
      </c>
      <c r="M1110" s="2">
        <v>508</v>
      </c>
      <c r="N1110" s="2">
        <f>M1110*6600</f>
        <v>3352800</v>
      </c>
      <c r="O1110" s="2">
        <v>0</v>
      </c>
      <c r="P1110" s="2">
        <v>0</v>
      </c>
      <c r="Q1110" s="2">
        <v>0</v>
      </c>
      <c r="R1110" s="2">
        <f t="shared" si="1583"/>
        <v>0</v>
      </c>
      <c r="S1110" s="8">
        <v>0</v>
      </c>
      <c r="T1110" s="2">
        <v>0</v>
      </c>
      <c r="U1110" s="6">
        <f t="shared" si="1476"/>
        <v>6600</v>
      </c>
    </row>
    <row r="1111" spans="1:21" ht="22.9" customHeight="1" x14ac:dyDescent="0.25">
      <c r="A1111" s="39" t="s">
        <v>2074</v>
      </c>
      <c r="B1111" s="9" t="s">
        <v>882</v>
      </c>
      <c r="C1111" s="7">
        <f t="shared" ref="C1111" si="1584">D1111+L1111+N1111+P1111+R1111+S1111+T1111</f>
        <v>9530400</v>
      </c>
      <c r="D1111" s="2">
        <f t="shared" ref="D1111" si="1585">SUM(E1111:J1111)</f>
        <v>0</v>
      </c>
      <c r="E1111" s="2">
        <v>0</v>
      </c>
      <c r="F1111" s="2">
        <v>0</v>
      </c>
      <c r="G1111" s="2">
        <v>0</v>
      </c>
      <c r="H1111" s="2">
        <v>0</v>
      </c>
      <c r="I1111" s="2">
        <v>0</v>
      </c>
      <c r="J1111" s="2">
        <v>0</v>
      </c>
      <c r="K1111" s="21">
        <v>0</v>
      </c>
      <c r="L1111" s="2">
        <v>0</v>
      </c>
      <c r="M1111" s="2">
        <v>1444</v>
      </c>
      <c r="N1111" s="2">
        <f>M1111*6600</f>
        <v>9530400</v>
      </c>
      <c r="O1111" s="2">
        <v>0</v>
      </c>
      <c r="P1111" s="2">
        <v>0</v>
      </c>
      <c r="Q1111" s="2">
        <v>0</v>
      </c>
      <c r="R1111" s="2">
        <f t="shared" ref="R1111" si="1586">Q1111*3200</f>
        <v>0</v>
      </c>
      <c r="S1111" s="8">
        <v>0</v>
      </c>
      <c r="T1111" s="2">
        <v>0</v>
      </c>
      <c r="U1111" s="6">
        <f t="shared" si="1476"/>
        <v>6600</v>
      </c>
    </row>
    <row r="1112" spans="1:21" ht="22.9" customHeight="1" x14ac:dyDescent="0.25">
      <c r="A1112" s="39" t="s">
        <v>2075</v>
      </c>
      <c r="B1112" s="9" t="s">
        <v>883</v>
      </c>
      <c r="C1112" s="7">
        <f t="shared" ref="C1112:C1114" si="1587">D1112+L1112+N1112+P1112+R1112+S1112+T1112</f>
        <v>1815000</v>
      </c>
      <c r="D1112" s="2">
        <f t="shared" ref="D1112:D1114" si="1588">SUM(E1112:J1112)</f>
        <v>0</v>
      </c>
      <c r="E1112" s="2">
        <v>0</v>
      </c>
      <c r="F1112" s="2">
        <v>0</v>
      </c>
      <c r="G1112" s="2">
        <v>0</v>
      </c>
      <c r="H1112" s="2">
        <v>0</v>
      </c>
      <c r="I1112" s="2">
        <v>0</v>
      </c>
      <c r="J1112" s="2">
        <v>0</v>
      </c>
      <c r="K1112" s="21">
        <v>0</v>
      </c>
      <c r="L1112" s="2">
        <v>0</v>
      </c>
      <c r="M1112" s="2">
        <v>275</v>
      </c>
      <c r="N1112" s="2">
        <f t="shared" ref="N1112:N1117" si="1589">M1112*6600</f>
        <v>1815000</v>
      </c>
      <c r="O1112" s="2">
        <v>0</v>
      </c>
      <c r="P1112" s="2">
        <v>0</v>
      </c>
      <c r="Q1112" s="2">
        <v>0</v>
      </c>
      <c r="R1112" s="2">
        <f t="shared" ref="R1112:R1114" si="1590">Q1112*3200</f>
        <v>0</v>
      </c>
      <c r="S1112" s="8">
        <v>0</v>
      </c>
      <c r="T1112" s="2">
        <v>0</v>
      </c>
      <c r="U1112" s="6">
        <f t="shared" si="1476"/>
        <v>6600</v>
      </c>
    </row>
    <row r="1113" spans="1:21" ht="22.9" customHeight="1" x14ac:dyDescent="0.25">
      <c r="A1113" s="39" t="s">
        <v>2076</v>
      </c>
      <c r="B1113" s="9" t="s">
        <v>884</v>
      </c>
      <c r="C1113" s="7">
        <f t="shared" si="1587"/>
        <v>3763979.9999999995</v>
      </c>
      <c r="D1113" s="2">
        <f t="shared" si="1588"/>
        <v>0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  <c r="J1113" s="2">
        <v>0</v>
      </c>
      <c r="K1113" s="21">
        <v>0</v>
      </c>
      <c r="L1113" s="2">
        <v>0</v>
      </c>
      <c r="M1113" s="2">
        <v>570.29999999999995</v>
      </c>
      <c r="N1113" s="2">
        <f t="shared" si="1589"/>
        <v>3763979.9999999995</v>
      </c>
      <c r="O1113" s="2">
        <v>0</v>
      </c>
      <c r="P1113" s="2">
        <v>0</v>
      </c>
      <c r="Q1113" s="2">
        <v>0</v>
      </c>
      <c r="R1113" s="2">
        <f t="shared" si="1590"/>
        <v>0</v>
      </c>
      <c r="S1113" s="8">
        <v>0</v>
      </c>
      <c r="T1113" s="2">
        <v>0</v>
      </c>
      <c r="U1113" s="6">
        <f t="shared" si="1476"/>
        <v>6600</v>
      </c>
    </row>
    <row r="1114" spans="1:21" ht="22.9" customHeight="1" x14ac:dyDescent="0.25">
      <c r="A1114" s="39" t="s">
        <v>2077</v>
      </c>
      <c r="B1114" s="9" t="s">
        <v>885</v>
      </c>
      <c r="C1114" s="7">
        <f t="shared" si="1587"/>
        <v>3799620.0000000005</v>
      </c>
      <c r="D1114" s="2">
        <f t="shared" si="1588"/>
        <v>0</v>
      </c>
      <c r="E1114" s="2">
        <v>0</v>
      </c>
      <c r="F1114" s="2">
        <v>0</v>
      </c>
      <c r="G1114" s="2">
        <v>0</v>
      </c>
      <c r="H1114" s="2">
        <v>0</v>
      </c>
      <c r="I1114" s="2">
        <v>0</v>
      </c>
      <c r="J1114" s="2">
        <v>0</v>
      </c>
      <c r="K1114" s="21">
        <v>0</v>
      </c>
      <c r="L1114" s="2">
        <v>0</v>
      </c>
      <c r="M1114" s="2">
        <v>575.70000000000005</v>
      </c>
      <c r="N1114" s="2">
        <f t="shared" si="1589"/>
        <v>3799620.0000000005</v>
      </c>
      <c r="O1114" s="2">
        <v>0</v>
      </c>
      <c r="P1114" s="2">
        <v>0</v>
      </c>
      <c r="Q1114" s="2">
        <v>0</v>
      </c>
      <c r="R1114" s="2">
        <f t="shared" si="1590"/>
        <v>0</v>
      </c>
      <c r="S1114" s="8">
        <v>0</v>
      </c>
      <c r="T1114" s="2">
        <v>0</v>
      </c>
      <c r="U1114" s="6">
        <f t="shared" si="1476"/>
        <v>6600</v>
      </c>
    </row>
    <row r="1115" spans="1:21" ht="22.9" customHeight="1" x14ac:dyDescent="0.25">
      <c r="A1115" s="39" t="s">
        <v>2078</v>
      </c>
      <c r="B1115" s="9" t="s">
        <v>886</v>
      </c>
      <c r="C1115" s="7">
        <f t="shared" ref="C1115:C1116" si="1591">D1115+L1115+N1115+P1115+R1115+S1115+T1115</f>
        <v>6540600</v>
      </c>
      <c r="D1115" s="2">
        <f t="shared" ref="D1115:D1116" si="1592">SUM(E1115:J1115)</f>
        <v>0</v>
      </c>
      <c r="E1115" s="2">
        <v>0</v>
      </c>
      <c r="F1115" s="2">
        <v>0</v>
      </c>
      <c r="G1115" s="2">
        <v>0</v>
      </c>
      <c r="H1115" s="2">
        <v>0</v>
      </c>
      <c r="I1115" s="2">
        <v>0</v>
      </c>
      <c r="J1115" s="2">
        <v>0</v>
      </c>
      <c r="K1115" s="21">
        <v>0</v>
      </c>
      <c r="L1115" s="2">
        <v>0</v>
      </c>
      <c r="M1115" s="2">
        <v>991</v>
      </c>
      <c r="N1115" s="2">
        <f t="shared" si="1589"/>
        <v>6540600</v>
      </c>
      <c r="O1115" s="2">
        <v>0</v>
      </c>
      <c r="P1115" s="2">
        <v>0</v>
      </c>
      <c r="Q1115" s="2">
        <v>0</v>
      </c>
      <c r="R1115" s="2">
        <f t="shared" ref="R1115:R1116" si="1593">Q1115*3200</f>
        <v>0</v>
      </c>
      <c r="S1115" s="8">
        <v>0</v>
      </c>
      <c r="T1115" s="2">
        <v>0</v>
      </c>
      <c r="U1115" s="6">
        <f t="shared" si="1476"/>
        <v>6600</v>
      </c>
    </row>
    <row r="1116" spans="1:21" ht="22.9" customHeight="1" x14ac:dyDescent="0.25">
      <c r="A1116" s="39" t="s">
        <v>2079</v>
      </c>
      <c r="B1116" s="9" t="s">
        <v>887</v>
      </c>
      <c r="C1116" s="7">
        <f t="shared" si="1591"/>
        <v>5684646</v>
      </c>
      <c r="D1116" s="2">
        <f t="shared" si="1592"/>
        <v>0</v>
      </c>
      <c r="E1116" s="2">
        <v>0</v>
      </c>
      <c r="F1116" s="2">
        <v>0</v>
      </c>
      <c r="G1116" s="2">
        <v>0</v>
      </c>
      <c r="H1116" s="2">
        <v>0</v>
      </c>
      <c r="I1116" s="2">
        <v>0</v>
      </c>
      <c r="J1116" s="2">
        <v>0</v>
      </c>
      <c r="K1116" s="21">
        <v>0</v>
      </c>
      <c r="L1116" s="2">
        <v>0</v>
      </c>
      <c r="M1116" s="2">
        <v>861.31</v>
      </c>
      <c r="N1116" s="2">
        <f t="shared" si="1589"/>
        <v>5684646</v>
      </c>
      <c r="O1116" s="2">
        <v>0</v>
      </c>
      <c r="P1116" s="2">
        <v>0</v>
      </c>
      <c r="Q1116" s="2">
        <v>0</v>
      </c>
      <c r="R1116" s="2">
        <f t="shared" si="1593"/>
        <v>0</v>
      </c>
      <c r="S1116" s="8">
        <v>0</v>
      </c>
      <c r="T1116" s="2">
        <v>0</v>
      </c>
      <c r="U1116" s="6">
        <f t="shared" si="1476"/>
        <v>6600</v>
      </c>
    </row>
    <row r="1117" spans="1:21" ht="22.9" customHeight="1" x14ac:dyDescent="0.25">
      <c r="A1117" s="39" t="s">
        <v>2080</v>
      </c>
      <c r="B1117" s="9" t="s">
        <v>888</v>
      </c>
      <c r="C1117" s="7">
        <f t="shared" ref="C1117:C1118" si="1594">D1117+L1117+N1117+P1117+R1117+S1117+T1117</f>
        <v>1610400</v>
      </c>
      <c r="D1117" s="2">
        <f t="shared" ref="D1117:D1118" si="1595">SUM(E1117:J1117)</f>
        <v>0</v>
      </c>
      <c r="E1117" s="2">
        <v>0</v>
      </c>
      <c r="F1117" s="2">
        <v>0</v>
      </c>
      <c r="G1117" s="2">
        <v>0</v>
      </c>
      <c r="H1117" s="2">
        <v>0</v>
      </c>
      <c r="I1117" s="2">
        <v>0</v>
      </c>
      <c r="J1117" s="2">
        <v>0</v>
      </c>
      <c r="K1117" s="21">
        <v>0</v>
      </c>
      <c r="L1117" s="2">
        <v>0</v>
      </c>
      <c r="M1117" s="2">
        <v>244</v>
      </c>
      <c r="N1117" s="2">
        <f t="shared" si="1589"/>
        <v>1610400</v>
      </c>
      <c r="O1117" s="2">
        <v>0</v>
      </c>
      <c r="P1117" s="2">
        <v>0</v>
      </c>
      <c r="Q1117" s="2">
        <v>0</v>
      </c>
      <c r="R1117" s="2">
        <f t="shared" ref="R1117:R1118" si="1596">Q1117*3200</f>
        <v>0</v>
      </c>
      <c r="S1117" s="8">
        <v>0</v>
      </c>
      <c r="T1117" s="2">
        <v>0</v>
      </c>
      <c r="U1117" s="6">
        <f t="shared" si="1476"/>
        <v>6600</v>
      </c>
    </row>
    <row r="1118" spans="1:21" ht="22.9" customHeight="1" x14ac:dyDescent="0.25">
      <c r="A1118" s="39" t="s">
        <v>2081</v>
      </c>
      <c r="B1118" s="9" t="s">
        <v>889</v>
      </c>
      <c r="C1118" s="7">
        <f t="shared" si="1594"/>
        <v>3355300</v>
      </c>
      <c r="D1118" s="2">
        <f t="shared" si="1595"/>
        <v>0</v>
      </c>
      <c r="E1118" s="2">
        <v>0</v>
      </c>
      <c r="F1118" s="2">
        <v>0</v>
      </c>
      <c r="G1118" s="2">
        <v>0</v>
      </c>
      <c r="H1118" s="2">
        <v>0</v>
      </c>
      <c r="I1118" s="2">
        <v>0</v>
      </c>
      <c r="J1118" s="2">
        <v>0</v>
      </c>
      <c r="K1118" s="21">
        <v>0</v>
      </c>
      <c r="L1118" s="2">
        <v>0</v>
      </c>
      <c r="M1118" s="2">
        <v>754</v>
      </c>
      <c r="N1118" s="2">
        <f>M1118*4450</f>
        <v>3355300</v>
      </c>
      <c r="O1118" s="2">
        <v>0</v>
      </c>
      <c r="P1118" s="2">
        <v>0</v>
      </c>
      <c r="Q1118" s="2">
        <v>0</v>
      </c>
      <c r="R1118" s="2">
        <f t="shared" si="1596"/>
        <v>0</v>
      </c>
      <c r="S1118" s="8">
        <v>0</v>
      </c>
      <c r="T1118" s="2">
        <v>0</v>
      </c>
      <c r="U1118" s="6">
        <f t="shared" si="1476"/>
        <v>4450</v>
      </c>
    </row>
    <row r="1119" spans="1:21" ht="22.9" customHeight="1" x14ac:dyDescent="0.25">
      <c r="A1119" s="39" t="s">
        <v>2082</v>
      </c>
      <c r="B1119" s="9" t="s">
        <v>890</v>
      </c>
      <c r="C1119" s="7">
        <f t="shared" ref="C1119:C1120" si="1597">D1119+L1119+N1119+P1119+R1119+S1119+T1119</f>
        <v>4214150</v>
      </c>
      <c r="D1119" s="2">
        <f t="shared" ref="D1119:D1120" si="1598">SUM(E1119:J1119)</f>
        <v>0</v>
      </c>
      <c r="E1119" s="2">
        <v>0</v>
      </c>
      <c r="F1119" s="2">
        <v>0</v>
      </c>
      <c r="G1119" s="2">
        <v>0</v>
      </c>
      <c r="H1119" s="2">
        <v>0</v>
      </c>
      <c r="I1119" s="2">
        <v>0</v>
      </c>
      <c r="J1119" s="2">
        <v>0</v>
      </c>
      <c r="K1119" s="21">
        <v>0</v>
      </c>
      <c r="L1119" s="2">
        <v>0</v>
      </c>
      <c r="M1119" s="2">
        <v>947</v>
      </c>
      <c r="N1119" s="2">
        <f t="shared" ref="N1119:N1120" si="1599">M1119*4450</f>
        <v>4214150</v>
      </c>
      <c r="O1119" s="2">
        <v>0</v>
      </c>
      <c r="P1119" s="2">
        <v>0</v>
      </c>
      <c r="Q1119" s="2">
        <v>0</v>
      </c>
      <c r="R1119" s="2">
        <f t="shared" ref="R1119:R1120" si="1600">Q1119*3200</f>
        <v>0</v>
      </c>
      <c r="S1119" s="8">
        <v>0</v>
      </c>
      <c r="T1119" s="2">
        <v>0</v>
      </c>
      <c r="U1119" s="6">
        <f t="shared" si="1476"/>
        <v>4450</v>
      </c>
    </row>
    <row r="1120" spans="1:21" ht="22.9" customHeight="1" x14ac:dyDescent="0.25">
      <c r="A1120" s="39" t="s">
        <v>2083</v>
      </c>
      <c r="B1120" s="9" t="s">
        <v>891</v>
      </c>
      <c r="C1120" s="7">
        <f t="shared" si="1597"/>
        <v>3413150</v>
      </c>
      <c r="D1120" s="2">
        <f t="shared" si="1598"/>
        <v>0</v>
      </c>
      <c r="E1120" s="2">
        <v>0</v>
      </c>
      <c r="F1120" s="2">
        <v>0</v>
      </c>
      <c r="G1120" s="2">
        <v>0</v>
      </c>
      <c r="H1120" s="2">
        <v>0</v>
      </c>
      <c r="I1120" s="2">
        <v>0</v>
      </c>
      <c r="J1120" s="2">
        <v>0</v>
      </c>
      <c r="K1120" s="21">
        <v>0</v>
      </c>
      <c r="L1120" s="2">
        <v>0</v>
      </c>
      <c r="M1120" s="2">
        <v>767</v>
      </c>
      <c r="N1120" s="2">
        <f t="shared" si="1599"/>
        <v>3413150</v>
      </c>
      <c r="O1120" s="2">
        <v>0</v>
      </c>
      <c r="P1120" s="2">
        <v>0</v>
      </c>
      <c r="Q1120" s="2">
        <v>0</v>
      </c>
      <c r="R1120" s="2">
        <f t="shared" si="1600"/>
        <v>0</v>
      </c>
      <c r="S1120" s="8">
        <v>0</v>
      </c>
      <c r="T1120" s="2">
        <v>0</v>
      </c>
      <c r="U1120" s="6">
        <f t="shared" si="1476"/>
        <v>4450</v>
      </c>
    </row>
    <row r="1121" spans="1:21" ht="22.9" customHeight="1" x14ac:dyDescent="0.25">
      <c r="A1121" s="39" t="s">
        <v>2084</v>
      </c>
      <c r="B1121" s="9" t="s">
        <v>892</v>
      </c>
      <c r="C1121" s="7">
        <f t="shared" ref="C1121" si="1601">D1121+L1121+N1121+P1121+R1121+S1121+T1121</f>
        <v>2180500</v>
      </c>
      <c r="D1121" s="2">
        <f t="shared" ref="D1121" si="1602">SUM(E1121:J1121)</f>
        <v>0</v>
      </c>
      <c r="E1121" s="2">
        <v>0</v>
      </c>
      <c r="F1121" s="2">
        <v>0</v>
      </c>
      <c r="G1121" s="2">
        <v>0</v>
      </c>
      <c r="H1121" s="2">
        <v>0</v>
      </c>
      <c r="I1121" s="2">
        <v>0</v>
      </c>
      <c r="J1121" s="2">
        <v>0</v>
      </c>
      <c r="K1121" s="21">
        <v>0</v>
      </c>
      <c r="L1121" s="2">
        <v>0</v>
      </c>
      <c r="M1121" s="2">
        <v>490</v>
      </c>
      <c r="N1121" s="2">
        <f>M1121*4450</f>
        <v>2180500</v>
      </c>
      <c r="O1121" s="2">
        <v>0</v>
      </c>
      <c r="P1121" s="2">
        <v>0</v>
      </c>
      <c r="Q1121" s="2">
        <v>0</v>
      </c>
      <c r="R1121" s="2">
        <f t="shared" ref="R1121" si="1603">Q1121*3200</f>
        <v>0</v>
      </c>
      <c r="S1121" s="8">
        <v>0</v>
      </c>
      <c r="T1121" s="2">
        <v>0</v>
      </c>
      <c r="U1121" s="6">
        <f t="shared" si="1476"/>
        <v>4450</v>
      </c>
    </row>
    <row r="1122" spans="1:21" ht="22.9" customHeight="1" x14ac:dyDescent="0.25">
      <c r="A1122" s="39" t="s">
        <v>2085</v>
      </c>
      <c r="B1122" s="9" t="s">
        <v>893</v>
      </c>
      <c r="C1122" s="7">
        <f t="shared" ref="C1122:C1125" si="1604">D1122+L1122+N1122+P1122+R1122+S1122+T1122</f>
        <v>4240850</v>
      </c>
      <c r="D1122" s="2">
        <f t="shared" ref="D1122:D1125" si="1605">SUM(E1122:J1122)</f>
        <v>0</v>
      </c>
      <c r="E1122" s="2">
        <v>0</v>
      </c>
      <c r="F1122" s="2">
        <v>0</v>
      </c>
      <c r="G1122" s="2">
        <v>0</v>
      </c>
      <c r="H1122" s="2">
        <v>0</v>
      </c>
      <c r="I1122" s="2">
        <v>0</v>
      </c>
      <c r="J1122" s="2">
        <v>0</v>
      </c>
      <c r="K1122" s="21">
        <v>0</v>
      </c>
      <c r="L1122" s="2">
        <v>0</v>
      </c>
      <c r="M1122" s="2">
        <v>953</v>
      </c>
      <c r="N1122" s="2">
        <f t="shared" ref="N1122:N1125" si="1606">M1122*4450</f>
        <v>4240850</v>
      </c>
      <c r="O1122" s="2">
        <v>0</v>
      </c>
      <c r="P1122" s="2">
        <v>0</v>
      </c>
      <c r="Q1122" s="2">
        <v>0</v>
      </c>
      <c r="R1122" s="2">
        <f t="shared" ref="R1122:R1125" si="1607">Q1122*3200</f>
        <v>0</v>
      </c>
      <c r="S1122" s="8">
        <v>0</v>
      </c>
      <c r="T1122" s="2">
        <v>0</v>
      </c>
      <c r="U1122" s="6">
        <f t="shared" si="1476"/>
        <v>4450</v>
      </c>
    </row>
    <row r="1123" spans="1:21" ht="22.9" customHeight="1" x14ac:dyDescent="0.25">
      <c r="A1123" s="39" t="s">
        <v>2086</v>
      </c>
      <c r="B1123" s="9" t="s">
        <v>894</v>
      </c>
      <c r="C1123" s="7">
        <f t="shared" si="1604"/>
        <v>4245300</v>
      </c>
      <c r="D1123" s="2">
        <f t="shared" si="1605"/>
        <v>0</v>
      </c>
      <c r="E1123" s="2">
        <v>0</v>
      </c>
      <c r="F1123" s="2">
        <v>0</v>
      </c>
      <c r="G1123" s="2">
        <v>0</v>
      </c>
      <c r="H1123" s="2">
        <v>0</v>
      </c>
      <c r="I1123" s="2">
        <v>0</v>
      </c>
      <c r="J1123" s="2">
        <v>0</v>
      </c>
      <c r="K1123" s="21">
        <v>0</v>
      </c>
      <c r="L1123" s="2">
        <v>0</v>
      </c>
      <c r="M1123" s="2">
        <v>954</v>
      </c>
      <c r="N1123" s="2">
        <f t="shared" si="1606"/>
        <v>4245300</v>
      </c>
      <c r="O1123" s="2">
        <v>0</v>
      </c>
      <c r="P1123" s="2">
        <v>0</v>
      </c>
      <c r="Q1123" s="2">
        <v>0</v>
      </c>
      <c r="R1123" s="2">
        <f t="shared" si="1607"/>
        <v>0</v>
      </c>
      <c r="S1123" s="8">
        <v>0</v>
      </c>
      <c r="T1123" s="2">
        <v>0</v>
      </c>
      <c r="U1123" s="6">
        <f t="shared" si="1476"/>
        <v>4450</v>
      </c>
    </row>
    <row r="1124" spans="1:21" ht="22.9" customHeight="1" x14ac:dyDescent="0.25">
      <c r="A1124" s="39" t="s">
        <v>2087</v>
      </c>
      <c r="B1124" s="9" t="s">
        <v>895</v>
      </c>
      <c r="C1124" s="7">
        <f t="shared" si="1604"/>
        <v>4214150</v>
      </c>
      <c r="D1124" s="2">
        <f t="shared" si="1605"/>
        <v>0</v>
      </c>
      <c r="E1124" s="2">
        <v>0</v>
      </c>
      <c r="F1124" s="2">
        <v>0</v>
      </c>
      <c r="G1124" s="2">
        <v>0</v>
      </c>
      <c r="H1124" s="2">
        <v>0</v>
      </c>
      <c r="I1124" s="2">
        <v>0</v>
      </c>
      <c r="J1124" s="2">
        <v>0</v>
      </c>
      <c r="K1124" s="21">
        <v>0</v>
      </c>
      <c r="L1124" s="2">
        <v>0</v>
      </c>
      <c r="M1124" s="2">
        <v>947</v>
      </c>
      <c r="N1124" s="2">
        <f t="shared" si="1606"/>
        <v>4214150</v>
      </c>
      <c r="O1124" s="2">
        <v>0</v>
      </c>
      <c r="P1124" s="2">
        <v>0</v>
      </c>
      <c r="Q1124" s="2">
        <v>0</v>
      </c>
      <c r="R1124" s="2">
        <f t="shared" si="1607"/>
        <v>0</v>
      </c>
      <c r="S1124" s="8">
        <v>0</v>
      </c>
      <c r="T1124" s="2">
        <v>0</v>
      </c>
      <c r="U1124" s="6">
        <f t="shared" si="1476"/>
        <v>4450</v>
      </c>
    </row>
    <row r="1125" spans="1:21" ht="22.9" customHeight="1" x14ac:dyDescent="0.25">
      <c r="A1125" s="39" t="s">
        <v>2088</v>
      </c>
      <c r="B1125" s="9" t="s">
        <v>896</v>
      </c>
      <c r="C1125" s="7">
        <f t="shared" si="1604"/>
        <v>3530185</v>
      </c>
      <c r="D1125" s="2">
        <f t="shared" si="1605"/>
        <v>0</v>
      </c>
      <c r="E1125" s="2">
        <v>0</v>
      </c>
      <c r="F1125" s="2">
        <v>0</v>
      </c>
      <c r="G1125" s="2">
        <v>0</v>
      </c>
      <c r="H1125" s="2">
        <v>0</v>
      </c>
      <c r="I1125" s="2">
        <v>0</v>
      </c>
      <c r="J1125" s="2">
        <v>0</v>
      </c>
      <c r="K1125" s="21">
        <v>0</v>
      </c>
      <c r="L1125" s="2">
        <v>0</v>
      </c>
      <c r="M1125" s="2">
        <v>793.3</v>
      </c>
      <c r="N1125" s="2">
        <f t="shared" si="1606"/>
        <v>3530185</v>
      </c>
      <c r="O1125" s="2">
        <v>0</v>
      </c>
      <c r="P1125" s="2">
        <v>0</v>
      </c>
      <c r="Q1125" s="2">
        <v>0</v>
      </c>
      <c r="R1125" s="2">
        <f t="shared" si="1607"/>
        <v>0</v>
      </c>
      <c r="S1125" s="8">
        <v>0</v>
      </c>
      <c r="T1125" s="2">
        <v>0</v>
      </c>
      <c r="U1125" s="6">
        <f t="shared" si="1476"/>
        <v>4450</v>
      </c>
    </row>
    <row r="1126" spans="1:21" ht="22.9" customHeight="1" x14ac:dyDescent="0.25">
      <c r="A1126" s="39" t="s">
        <v>2089</v>
      </c>
      <c r="B1126" s="20" t="s">
        <v>897</v>
      </c>
      <c r="C1126" s="7">
        <f t="shared" ref="C1126:C1128" si="1608">D1126+L1126+N1126+P1126+R1126+S1126+T1126</f>
        <v>7477140.0000000009</v>
      </c>
      <c r="D1126" s="2">
        <f t="shared" ref="D1126:D1128" si="1609">SUM(E1126:J1126)</f>
        <v>0</v>
      </c>
      <c r="E1126" s="2">
        <v>0</v>
      </c>
      <c r="F1126" s="2">
        <v>0</v>
      </c>
      <c r="G1126" s="2">
        <v>0</v>
      </c>
      <c r="H1126" s="2">
        <v>0</v>
      </c>
      <c r="I1126" s="2">
        <v>0</v>
      </c>
      <c r="J1126" s="2">
        <v>0</v>
      </c>
      <c r="K1126" s="21">
        <v>0</v>
      </c>
      <c r="L1126" s="2">
        <v>0</v>
      </c>
      <c r="M1126" s="2">
        <v>1132.9000000000001</v>
      </c>
      <c r="N1126" s="2">
        <f>M1126*6600</f>
        <v>7477140.0000000009</v>
      </c>
      <c r="O1126" s="2">
        <v>0</v>
      </c>
      <c r="P1126" s="2">
        <v>0</v>
      </c>
      <c r="Q1126" s="2">
        <v>0</v>
      </c>
      <c r="R1126" s="2">
        <f t="shared" ref="R1126:R1128" si="1610">Q1126*3200</f>
        <v>0</v>
      </c>
      <c r="S1126" s="8">
        <v>0</v>
      </c>
      <c r="T1126" s="2">
        <v>0</v>
      </c>
      <c r="U1126" s="6">
        <f t="shared" si="1476"/>
        <v>6600</v>
      </c>
    </row>
    <row r="1127" spans="1:21" ht="22.9" customHeight="1" x14ac:dyDescent="0.25">
      <c r="A1127" s="39" t="s">
        <v>2090</v>
      </c>
      <c r="B1127" s="9" t="s">
        <v>898</v>
      </c>
      <c r="C1127" s="7">
        <f t="shared" si="1608"/>
        <v>10381580.5</v>
      </c>
      <c r="D1127" s="2">
        <f t="shared" si="1609"/>
        <v>10281580.5</v>
      </c>
      <c r="E1127" s="2">
        <f>700*3371.01</f>
        <v>2359707</v>
      </c>
      <c r="F1127" s="2">
        <f>1300*3371.01</f>
        <v>4382313</v>
      </c>
      <c r="G1127" s="2">
        <f>350*3371.01</f>
        <v>1179853.5</v>
      </c>
      <c r="H1127" s="2">
        <f>400*3371.01</f>
        <v>1348404</v>
      </c>
      <c r="I1127" s="2">
        <f>300*3371.01</f>
        <v>1011303.0000000001</v>
      </c>
      <c r="J1127" s="2">
        <v>0</v>
      </c>
      <c r="K1127" s="21">
        <v>0</v>
      </c>
      <c r="L1127" s="2">
        <v>0</v>
      </c>
      <c r="M1127" s="2">
        <v>0</v>
      </c>
      <c r="N1127" s="2">
        <f t="shared" ref="N1127:N1128" si="1611">M1127*6600</f>
        <v>0</v>
      </c>
      <c r="O1127" s="2">
        <v>0</v>
      </c>
      <c r="P1127" s="2">
        <v>0</v>
      </c>
      <c r="Q1127" s="2">
        <v>0</v>
      </c>
      <c r="R1127" s="2">
        <f t="shared" si="1610"/>
        <v>0</v>
      </c>
      <c r="S1127" s="8">
        <v>0</v>
      </c>
      <c r="T1127" s="2">
        <v>100000</v>
      </c>
      <c r="U1127" s="6" t="e">
        <f t="shared" si="1476"/>
        <v>#DIV/0!</v>
      </c>
    </row>
    <row r="1128" spans="1:21" ht="22.9" customHeight="1" x14ac:dyDescent="0.25">
      <c r="A1128" s="39" t="s">
        <v>2091</v>
      </c>
      <c r="B1128" s="9" t="s">
        <v>899</v>
      </c>
      <c r="C1128" s="7">
        <f t="shared" si="1608"/>
        <v>3903140</v>
      </c>
      <c r="D1128" s="2">
        <f t="shared" si="1609"/>
        <v>860100</v>
      </c>
      <c r="E1128" s="2">
        <f>700*282</f>
        <v>197400</v>
      </c>
      <c r="F1128" s="2">
        <f>1300*282</f>
        <v>366600</v>
      </c>
      <c r="G1128" s="2">
        <f>350*282</f>
        <v>98700</v>
      </c>
      <c r="H1128" s="2">
        <f>400*282</f>
        <v>112800</v>
      </c>
      <c r="I1128" s="2">
        <f>300*282</f>
        <v>84600</v>
      </c>
      <c r="J1128" s="2">
        <v>0</v>
      </c>
      <c r="K1128" s="21">
        <v>0</v>
      </c>
      <c r="L1128" s="2">
        <v>0</v>
      </c>
      <c r="M1128" s="2">
        <v>280</v>
      </c>
      <c r="N1128" s="2">
        <f t="shared" si="1611"/>
        <v>1848000</v>
      </c>
      <c r="O1128" s="2">
        <v>0</v>
      </c>
      <c r="P1128" s="2">
        <v>0</v>
      </c>
      <c r="Q1128" s="2">
        <v>342.2</v>
      </c>
      <c r="R1128" s="2">
        <f t="shared" si="1610"/>
        <v>1095040</v>
      </c>
      <c r="S1128" s="8">
        <v>0</v>
      </c>
      <c r="T1128" s="2">
        <v>100000</v>
      </c>
      <c r="U1128" s="6">
        <f t="shared" si="1476"/>
        <v>6600</v>
      </c>
    </row>
    <row r="1129" spans="1:21" ht="22.9" customHeight="1" x14ac:dyDescent="0.25">
      <c r="A1129" s="39" t="s">
        <v>2092</v>
      </c>
      <c r="B1129" s="20" t="s">
        <v>900</v>
      </c>
      <c r="C1129" s="7">
        <f t="shared" ref="C1129" si="1612">D1129+L1129+N1129+P1129+R1129+S1129+T1129</f>
        <v>3806530</v>
      </c>
      <c r="D1129" s="2">
        <f t="shared" ref="D1129" si="1613">SUM(E1129:J1129)</f>
        <v>0</v>
      </c>
      <c r="E1129" s="2">
        <v>0</v>
      </c>
      <c r="F1129" s="2">
        <v>0</v>
      </c>
      <c r="G1129" s="2">
        <v>0</v>
      </c>
      <c r="H1129" s="2">
        <v>0</v>
      </c>
      <c r="I1129" s="2">
        <v>0</v>
      </c>
      <c r="J1129" s="2">
        <v>0</v>
      </c>
      <c r="K1129" s="21">
        <v>0</v>
      </c>
      <c r="L1129" s="2">
        <v>0</v>
      </c>
      <c r="M1129" s="2">
        <v>855.4</v>
      </c>
      <c r="N1129" s="2">
        <f>M1129*4450</f>
        <v>3806530</v>
      </c>
      <c r="O1129" s="2">
        <v>0</v>
      </c>
      <c r="P1129" s="2">
        <v>0</v>
      </c>
      <c r="Q1129" s="2">
        <v>0</v>
      </c>
      <c r="R1129" s="2">
        <f t="shared" ref="R1129" si="1614">Q1129*3200</f>
        <v>0</v>
      </c>
      <c r="S1129" s="8">
        <v>0</v>
      </c>
      <c r="T1129" s="2">
        <v>0</v>
      </c>
      <c r="U1129" s="6">
        <f t="shared" si="1476"/>
        <v>4450</v>
      </c>
    </row>
    <row r="1130" spans="1:21" ht="22.9" customHeight="1" x14ac:dyDescent="0.25">
      <c r="A1130" s="39" t="s">
        <v>2093</v>
      </c>
      <c r="B1130" s="9" t="s">
        <v>901</v>
      </c>
      <c r="C1130" s="7">
        <f t="shared" ref="C1130" si="1615">D1130+L1130+N1130+P1130+R1130+S1130+T1130</f>
        <v>6151200</v>
      </c>
      <c r="D1130" s="2">
        <f t="shared" ref="D1130" si="1616">SUM(E1130:J1130)</f>
        <v>0</v>
      </c>
      <c r="E1130" s="2">
        <v>0</v>
      </c>
      <c r="F1130" s="2">
        <v>0</v>
      </c>
      <c r="G1130" s="2">
        <v>0</v>
      </c>
      <c r="H1130" s="2">
        <v>0</v>
      </c>
      <c r="I1130" s="2">
        <v>0</v>
      </c>
      <c r="J1130" s="2">
        <v>0</v>
      </c>
      <c r="K1130" s="21">
        <v>0</v>
      </c>
      <c r="L1130" s="2">
        <v>0</v>
      </c>
      <c r="M1130" s="2">
        <v>932</v>
      </c>
      <c r="N1130" s="2">
        <f>M1130*6600</f>
        <v>6151200</v>
      </c>
      <c r="O1130" s="2">
        <v>0</v>
      </c>
      <c r="P1130" s="2">
        <v>0</v>
      </c>
      <c r="Q1130" s="2">
        <v>0</v>
      </c>
      <c r="R1130" s="2">
        <f t="shared" ref="R1130" si="1617">Q1130*3200</f>
        <v>0</v>
      </c>
      <c r="S1130" s="8">
        <v>0</v>
      </c>
      <c r="T1130" s="2">
        <v>0</v>
      </c>
      <c r="U1130" s="6">
        <f t="shared" si="1476"/>
        <v>6600</v>
      </c>
    </row>
    <row r="1131" spans="1:21" ht="22.9" customHeight="1" x14ac:dyDescent="0.25">
      <c r="A1131" s="39" t="s">
        <v>2094</v>
      </c>
      <c r="B1131" s="9" t="s">
        <v>902</v>
      </c>
      <c r="C1131" s="7">
        <f t="shared" ref="C1131" si="1618">D1131+L1131+N1131+P1131+R1131+S1131+T1131</f>
        <v>3999600</v>
      </c>
      <c r="D1131" s="2">
        <f t="shared" ref="D1131" si="1619">SUM(E1131:J1131)</f>
        <v>0</v>
      </c>
      <c r="E1131" s="2">
        <v>0</v>
      </c>
      <c r="F1131" s="2">
        <v>0</v>
      </c>
      <c r="G1131" s="2">
        <v>0</v>
      </c>
      <c r="H1131" s="2">
        <v>0</v>
      </c>
      <c r="I1131" s="2">
        <v>0</v>
      </c>
      <c r="J1131" s="2">
        <v>0</v>
      </c>
      <c r="K1131" s="21">
        <v>0</v>
      </c>
      <c r="L1131" s="2">
        <v>0</v>
      </c>
      <c r="M1131" s="2">
        <v>606</v>
      </c>
      <c r="N1131" s="2">
        <f>M1131*6600</f>
        <v>3999600</v>
      </c>
      <c r="O1131" s="2">
        <v>0</v>
      </c>
      <c r="P1131" s="2">
        <v>0</v>
      </c>
      <c r="Q1131" s="2">
        <v>0</v>
      </c>
      <c r="R1131" s="2">
        <f t="shared" ref="R1131" si="1620">Q1131*3200</f>
        <v>0</v>
      </c>
      <c r="S1131" s="8">
        <v>0</v>
      </c>
      <c r="T1131" s="2">
        <v>0</v>
      </c>
      <c r="U1131" s="6">
        <f t="shared" si="1476"/>
        <v>6600</v>
      </c>
    </row>
    <row r="1132" spans="1:21" ht="22.9" customHeight="1" x14ac:dyDescent="0.25">
      <c r="A1132" s="39" t="s">
        <v>2095</v>
      </c>
      <c r="B1132" s="9" t="s">
        <v>903</v>
      </c>
      <c r="C1132" s="7">
        <f t="shared" ref="C1132" si="1621">D1132+L1132+N1132+P1132+R1132+S1132+T1132</f>
        <v>7141200</v>
      </c>
      <c r="D1132" s="2">
        <f t="shared" ref="D1132" si="1622">SUM(E1132:J1132)</f>
        <v>0</v>
      </c>
      <c r="E1132" s="2">
        <v>0</v>
      </c>
      <c r="F1132" s="2">
        <v>0</v>
      </c>
      <c r="G1132" s="2">
        <v>0</v>
      </c>
      <c r="H1132" s="2">
        <v>0</v>
      </c>
      <c r="I1132" s="2">
        <v>0</v>
      </c>
      <c r="J1132" s="2">
        <v>0</v>
      </c>
      <c r="K1132" s="21">
        <v>0</v>
      </c>
      <c r="L1132" s="2">
        <v>0</v>
      </c>
      <c r="M1132" s="2">
        <v>1082</v>
      </c>
      <c r="N1132" s="2">
        <f>M1132*6600</f>
        <v>7141200</v>
      </c>
      <c r="O1132" s="2">
        <v>0</v>
      </c>
      <c r="P1132" s="2">
        <v>0</v>
      </c>
      <c r="Q1132" s="2">
        <v>0</v>
      </c>
      <c r="R1132" s="2">
        <f t="shared" ref="R1132" si="1623">Q1132*3200</f>
        <v>0</v>
      </c>
      <c r="S1132" s="8">
        <v>0</v>
      </c>
      <c r="T1132" s="2">
        <v>0</v>
      </c>
      <c r="U1132" s="6">
        <f t="shared" si="1476"/>
        <v>6600</v>
      </c>
    </row>
    <row r="1133" spans="1:21" ht="22.9" customHeight="1" x14ac:dyDescent="0.25">
      <c r="A1133" s="39" t="s">
        <v>2096</v>
      </c>
      <c r="B1133" s="9" t="s">
        <v>904</v>
      </c>
      <c r="C1133" s="7">
        <f t="shared" ref="C1133:C1134" si="1624">D1133+L1133+N1133+P1133+R1133+S1133+T1133</f>
        <v>5662140</v>
      </c>
      <c r="D1133" s="2">
        <f t="shared" ref="D1133:D1134" si="1625">SUM(E1133:J1133)</f>
        <v>0</v>
      </c>
      <c r="E1133" s="2">
        <v>0</v>
      </c>
      <c r="F1133" s="2">
        <v>0</v>
      </c>
      <c r="G1133" s="2">
        <v>0</v>
      </c>
      <c r="H1133" s="2">
        <v>0</v>
      </c>
      <c r="I1133" s="2">
        <v>0</v>
      </c>
      <c r="J1133" s="2">
        <v>0</v>
      </c>
      <c r="K1133" s="21">
        <v>0</v>
      </c>
      <c r="L1133" s="2">
        <v>0</v>
      </c>
      <c r="M1133" s="2">
        <v>857.9</v>
      </c>
      <c r="N1133" s="2">
        <f t="shared" ref="N1133:N1135" si="1626">M1133*6600</f>
        <v>5662140</v>
      </c>
      <c r="O1133" s="2">
        <v>0</v>
      </c>
      <c r="P1133" s="2">
        <v>0</v>
      </c>
      <c r="Q1133" s="2">
        <v>0</v>
      </c>
      <c r="R1133" s="2">
        <f t="shared" ref="R1133:R1134" si="1627">Q1133*3200</f>
        <v>0</v>
      </c>
      <c r="S1133" s="8">
        <v>0</v>
      </c>
      <c r="T1133" s="2">
        <v>0</v>
      </c>
      <c r="U1133" s="6">
        <f t="shared" si="1476"/>
        <v>6600</v>
      </c>
    </row>
    <row r="1134" spans="1:21" ht="22.9" customHeight="1" x14ac:dyDescent="0.25">
      <c r="A1134" s="39" t="s">
        <v>2097</v>
      </c>
      <c r="B1134" s="9" t="s">
        <v>905</v>
      </c>
      <c r="C1134" s="7">
        <f t="shared" si="1624"/>
        <v>5784900</v>
      </c>
      <c r="D1134" s="2">
        <f t="shared" si="1625"/>
        <v>0</v>
      </c>
      <c r="E1134" s="2">
        <v>0</v>
      </c>
      <c r="F1134" s="2">
        <v>0</v>
      </c>
      <c r="G1134" s="2">
        <v>0</v>
      </c>
      <c r="H1134" s="2">
        <v>0</v>
      </c>
      <c r="I1134" s="2">
        <v>0</v>
      </c>
      <c r="J1134" s="2">
        <v>0</v>
      </c>
      <c r="K1134" s="21">
        <v>0</v>
      </c>
      <c r="L1134" s="2">
        <v>0</v>
      </c>
      <c r="M1134" s="2">
        <v>876.5</v>
      </c>
      <c r="N1134" s="2">
        <f t="shared" si="1626"/>
        <v>5784900</v>
      </c>
      <c r="O1134" s="2">
        <v>0</v>
      </c>
      <c r="P1134" s="2">
        <v>0</v>
      </c>
      <c r="Q1134" s="2">
        <v>0</v>
      </c>
      <c r="R1134" s="2">
        <f t="shared" si="1627"/>
        <v>0</v>
      </c>
      <c r="S1134" s="8">
        <v>0</v>
      </c>
      <c r="T1134" s="2">
        <v>0</v>
      </c>
      <c r="U1134" s="6">
        <f t="shared" ref="U1134:U1196" si="1628">N1134/M1134</f>
        <v>6600</v>
      </c>
    </row>
    <row r="1135" spans="1:21" ht="22.9" customHeight="1" x14ac:dyDescent="0.25">
      <c r="A1135" s="39" t="s">
        <v>2098</v>
      </c>
      <c r="B1135" s="9" t="s">
        <v>906</v>
      </c>
      <c r="C1135" s="7">
        <f t="shared" ref="C1135" si="1629">D1135+L1135+N1135+P1135+R1135+S1135+T1135</f>
        <v>7180800</v>
      </c>
      <c r="D1135" s="2">
        <f t="shared" ref="D1135" si="1630">SUM(E1135:J1135)</f>
        <v>0</v>
      </c>
      <c r="E1135" s="2">
        <v>0</v>
      </c>
      <c r="F1135" s="2">
        <v>0</v>
      </c>
      <c r="G1135" s="2">
        <v>0</v>
      </c>
      <c r="H1135" s="2">
        <v>0</v>
      </c>
      <c r="I1135" s="2">
        <v>0</v>
      </c>
      <c r="J1135" s="2">
        <v>0</v>
      </c>
      <c r="K1135" s="21">
        <v>0</v>
      </c>
      <c r="L1135" s="2">
        <v>0</v>
      </c>
      <c r="M1135" s="2">
        <v>1088</v>
      </c>
      <c r="N1135" s="2">
        <f t="shared" si="1626"/>
        <v>7180800</v>
      </c>
      <c r="O1135" s="2">
        <v>0</v>
      </c>
      <c r="P1135" s="2">
        <v>0</v>
      </c>
      <c r="Q1135" s="2">
        <v>0</v>
      </c>
      <c r="R1135" s="2">
        <f t="shared" ref="R1135" si="1631">Q1135*3200</f>
        <v>0</v>
      </c>
      <c r="S1135" s="8">
        <v>0</v>
      </c>
      <c r="T1135" s="2">
        <v>0</v>
      </c>
      <c r="U1135" s="6">
        <f t="shared" si="1628"/>
        <v>6600</v>
      </c>
    </row>
    <row r="1136" spans="1:21" ht="22.9" customHeight="1" x14ac:dyDescent="0.25">
      <c r="A1136" s="39" t="s">
        <v>2099</v>
      </c>
      <c r="B1136" s="9" t="s">
        <v>907</v>
      </c>
      <c r="C1136" s="7">
        <f t="shared" ref="C1136:C1140" si="1632">D1136+L1136+N1136+P1136+R1136+S1136+T1136</f>
        <v>2776800</v>
      </c>
      <c r="D1136" s="2">
        <f t="shared" ref="D1136:D1140" si="1633">SUM(E1136:J1136)</f>
        <v>0</v>
      </c>
      <c r="E1136" s="2">
        <v>0</v>
      </c>
      <c r="F1136" s="2">
        <v>0</v>
      </c>
      <c r="G1136" s="2">
        <v>0</v>
      </c>
      <c r="H1136" s="2">
        <v>0</v>
      </c>
      <c r="I1136" s="2">
        <v>0</v>
      </c>
      <c r="J1136" s="2">
        <v>0</v>
      </c>
      <c r="K1136" s="21">
        <v>0</v>
      </c>
      <c r="L1136" s="2">
        <v>0</v>
      </c>
      <c r="M1136" s="2">
        <v>624</v>
      </c>
      <c r="N1136" s="2">
        <f>M1136*4450</f>
        <v>2776800</v>
      </c>
      <c r="O1136" s="2">
        <v>0</v>
      </c>
      <c r="P1136" s="2">
        <v>0</v>
      </c>
      <c r="Q1136" s="2">
        <v>0</v>
      </c>
      <c r="R1136" s="2">
        <f t="shared" ref="R1136:R1140" si="1634">Q1136*3200</f>
        <v>0</v>
      </c>
      <c r="S1136" s="8">
        <v>0</v>
      </c>
      <c r="T1136" s="2">
        <v>0</v>
      </c>
      <c r="U1136" s="6">
        <f t="shared" si="1628"/>
        <v>4450</v>
      </c>
    </row>
    <row r="1137" spans="1:21" ht="22.9" customHeight="1" x14ac:dyDescent="0.25">
      <c r="A1137" s="39" t="s">
        <v>2100</v>
      </c>
      <c r="B1137" s="9" t="s">
        <v>908</v>
      </c>
      <c r="C1137" s="7">
        <f t="shared" si="1632"/>
        <v>3066050</v>
      </c>
      <c r="D1137" s="2">
        <f t="shared" si="1633"/>
        <v>0</v>
      </c>
      <c r="E1137" s="2">
        <v>0</v>
      </c>
      <c r="F1137" s="2">
        <v>0</v>
      </c>
      <c r="G1137" s="2">
        <v>0</v>
      </c>
      <c r="H1137" s="2">
        <v>0</v>
      </c>
      <c r="I1137" s="2">
        <v>0</v>
      </c>
      <c r="J1137" s="2">
        <v>0</v>
      </c>
      <c r="K1137" s="21">
        <v>0</v>
      </c>
      <c r="L1137" s="2">
        <v>0</v>
      </c>
      <c r="M1137" s="2">
        <v>689</v>
      </c>
      <c r="N1137" s="2">
        <f>M1137*4450</f>
        <v>3066050</v>
      </c>
      <c r="O1137" s="2">
        <v>0</v>
      </c>
      <c r="P1137" s="2">
        <v>0</v>
      </c>
      <c r="Q1137" s="2">
        <v>0</v>
      </c>
      <c r="R1137" s="2">
        <f t="shared" si="1634"/>
        <v>0</v>
      </c>
      <c r="S1137" s="8">
        <v>0</v>
      </c>
      <c r="T1137" s="2">
        <v>0</v>
      </c>
      <c r="U1137" s="6">
        <f t="shared" si="1628"/>
        <v>4450</v>
      </c>
    </row>
    <row r="1138" spans="1:21" ht="22.9" customHeight="1" x14ac:dyDescent="0.25">
      <c r="A1138" s="39" t="s">
        <v>2101</v>
      </c>
      <c r="B1138" s="9" t="s">
        <v>909</v>
      </c>
      <c r="C1138" s="7">
        <f t="shared" si="1632"/>
        <v>12508957</v>
      </c>
      <c r="D1138" s="2">
        <f t="shared" si="1633"/>
        <v>8024957</v>
      </c>
      <c r="E1138" s="2">
        <f>700*2631.13</f>
        <v>1841791</v>
      </c>
      <c r="F1138" s="2">
        <f>1300*2631.13</f>
        <v>3420469</v>
      </c>
      <c r="G1138" s="2">
        <f>350*2631.16</f>
        <v>920906</v>
      </c>
      <c r="H1138" s="2">
        <f>400*2631.13</f>
        <v>1052452</v>
      </c>
      <c r="I1138" s="2">
        <f>300*2631.13</f>
        <v>789339</v>
      </c>
      <c r="J1138" s="2">
        <v>0</v>
      </c>
      <c r="K1138" s="21">
        <v>0</v>
      </c>
      <c r="L1138" s="2">
        <v>0</v>
      </c>
      <c r="M1138" s="2">
        <v>0</v>
      </c>
      <c r="N1138" s="2">
        <f t="shared" ref="N1138" si="1635">M1138*6600</f>
        <v>0</v>
      </c>
      <c r="O1138" s="2">
        <v>0</v>
      </c>
      <c r="P1138" s="2">
        <v>0</v>
      </c>
      <c r="Q1138" s="2">
        <v>1370</v>
      </c>
      <c r="R1138" s="2">
        <f t="shared" si="1634"/>
        <v>4384000</v>
      </c>
      <c r="S1138" s="8">
        <v>0</v>
      </c>
      <c r="T1138" s="2">
        <v>100000</v>
      </c>
      <c r="U1138" s="6" t="e">
        <f t="shared" si="1628"/>
        <v>#DIV/0!</v>
      </c>
    </row>
    <row r="1139" spans="1:21" ht="22.9" customHeight="1" x14ac:dyDescent="0.25">
      <c r="A1139" s="39" t="s">
        <v>2102</v>
      </c>
      <c r="B1139" s="9" t="s">
        <v>910</v>
      </c>
      <c r="C1139" s="7">
        <f t="shared" si="1632"/>
        <v>12436600.5</v>
      </c>
      <c r="D1139" s="2">
        <f t="shared" si="1633"/>
        <v>7952600.5</v>
      </c>
      <c r="E1139" s="2">
        <f>700*2607.41</f>
        <v>1825187</v>
      </c>
      <c r="F1139" s="2">
        <f>1300*2607.41</f>
        <v>3389633</v>
      </c>
      <c r="G1139" s="2">
        <f>350*2607.41</f>
        <v>912593.5</v>
      </c>
      <c r="H1139" s="2">
        <f>400*2607.41</f>
        <v>1042964</v>
      </c>
      <c r="I1139" s="2">
        <f>300*2607.41</f>
        <v>782223</v>
      </c>
      <c r="J1139" s="2">
        <v>0</v>
      </c>
      <c r="K1139" s="21">
        <v>0</v>
      </c>
      <c r="L1139" s="2">
        <v>0</v>
      </c>
      <c r="M1139" s="2">
        <v>0</v>
      </c>
      <c r="N1139" s="2">
        <v>0</v>
      </c>
      <c r="O1139" s="2">
        <v>0</v>
      </c>
      <c r="P1139" s="2">
        <v>0</v>
      </c>
      <c r="Q1139" s="2">
        <v>1370</v>
      </c>
      <c r="R1139" s="2">
        <f t="shared" si="1634"/>
        <v>4384000</v>
      </c>
      <c r="S1139" s="8">
        <v>0</v>
      </c>
      <c r="T1139" s="2">
        <v>100000</v>
      </c>
      <c r="U1139" s="6" t="e">
        <f t="shared" si="1628"/>
        <v>#DIV/0!</v>
      </c>
    </row>
    <row r="1140" spans="1:21" ht="22.9" customHeight="1" x14ac:dyDescent="0.25">
      <c r="A1140" s="39" t="s">
        <v>2103</v>
      </c>
      <c r="B1140" s="9" t="s">
        <v>911</v>
      </c>
      <c r="C1140" s="7">
        <f t="shared" si="1632"/>
        <v>15295386</v>
      </c>
      <c r="D1140" s="2">
        <f t="shared" si="1633"/>
        <v>7999431</v>
      </c>
      <c r="E1140" s="2">
        <f>700*2622.76</f>
        <v>1835932.0000000002</v>
      </c>
      <c r="F1140" s="2">
        <f>1300*2622.77</f>
        <v>3409601</v>
      </c>
      <c r="G1140" s="2">
        <f>350*2622.76</f>
        <v>917966.00000000012</v>
      </c>
      <c r="H1140" s="2">
        <f>400*2622.76</f>
        <v>1049104</v>
      </c>
      <c r="I1140" s="2">
        <f>300*2622.76</f>
        <v>786828.00000000012</v>
      </c>
      <c r="J1140" s="2">
        <v>0</v>
      </c>
      <c r="K1140" s="21">
        <v>0</v>
      </c>
      <c r="L1140" s="2">
        <v>0</v>
      </c>
      <c r="M1140" s="2">
        <v>631.9</v>
      </c>
      <c r="N1140" s="2">
        <f>M1140*4450</f>
        <v>2811955</v>
      </c>
      <c r="O1140" s="2">
        <v>0</v>
      </c>
      <c r="P1140" s="2">
        <v>0</v>
      </c>
      <c r="Q1140" s="2">
        <v>1370</v>
      </c>
      <c r="R1140" s="2">
        <f t="shared" si="1634"/>
        <v>4384000</v>
      </c>
      <c r="S1140" s="8">
        <v>0</v>
      </c>
      <c r="T1140" s="2">
        <v>100000</v>
      </c>
      <c r="U1140" s="6">
        <f t="shared" si="1628"/>
        <v>4450</v>
      </c>
    </row>
    <row r="1141" spans="1:21" ht="22.9" customHeight="1" x14ac:dyDescent="0.25">
      <c r="A1141" s="39" t="s">
        <v>2104</v>
      </c>
      <c r="B1141" s="9" t="s">
        <v>912</v>
      </c>
      <c r="C1141" s="7">
        <f t="shared" ref="C1141:C1142" si="1636">D1141+L1141+N1141+P1141+R1141+S1141+T1141</f>
        <v>34204375</v>
      </c>
      <c r="D1141" s="2">
        <f t="shared" ref="D1141:D1142" si="1637">SUM(E1141:J1141)</f>
        <v>12509575</v>
      </c>
      <c r="E1141" s="2">
        <f>700*4101.5</f>
        <v>2871050</v>
      </c>
      <c r="F1141" s="2">
        <f>1300*4101.5</f>
        <v>5331950</v>
      </c>
      <c r="G1141" s="2">
        <f>350*4101.5</f>
        <v>1435525</v>
      </c>
      <c r="H1141" s="2">
        <f>400*4101.5</f>
        <v>1640600</v>
      </c>
      <c r="I1141" s="2">
        <f>300*4101.5</f>
        <v>1230450</v>
      </c>
      <c r="J1141" s="2">
        <v>0</v>
      </c>
      <c r="K1141" s="21">
        <v>0</v>
      </c>
      <c r="L1141" s="2">
        <v>0</v>
      </c>
      <c r="M1141" s="2">
        <v>710</v>
      </c>
      <c r="N1141" s="2">
        <f>M1141*6600</f>
        <v>4686000</v>
      </c>
      <c r="O1141" s="2">
        <v>0</v>
      </c>
      <c r="P1141" s="2">
        <v>0</v>
      </c>
      <c r="Q1141" s="2">
        <v>5284</v>
      </c>
      <c r="R1141" s="2">
        <f t="shared" ref="R1141:R1142" si="1638">Q1141*3200</f>
        <v>16908800</v>
      </c>
      <c r="S1141" s="8">
        <v>0</v>
      </c>
      <c r="T1141" s="2">
        <v>100000</v>
      </c>
      <c r="U1141" s="6">
        <f t="shared" si="1628"/>
        <v>6600</v>
      </c>
    </row>
    <row r="1142" spans="1:21" ht="22.9" customHeight="1" x14ac:dyDescent="0.25">
      <c r="A1142" s="39" t="s">
        <v>2105</v>
      </c>
      <c r="B1142" s="9" t="s">
        <v>913</v>
      </c>
      <c r="C1142" s="7">
        <f t="shared" si="1636"/>
        <v>1958000</v>
      </c>
      <c r="D1142" s="2">
        <f t="shared" si="1637"/>
        <v>0</v>
      </c>
      <c r="E1142" s="2">
        <v>0</v>
      </c>
      <c r="F1142" s="2">
        <v>0</v>
      </c>
      <c r="G1142" s="2">
        <v>0</v>
      </c>
      <c r="H1142" s="2">
        <v>0</v>
      </c>
      <c r="I1142" s="2">
        <v>0</v>
      </c>
      <c r="J1142" s="2">
        <v>0</v>
      </c>
      <c r="K1142" s="21">
        <v>0</v>
      </c>
      <c r="L1142" s="2">
        <v>0</v>
      </c>
      <c r="M1142" s="2">
        <v>440</v>
      </c>
      <c r="N1142" s="2">
        <f>M1142*4450</f>
        <v>1958000</v>
      </c>
      <c r="O1142" s="2">
        <v>0</v>
      </c>
      <c r="P1142" s="2">
        <v>0</v>
      </c>
      <c r="Q1142" s="2">
        <v>0</v>
      </c>
      <c r="R1142" s="2">
        <f t="shared" si="1638"/>
        <v>0</v>
      </c>
      <c r="S1142" s="8">
        <v>0</v>
      </c>
      <c r="T1142" s="2">
        <v>0</v>
      </c>
      <c r="U1142" s="6">
        <f t="shared" si="1628"/>
        <v>4450</v>
      </c>
    </row>
    <row r="1143" spans="1:21" ht="22.9" customHeight="1" x14ac:dyDescent="0.25">
      <c r="A1143" s="39" t="s">
        <v>2106</v>
      </c>
      <c r="B1143" s="9" t="s">
        <v>914</v>
      </c>
      <c r="C1143" s="7">
        <f t="shared" ref="C1143" si="1639">D1143+L1143+N1143+P1143+R1143+S1143+T1143</f>
        <v>4272000</v>
      </c>
      <c r="D1143" s="2">
        <f t="shared" ref="D1143" si="1640">SUM(E1143:J1143)</f>
        <v>0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  <c r="J1143" s="2">
        <v>0</v>
      </c>
      <c r="K1143" s="21">
        <v>0</v>
      </c>
      <c r="L1143" s="2">
        <v>0</v>
      </c>
      <c r="M1143" s="2">
        <v>960</v>
      </c>
      <c r="N1143" s="2">
        <f>M1143*4450</f>
        <v>4272000</v>
      </c>
      <c r="O1143" s="2">
        <v>0</v>
      </c>
      <c r="P1143" s="2">
        <v>0</v>
      </c>
      <c r="Q1143" s="2">
        <v>0</v>
      </c>
      <c r="R1143" s="2">
        <f t="shared" ref="R1143" si="1641">Q1143*3200</f>
        <v>0</v>
      </c>
      <c r="S1143" s="8">
        <v>0</v>
      </c>
      <c r="T1143" s="2">
        <v>0</v>
      </c>
      <c r="U1143" s="6">
        <f t="shared" si="1628"/>
        <v>4450</v>
      </c>
    </row>
    <row r="1144" spans="1:21" ht="22.9" customHeight="1" x14ac:dyDescent="0.25">
      <c r="A1144" s="39" t="s">
        <v>2107</v>
      </c>
      <c r="B1144" s="9" t="s">
        <v>915</v>
      </c>
      <c r="C1144" s="7">
        <f t="shared" ref="C1144:C1145" si="1642">D1144+L1144+N1144+P1144+R1144+S1144+T1144</f>
        <v>4272000</v>
      </c>
      <c r="D1144" s="2">
        <f t="shared" ref="D1144:D1145" si="1643">SUM(E1144:J1144)</f>
        <v>0</v>
      </c>
      <c r="E1144" s="2">
        <v>0</v>
      </c>
      <c r="F1144" s="2">
        <v>0</v>
      </c>
      <c r="G1144" s="2">
        <v>0</v>
      </c>
      <c r="H1144" s="2">
        <v>0</v>
      </c>
      <c r="I1144" s="2">
        <v>0</v>
      </c>
      <c r="J1144" s="2">
        <v>0</v>
      </c>
      <c r="K1144" s="21">
        <v>0</v>
      </c>
      <c r="L1144" s="2">
        <v>0</v>
      </c>
      <c r="M1144" s="2">
        <v>960</v>
      </c>
      <c r="N1144" s="2">
        <f>M1144*4450</f>
        <v>4272000</v>
      </c>
      <c r="O1144" s="2">
        <v>0</v>
      </c>
      <c r="P1144" s="2">
        <v>0</v>
      </c>
      <c r="Q1144" s="2">
        <v>0</v>
      </c>
      <c r="R1144" s="2">
        <f t="shared" ref="R1144:R1145" si="1644">Q1144*3200</f>
        <v>0</v>
      </c>
      <c r="S1144" s="8">
        <v>0</v>
      </c>
      <c r="T1144" s="2">
        <v>0</v>
      </c>
      <c r="U1144" s="6">
        <f t="shared" si="1628"/>
        <v>4450</v>
      </c>
    </row>
    <row r="1145" spans="1:21" ht="22.9" customHeight="1" x14ac:dyDescent="0.25">
      <c r="A1145" s="39" t="s">
        <v>2108</v>
      </c>
      <c r="B1145" s="9" t="s">
        <v>916</v>
      </c>
      <c r="C1145" s="7">
        <f t="shared" si="1642"/>
        <v>4554000</v>
      </c>
      <c r="D1145" s="2">
        <f t="shared" si="1643"/>
        <v>0</v>
      </c>
      <c r="E1145" s="2">
        <v>0</v>
      </c>
      <c r="F1145" s="2">
        <v>0</v>
      </c>
      <c r="G1145" s="2">
        <v>0</v>
      </c>
      <c r="H1145" s="2">
        <v>0</v>
      </c>
      <c r="I1145" s="2">
        <v>0</v>
      </c>
      <c r="J1145" s="2">
        <v>0</v>
      </c>
      <c r="K1145" s="21">
        <v>0</v>
      </c>
      <c r="L1145" s="2">
        <v>0</v>
      </c>
      <c r="M1145" s="2">
        <v>690</v>
      </c>
      <c r="N1145" s="2">
        <f>M1145*6600</f>
        <v>4554000</v>
      </c>
      <c r="O1145" s="2">
        <v>0</v>
      </c>
      <c r="P1145" s="2">
        <v>0</v>
      </c>
      <c r="Q1145" s="2">
        <v>0</v>
      </c>
      <c r="R1145" s="2">
        <f t="shared" si="1644"/>
        <v>0</v>
      </c>
      <c r="S1145" s="8">
        <v>0</v>
      </c>
      <c r="T1145" s="2">
        <v>0</v>
      </c>
      <c r="U1145" s="6">
        <f t="shared" si="1628"/>
        <v>6600</v>
      </c>
    </row>
    <row r="1146" spans="1:21" ht="22.9" customHeight="1" x14ac:dyDescent="0.25">
      <c r="A1146" s="39" t="s">
        <v>2109</v>
      </c>
      <c r="B1146" s="9" t="s">
        <v>917</v>
      </c>
      <c r="C1146" s="7">
        <f t="shared" ref="C1146" si="1645">D1146+L1146+N1146+P1146+R1146+S1146+T1146</f>
        <v>4843825</v>
      </c>
      <c r="D1146" s="2">
        <f t="shared" ref="D1146" si="1646">SUM(E1146:J1146)</f>
        <v>0</v>
      </c>
      <c r="E1146" s="2">
        <v>0</v>
      </c>
      <c r="F1146" s="2">
        <v>0</v>
      </c>
      <c r="G1146" s="2">
        <v>0</v>
      </c>
      <c r="H1146" s="2">
        <v>0</v>
      </c>
      <c r="I1146" s="2">
        <v>0</v>
      </c>
      <c r="J1146" s="2">
        <v>0</v>
      </c>
      <c r="K1146" s="21">
        <v>0</v>
      </c>
      <c r="L1146" s="2">
        <v>0</v>
      </c>
      <c r="M1146" s="2">
        <v>1088.5</v>
      </c>
      <c r="N1146" s="2">
        <f>M1146*4450</f>
        <v>4843825</v>
      </c>
      <c r="O1146" s="2">
        <v>0</v>
      </c>
      <c r="P1146" s="2">
        <v>0</v>
      </c>
      <c r="Q1146" s="2">
        <v>0</v>
      </c>
      <c r="R1146" s="2">
        <f t="shared" ref="R1146" si="1647">Q1146*3200</f>
        <v>0</v>
      </c>
      <c r="S1146" s="8">
        <v>0</v>
      </c>
      <c r="T1146" s="2">
        <v>0</v>
      </c>
      <c r="U1146" s="6">
        <f t="shared" si="1628"/>
        <v>4450</v>
      </c>
    </row>
    <row r="1147" spans="1:21" ht="22.9" customHeight="1" x14ac:dyDescent="0.25">
      <c r="A1147" s="39" t="s">
        <v>2110</v>
      </c>
      <c r="B1147" s="9" t="s">
        <v>918</v>
      </c>
      <c r="C1147" s="7">
        <f t="shared" ref="C1147" si="1648">D1147+L1147+N1147+P1147+R1147+S1147+T1147</f>
        <v>3807420</v>
      </c>
      <c r="D1147" s="2">
        <f t="shared" ref="D1147" si="1649">SUM(E1147:J1147)</f>
        <v>0</v>
      </c>
      <c r="E1147" s="2">
        <v>0</v>
      </c>
      <c r="F1147" s="2">
        <v>0</v>
      </c>
      <c r="G1147" s="2">
        <v>0</v>
      </c>
      <c r="H1147" s="2">
        <v>0</v>
      </c>
      <c r="I1147" s="2">
        <v>0</v>
      </c>
      <c r="J1147" s="2">
        <v>0</v>
      </c>
      <c r="K1147" s="21">
        <v>0</v>
      </c>
      <c r="L1147" s="2">
        <v>0</v>
      </c>
      <c r="M1147" s="2">
        <v>855.6</v>
      </c>
      <c r="N1147" s="2">
        <f>M1147*4450</f>
        <v>3807420</v>
      </c>
      <c r="O1147" s="2">
        <v>0</v>
      </c>
      <c r="P1147" s="2">
        <v>0</v>
      </c>
      <c r="Q1147" s="2">
        <v>0</v>
      </c>
      <c r="R1147" s="2">
        <f t="shared" ref="R1147" si="1650">Q1147*3200</f>
        <v>0</v>
      </c>
      <c r="S1147" s="8">
        <v>0</v>
      </c>
      <c r="T1147" s="2">
        <v>0</v>
      </c>
      <c r="U1147" s="6">
        <f t="shared" si="1628"/>
        <v>4450</v>
      </c>
    </row>
    <row r="1148" spans="1:21" ht="22.9" customHeight="1" x14ac:dyDescent="0.25">
      <c r="A1148" s="39" t="s">
        <v>2111</v>
      </c>
      <c r="B1148" s="9" t="s">
        <v>920</v>
      </c>
      <c r="C1148" s="7">
        <f t="shared" ref="C1148:C1149" si="1651">D1148+L1148+N1148+P1148+R1148+S1148+T1148</f>
        <v>17661625.5</v>
      </c>
      <c r="D1148" s="2">
        <f t="shared" ref="D1148:D1149" si="1652">SUM(E1148:J1148)</f>
        <v>17561625.5</v>
      </c>
      <c r="E1148" s="2">
        <f>700*5757.91</f>
        <v>4030537</v>
      </c>
      <c r="F1148" s="2">
        <f>1300*5757.91</f>
        <v>7485283</v>
      </c>
      <c r="G1148" s="2">
        <f>350*5757.91</f>
        <v>2015268.5</v>
      </c>
      <c r="H1148" s="2">
        <f>400*5757.91</f>
        <v>2303164</v>
      </c>
      <c r="I1148" s="2">
        <f>300*5757.91</f>
        <v>1727373</v>
      </c>
      <c r="J1148" s="2">
        <v>0</v>
      </c>
      <c r="K1148" s="21">
        <v>0</v>
      </c>
      <c r="L1148" s="2">
        <v>0</v>
      </c>
      <c r="M1148" s="2">
        <v>0</v>
      </c>
      <c r="N1148" s="2">
        <f>M1148*4450</f>
        <v>0</v>
      </c>
      <c r="O1148" s="2">
        <v>0</v>
      </c>
      <c r="P1148" s="2">
        <f>O1148*1200</f>
        <v>0</v>
      </c>
      <c r="Q1148" s="2">
        <v>0</v>
      </c>
      <c r="R1148" s="2">
        <f t="shared" ref="R1148:R1149" si="1653">Q1148*3200</f>
        <v>0</v>
      </c>
      <c r="S1148" s="8">
        <v>0</v>
      </c>
      <c r="T1148" s="2">
        <v>100000</v>
      </c>
      <c r="U1148" s="6" t="e">
        <f t="shared" si="1628"/>
        <v>#DIV/0!</v>
      </c>
    </row>
    <row r="1149" spans="1:21" ht="22.9" customHeight="1" x14ac:dyDescent="0.25">
      <c r="A1149" s="39" t="s">
        <v>2112</v>
      </c>
      <c r="B1149" s="9" t="s">
        <v>921</v>
      </c>
      <c r="C1149" s="7">
        <f t="shared" si="1651"/>
        <v>2861100</v>
      </c>
      <c r="D1149" s="2">
        <f t="shared" si="1652"/>
        <v>0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  <c r="J1149" s="2">
        <v>0</v>
      </c>
      <c r="K1149" s="21">
        <v>0</v>
      </c>
      <c r="L1149" s="2">
        <v>0</v>
      </c>
      <c r="M1149" s="2">
        <v>433.5</v>
      </c>
      <c r="N1149" s="2">
        <f t="shared" ref="N1149" si="1654">M1149*6600</f>
        <v>2861100</v>
      </c>
      <c r="O1149" s="2">
        <v>0</v>
      </c>
      <c r="P1149" s="2">
        <v>0</v>
      </c>
      <c r="Q1149" s="2">
        <v>0</v>
      </c>
      <c r="R1149" s="2">
        <f t="shared" si="1653"/>
        <v>0</v>
      </c>
      <c r="S1149" s="8">
        <v>0</v>
      </c>
      <c r="T1149" s="2">
        <v>0</v>
      </c>
      <c r="U1149" s="6">
        <f t="shared" si="1628"/>
        <v>6600</v>
      </c>
    </row>
    <row r="1150" spans="1:21" ht="22.9" customHeight="1" x14ac:dyDescent="0.25">
      <c r="A1150" s="39" t="s">
        <v>2113</v>
      </c>
      <c r="B1150" s="9" t="s">
        <v>922</v>
      </c>
      <c r="C1150" s="7">
        <f t="shared" ref="C1150:C1151" si="1655">D1150+L1150+N1150+P1150+R1150+S1150+T1150</f>
        <v>3788400</v>
      </c>
      <c r="D1150" s="2">
        <f t="shared" ref="D1150:D1151" si="1656">SUM(E1150:J1150)</f>
        <v>0</v>
      </c>
      <c r="E1150" s="2">
        <v>0</v>
      </c>
      <c r="F1150" s="2">
        <v>0</v>
      </c>
      <c r="G1150" s="2">
        <v>0</v>
      </c>
      <c r="H1150" s="2">
        <v>0</v>
      </c>
      <c r="I1150" s="2">
        <v>0</v>
      </c>
      <c r="J1150" s="2">
        <v>0</v>
      </c>
      <c r="K1150" s="21">
        <v>0</v>
      </c>
      <c r="L1150" s="2">
        <v>0</v>
      </c>
      <c r="M1150" s="2">
        <v>574</v>
      </c>
      <c r="N1150" s="2">
        <f t="shared" ref="N1150:N1151" si="1657">M1150*6600</f>
        <v>3788400</v>
      </c>
      <c r="O1150" s="2">
        <v>0</v>
      </c>
      <c r="P1150" s="2">
        <v>0</v>
      </c>
      <c r="Q1150" s="2">
        <v>0</v>
      </c>
      <c r="R1150" s="2">
        <f t="shared" ref="R1150:R1151" si="1658">Q1150*3200</f>
        <v>0</v>
      </c>
      <c r="S1150" s="8">
        <v>0</v>
      </c>
      <c r="T1150" s="2">
        <v>0</v>
      </c>
      <c r="U1150" s="6">
        <f t="shared" si="1628"/>
        <v>6600</v>
      </c>
    </row>
    <row r="1151" spans="1:21" ht="22.9" customHeight="1" x14ac:dyDescent="0.25">
      <c r="A1151" s="39" t="s">
        <v>2114</v>
      </c>
      <c r="B1151" s="9" t="s">
        <v>923</v>
      </c>
      <c r="C1151" s="7">
        <f t="shared" si="1655"/>
        <v>3366000</v>
      </c>
      <c r="D1151" s="2">
        <f t="shared" si="1656"/>
        <v>0</v>
      </c>
      <c r="E1151" s="2">
        <v>0</v>
      </c>
      <c r="F1151" s="2">
        <v>0</v>
      </c>
      <c r="G1151" s="2">
        <v>0</v>
      </c>
      <c r="H1151" s="2">
        <v>0</v>
      </c>
      <c r="I1151" s="2">
        <v>0</v>
      </c>
      <c r="J1151" s="2">
        <v>0</v>
      </c>
      <c r="K1151" s="21">
        <v>0</v>
      </c>
      <c r="L1151" s="2">
        <v>0</v>
      </c>
      <c r="M1151" s="2">
        <v>510</v>
      </c>
      <c r="N1151" s="2">
        <f t="shared" si="1657"/>
        <v>3366000</v>
      </c>
      <c r="O1151" s="2">
        <v>0</v>
      </c>
      <c r="P1151" s="2">
        <v>0</v>
      </c>
      <c r="Q1151" s="2">
        <v>0</v>
      </c>
      <c r="R1151" s="2">
        <f t="shared" si="1658"/>
        <v>0</v>
      </c>
      <c r="S1151" s="8">
        <v>0</v>
      </c>
      <c r="T1151" s="2">
        <v>0</v>
      </c>
      <c r="U1151" s="6">
        <f t="shared" si="1628"/>
        <v>6600</v>
      </c>
    </row>
    <row r="1152" spans="1:21" ht="22.9" customHeight="1" x14ac:dyDescent="0.25">
      <c r="A1152" s="39" t="s">
        <v>2115</v>
      </c>
      <c r="B1152" s="20" t="s">
        <v>924</v>
      </c>
      <c r="C1152" s="7">
        <f t="shared" ref="C1152" si="1659">D1152+L1152+N1152+P1152+R1152+S1152+T1152</f>
        <v>3267000</v>
      </c>
      <c r="D1152" s="2">
        <f t="shared" ref="D1152" si="1660">SUM(E1152:J1152)</f>
        <v>0</v>
      </c>
      <c r="E1152" s="2">
        <v>0</v>
      </c>
      <c r="F1152" s="2">
        <v>0</v>
      </c>
      <c r="G1152" s="2">
        <v>0</v>
      </c>
      <c r="H1152" s="2">
        <v>0</v>
      </c>
      <c r="I1152" s="2">
        <v>0</v>
      </c>
      <c r="J1152" s="2">
        <v>0</v>
      </c>
      <c r="K1152" s="21">
        <v>0</v>
      </c>
      <c r="L1152" s="2">
        <v>0</v>
      </c>
      <c r="M1152" s="2">
        <v>495</v>
      </c>
      <c r="N1152" s="2">
        <f t="shared" ref="N1152" si="1661">M1152*6600</f>
        <v>3267000</v>
      </c>
      <c r="O1152" s="2">
        <v>0</v>
      </c>
      <c r="P1152" s="2">
        <v>0</v>
      </c>
      <c r="Q1152" s="2">
        <v>0</v>
      </c>
      <c r="R1152" s="2">
        <f t="shared" ref="R1152" si="1662">Q1152*3200</f>
        <v>0</v>
      </c>
      <c r="S1152" s="8">
        <v>0</v>
      </c>
      <c r="T1152" s="2">
        <v>0</v>
      </c>
      <c r="U1152" s="6">
        <f t="shared" si="1628"/>
        <v>6600</v>
      </c>
    </row>
    <row r="1153" spans="1:29" ht="22.9" customHeight="1" x14ac:dyDescent="0.25">
      <c r="A1153" s="39" t="s">
        <v>2116</v>
      </c>
      <c r="B1153" s="9" t="s">
        <v>925</v>
      </c>
      <c r="C1153" s="7">
        <f t="shared" ref="C1153" si="1663">D1153+L1153+N1153+P1153+R1153+S1153+T1153</f>
        <v>3310800</v>
      </c>
      <c r="D1153" s="2">
        <f t="shared" ref="D1153" si="1664">SUM(E1153:J1153)</f>
        <v>0</v>
      </c>
      <c r="E1153" s="2">
        <v>0</v>
      </c>
      <c r="F1153" s="2">
        <v>0</v>
      </c>
      <c r="G1153" s="2">
        <v>0</v>
      </c>
      <c r="H1153" s="2">
        <v>0</v>
      </c>
      <c r="I1153" s="2">
        <v>0</v>
      </c>
      <c r="J1153" s="2">
        <v>0</v>
      </c>
      <c r="K1153" s="21">
        <v>0</v>
      </c>
      <c r="L1153" s="2">
        <v>0</v>
      </c>
      <c r="M1153" s="2">
        <v>744</v>
      </c>
      <c r="N1153" s="2">
        <f>M1153*4450</f>
        <v>3310800</v>
      </c>
      <c r="O1153" s="2">
        <v>0</v>
      </c>
      <c r="P1153" s="2">
        <v>0</v>
      </c>
      <c r="Q1153" s="2">
        <v>0</v>
      </c>
      <c r="R1153" s="2">
        <f t="shared" ref="R1153" si="1665">Q1153*3200</f>
        <v>0</v>
      </c>
      <c r="S1153" s="8">
        <v>0</v>
      </c>
      <c r="T1153" s="2">
        <v>0</v>
      </c>
      <c r="U1153" s="6">
        <f t="shared" si="1628"/>
        <v>4450</v>
      </c>
    </row>
    <row r="1154" spans="1:29" ht="22.9" customHeight="1" x14ac:dyDescent="0.25">
      <c r="A1154" s="39" t="s">
        <v>2117</v>
      </c>
      <c r="B1154" s="9" t="s">
        <v>926</v>
      </c>
      <c r="C1154" s="7">
        <f t="shared" ref="C1154" si="1666">D1154+L1154+N1154+P1154+R1154+S1154+T1154</f>
        <v>5647620</v>
      </c>
      <c r="D1154" s="2">
        <f t="shared" ref="D1154" si="1667">SUM(E1154:J1154)</f>
        <v>0</v>
      </c>
      <c r="E1154" s="2">
        <v>0</v>
      </c>
      <c r="F1154" s="2">
        <v>0</v>
      </c>
      <c r="G1154" s="2">
        <v>0</v>
      </c>
      <c r="H1154" s="2">
        <v>0</v>
      </c>
      <c r="I1154" s="2">
        <v>0</v>
      </c>
      <c r="J1154" s="2">
        <v>0</v>
      </c>
      <c r="K1154" s="21">
        <v>0</v>
      </c>
      <c r="L1154" s="2">
        <v>0</v>
      </c>
      <c r="M1154" s="2">
        <v>855.7</v>
      </c>
      <c r="N1154" s="2">
        <f>M1154*6600</f>
        <v>5647620</v>
      </c>
      <c r="O1154" s="2">
        <v>0</v>
      </c>
      <c r="P1154" s="2">
        <v>0</v>
      </c>
      <c r="Q1154" s="2">
        <v>0</v>
      </c>
      <c r="R1154" s="2">
        <f t="shared" ref="R1154" si="1668">Q1154*3200</f>
        <v>0</v>
      </c>
      <c r="S1154" s="8">
        <v>0</v>
      </c>
      <c r="T1154" s="2">
        <v>0</v>
      </c>
      <c r="U1154" s="6">
        <f t="shared" si="1628"/>
        <v>6600</v>
      </c>
    </row>
    <row r="1155" spans="1:29" ht="22.9" customHeight="1" x14ac:dyDescent="0.25">
      <c r="A1155" s="39" t="s">
        <v>2118</v>
      </c>
      <c r="B1155" s="9" t="s">
        <v>927</v>
      </c>
      <c r="C1155" s="7">
        <f t="shared" ref="C1155:C1157" si="1669">D1155+L1155+N1155+P1155+R1155+S1155+T1155</f>
        <v>5742660</v>
      </c>
      <c r="D1155" s="2">
        <f t="shared" ref="D1155:D1157" si="1670">SUM(E1155:J1155)</f>
        <v>0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  <c r="J1155" s="2">
        <v>0</v>
      </c>
      <c r="K1155" s="21">
        <v>0</v>
      </c>
      <c r="L1155" s="2">
        <v>0</v>
      </c>
      <c r="M1155" s="2">
        <v>870.1</v>
      </c>
      <c r="N1155" s="2">
        <f t="shared" ref="N1155:N1156" si="1671">M1155*6600</f>
        <v>5742660</v>
      </c>
      <c r="O1155" s="2">
        <v>0</v>
      </c>
      <c r="P1155" s="2">
        <v>0</v>
      </c>
      <c r="Q1155" s="2">
        <v>0</v>
      </c>
      <c r="R1155" s="2">
        <f t="shared" ref="R1155:R1157" si="1672">Q1155*3200</f>
        <v>0</v>
      </c>
      <c r="S1155" s="8">
        <v>0</v>
      </c>
      <c r="T1155" s="2">
        <v>0</v>
      </c>
      <c r="U1155" s="6">
        <f t="shared" si="1628"/>
        <v>6600</v>
      </c>
    </row>
    <row r="1156" spans="1:29" ht="22.9" customHeight="1" x14ac:dyDescent="0.25">
      <c r="A1156" s="39" t="s">
        <v>2119</v>
      </c>
      <c r="B1156" s="9" t="s">
        <v>928</v>
      </c>
      <c r="C1156" s="7">
        <f t="shared" si="1669"/>
        <v>4230600</v>
      </c>
      <c r="D1156" s="2">
        <f t="shared" si="1670"/>
        <v>0</v>
      </c>
      <c r="E1156" s="2">
        <v>0</v>
      </c>
      <c r="F1156" s="2">
        <v>0</v>
      </c>
      <c r="G1156" s="2">
        <v>0</v>
      </c>
      <c r="H1156" s="2">
        <v>0</v>
      </c>
      <c r="I1156" s="2">
        <v>0</v>
      </c>
      <c r="J1156" s="2">
        <v>0</v>
      </c>
      <c r="K1156" s="21">
        <v>0</v>
      </c>
      <c r="L1156" s="2">
        <v>0</v>
      </c>
      <c r="M1156" s="2">
        <v>641</v>
      </c>
      <c r="N1156" s="2">
        <f t="shared" si="1671"/>
        <v>4230600</v>
      </c>
      <c r="O1156" s="2">
        <v>0</v>
      </c>
      <c r="P1156" s="2">
        <v>0</v>
      </c>
      <c r="Q1156" s="2">
        <v>0</v>
      </c>
      <c r="R1156" s="2">
        <f t="shared" si="1672"/>
        <v>0</v>
      </c>
      <c r="S1156" s="8">
        <v>0</v>
      </c>
      <c r="T1156" s="2">
        <v>0</v>
      </c>
      <c r="U1156" s="6">
        <f t="shared" si="1628"/>
        <v>6600</v>
      </c>
    </row>
    <row r="1157" spans="1:29" ht="22.9" customHeight="1" x14ac:dyDescent="0.25">
      <c r="A1157" s="39" t="s">
        <v>2120</v>
      </c>
      <c r="B1157" s="9" t="s">
        <v>929</v>
      </c>
      <c r="C1157" s="7">
        <f t="shared" si="1669"/>
        <v>1920000</v>
      </c>
      <c r="D1157" s="2">
        <f t="shared" si="1670"/>
        <v>0</v>
      </c>
      <c r="E1157" s="2">
        <v>0</v>
      </c>
      <c r="F1157" s="2">
        <v>0</v>
      </c>
      <c r="G1157" s="2">
        <v>0</v>
      </c>
      <c r="H1157" s="2">
        <v>0</v>
      </c>
      <c r="I1157" s="2">
        <v>0</v>
      </c>
      <c r="J1157" s="2">
        <v>0</v>
      </c>
      <c r="K1157" s="21">
        <v>0</v>
      </c>
      <c r="L1157" s="2">
        <v>0</v>
      </c>
      <c r="M1157" s="2">
        <v>0</v>
      </c>
      <c r="N1157" s="2">
        <f>M1157*6600</f>
        <v>0</v>
      </c>
      <c r="O1157" s="2">
        <v>0</v>
      </c>
      <c r="P1157" s="2">
        <v>0</v>
      </c>
      <c r="Q1157" s="2">
        <v>600</v>
      </c>
      <c r="R1157" s="2">
        <f t="shared" si="1672"/>
        <v>1920000</v>
      </c>
      <c r="S1157" s="8">
        <v>0</v>
      </c>
      <c r="T1157" s="2">
        <v>0</v>
      </c>
      <c r="U1157" s="6" t="e">
        <f t="shared" si="1628"/>
        <v>#DIV/0!</v>
      </c>
    </row>
    <row r="1158" spans="1:29" ht="22.9" customHeight="1" x14ac:dyDescent="0.25">
      <c r="A1158" s="39" t="s">
        <v>2121</v>
      </c>
      <c r="B1158" s="9" t="s">
        <v>930</v>
      </c>
      <c r="C1158" s="7">
        <f t="shared" ref="C1158" si="1673">D1158+L1158+N1158+P1158+R1158+S1158+T1158</f>
        <v>3858595</v>
      </c>
      <c r="D1158" s="2">
        <f t="shared" ref="D1158" si="1674">SUM(E1158:J1158)</f>
        <v>0</v>
      </c>
      <c r="E1158" s="2">
        <v>0</v>
      </c>
      <c r="F1158" s="2">
        <v>0</v>
      </c>
      <c r="G1158" s="2">
        <v>0</v>
      </c>
      <c r="H1158" s="2">
        <v>0</v>
      </c>
      <c r="I1158" s="2">
        <v>0</v>
      </c>
      <c r="J1158" s="2">
        <v>0</v>
      </c>
      <c r="K1158" s="21">
        <v>0</v>
      </c>
      <c r="L1158" s="2">
        <v>0</v>
      </c>
      <c r="M1158" s="2">
        <v>867.1</v>
      </c>
      <c r="N1158" s="2">
        <f>M1158*4450</f>
        <v>3858595</v>
      </c>
      <c r="O1158" s="2">
        <v>0</v>
      </c>
      <c r="P1158" s="2">
        <v>0</v>
      </c>
      <c r="Q1158" s="2">
        <v>0</v>
      </c>
      <c r="R1158" s="2">
        <f t="shared" ref="R1158" si="1675">Q1158*3200</f>
        <v>0</v>
      </c>
      <c r="S1158" s="8">
        <v>0</v>
      </c>
      <c r="T1158" s="2">
        <v>0</v>
      </c>
      <c r="U1158" s="6">
        <f t="shared" si="1628"/>
        <v>4450</v>
      </c>
    </row>
    <row r="1159" spans="1:29" ht="22.9" customHeight="1" x14ac:dyDescent="0.25">
      <c r="A1159" s="39" t="s">
        <v>2122</v>
      </c>
      <c r="B1159" s="9" t="s">
        <v>931</v>
      </c>
      <c r="C1159" s="7">
        <f t="shared" ref="C1159" si="1676">D1159+L1159+N1159+P1159+R1159+S1159+T1159</f>
        <v>4365240</v>
      </c>
      <c r="D1159" s="2">
        <f t="shared" ref="D1159" si="1677">SUM(E1159:J1159)</f>
        <v>0</v>
      </c>
      <c r="E1159" s="2">
        <v>0</v>
      </c>
      <c r="F1159" s="2">
        <v>0</v>
      </c>
      <c r="G1159" s="2">
        <v>0</v>
      </c>
      <c r="H1159" s="2">
        <v>0</v>
      </c>
      <c r="I1159" s="2">
        <v>0</v>
      </c>
      <c r="J1159" s="2">
        <v>0</v>
      </c>
      <c r="K1159" s="21">
        <v>0</v>
      </c>
      <c r="L1159" s="2">
        <v>0</v>
      </c>
      <c r="M1159" s="2">
        <v>661.4</v>
      </c>
      <c r="N1159" s="2">
        <f>M1159*6600</f>
        <v>4365240</v>
      </c>
      <c r="O1159" s="2">
        <v>0</v>
      </c>
      <c r="P1159" s="2">
        <v>0</v>
      </c>
      <c r="Q1159" s="2">
        <v>0</v>
      </c>
      <c r="R1159" s="2">
        <f t="shared" ref="R1159" si="1678">Q1159*3200</f>
        <v>0</v>
      </c>
      <c r="S1159" s="8">
        <v>0</v>
      </c>
      <c r="T1159" s="2">
        <v>0</v>
      </c>
      <c r="U1159" s="6">
        <f t="shared" si="1628"/>
        <v>6600</v>
      </c>
    </row>
    <row r="1160" spans="1:29" ht="22.9" customHeight="1" x14ac:dyDescent="0.25">
      <c r="A1160" s="39" t="s">
        <v>2123</v>
      </c>
      <c r="B1160" s="9" t="s">
        <v>932</v>
      </c>
      <c r="C1160" s="7">
        <f t="shared" ref="C1160:C1162" si="1679">D1160+L1160+N1160+P1160+R1160+S1160+T1160</f>
        <v>4029920</v>
      </c>
      <c r="D1160" s="2">
        <f t="shared" ref="D1160:D1162" si="1680">SUM(E1160:J1160)</f>
        <v>0</v>
      </c>
      <c r="E1160" s="2">
        <v>0</v>
      </c>
      <c r="F1160" s="2">
        <v>0</v>
      </c>
      <c r="G1160" s="2">
        <v>0</v>
      </c>
      <c r="H1160" s="2">
        <v>0</v>
      </c>
      <c r="I1160" s="2">
        <v>0</v>
      </c>
      <c r="J1160" s="2">
        <v>0</v>
      </c>
      <c r="K1160" s="21">
        <v>0</v>
      </c>
      <c r="L1160" s="2">
        <v>0</v>
      </c>
      <c r="M1160" s="2">
        <v>905.6</v>
      </c>
      <c r="N1160" s="2">
        <f>M1160*4450</f>
        <v>4029920</v>
      </c>
      <c r="O1160" s="2">
        <v>0</v>
      </c>
      <c r="P1160" s="2">
        <v>0</v>
      </c>
      <c r="Q1160" s="2">
        <v>0</v>
      </c>
      <c r="R1160" s="2">
        <f t="shared" ref="R1160:R1162" si="1681">Q1160*3200</f>
        <v>0</v>
      </c>
      <c r="S1160" s="8">
        <v>0</v>
      </c>
      <c r="T1160" s="2">
        <v>0</v>
      </c>
      <c r="U1160" s="6">
        <f t="shared" si="1628"/>
        <v>4450</v>
      </c>
    </row>
    <row r="1161" spans="1:29" ht="22.9" customHeight="1" x14ac:dyDescent="0.25">
      <c r="A1161" s="39" t="s">
        <v>2124</v>
      </c>
      <c r="B1161" s="9" t="s">
        <v>933</v>
      </c>
      <c r="C1161" s="7">
        <f t="shared" si="1679"/>
        <v>3984530</v>
      </c>
      <c r="D1161" s="2">
        <f t="shared" si="1680"/>
        <v>0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  <c r="J1161" s="2">
        <v>0</v>
      </c>
      <c r="K1161" s="21">
        <v>0</v>
      </c>
      <c r="L1161" s="2">
        <v>0</v>
      </c>
      <c r="M1161" s="2">
        <v>895.4</v>
      </c>
      <c r="N1161" s="2">
        <f>M1161*4450</f>
        <v>3984530</v>
      </c>
      <c r="O1161" s="2">
        <v>0</v>
      </c>
      <c r="P1161" s="2">
        <v>0</v>
      </c>
      <c r="Q1161" s="2">
        <v>0</v>
      </c>
      <c r="R1161" s="2">
        <f t="shared" si="1681"/>
        <v>0</v>
      </c>
      <c r="S1161" s="8">
        <v>0</v>
      </c>
      <c r="T1161" s="2">
        <v>0</v>
      </c>
      <c r="U1161" s="6">
        <f t="shared" si="1628"/>
        <v>4450</v>
      </c>
    </row>
    <row r="1162" spans="1:29" ht="22.9" customHeight="1" x14ac:dyDescent="0.25">
      <c r="A1162" s="39" t="s">
        <v>2125</v>
      </c>
      <c r="B1162" s="9" t="s">
        <v>934</v>
      </c>
      <c r="C1162" s="7">
        <f t="shared" si="1679"/>
        <v>21442121</v>
      </c>
      <c r="D1162" s="2">
        <f t="shared" si="1680"/>
        <v>13974185</v>
      </c>
      <c r="E1162" s="2">
        <f>700*4581.7</f>
        <v>3207190</v>
      </c>
      <c r="F1162" s="2">
        <f>1300*4581.7</f>
        <v>5956210</v>
      </c>
      <c r="G1162" s="2">
        <f>350*4581.7</f>
        <v>1603595</v>
      </c>
      <c r="H1162" s="2">
        <f>400*4581.7</f>
        <v>1832680</v>
      </c>
      <c r="I1162" s="2">
        <f>300*4581.7</f>
        <v>1374510</v>
      </c>
      <c r="J1162" s="2">
        <v>0</v>
      </c>
      <c r="K1162" s="21">
        <v>0</v>
      </c>
      <c r="L1162" s="2">
        <v>0</v>
      </c>
      <c r="M1162" s="2">
        <v>0</v>
      </c>
      <c r="N1162" s="2">
        <v>0</v>
      </c>
      <c r="O1162" s="2">
        <v>0</v>
      </c>
      <c r="P1162" s="2">
        <v>0</v>
      </c>
      <c r="Q1162" s="2">
        <v>2302.48</v>
      </c>
      <c r="R1162" s="2">
        <f t="shared" si="1681"/>
        <v>7367936</v>
      </c>
      <c r="S1162" s="8">
        <v>0</v>
      </c>
      <c r="T1162" s="2">
        <v>100000</v>
      </c>
      <c r="U1162" s="6" t="e">
        <f t="shared" si="1628"/>
        <v>#DIV/0!</v>
      </c>
    </row>
    <row r="1163" spans="1:29" ht="22.9" customHeight="1" x14ac:dyDescent="0.25">
      <c r="A1163" s="39" t="s">
        <v>2126</v>
      </c>
      <c r="B1163" s="9" t="s">
        <v>935</v>
      </c>
      <c r="C1163" s="7">
        <f t="shared" ref="C1163" si="1682">D1163+L1163+N1163+P1163+R1163+S1163+T1163</f>
        <v>3833675</v>
      </c>
      <c r="D1163" s="2">
        <f t="shared" ref="D1163" si="1683">SUM(E1163:J1163)</f>
        <v>0</v>
      </c>
      <c r="E1163" s="2">
        <v>0</v>
      </c>
      <c r="F1163" s="2">
        <v>0</v>
      </c>
      <c r="G1163" s="2">
        <v>0</v>
      </c>
      <c r="H1163" s="2">
        <v>0</v>
      </c>
      <c r="I1163" s="2">
        <v>0</v>
      </c>
      <c r="J1163" s="2">
        <v>0</v>
      </c>
      <c r="K1163" s="21">
        <v>0</v>
      </c>
      <c r="L1163" s="2">
        <v>0</v>
      </c>
      <c r="M1163" s="2">
        <v>861.5</v>
      </c>
      <c r="N1163" s="2">
        <f>M1163*4450</f>
        <v>3833675</v>
      </c>
      <c r="O1163" s="2">
        <v>0</v>
      </c>
      <c r="P1163" s="2">
        <v>0</v>
      </c>
      <c r="Q1163" s="2">
        <v>0</v>
      </c>
      <c r="R1163" s="2">
        <f t="shared" ref="R1163" si="1684">Q1163*3200</f>
        <v>0</v>
      </c>
      <c r="S1163" s="8">
        <v>0</v>
      </c>
      <c r="T1163" s="2">
        <v>0</v>
      </c>
      <c r="U1163" s="6">
        <f t="shared" si="1628"/>
        <v>4450</v>
      </c>
    </row>
    <row r="1164" spans="1:29" ht="22.9" customHeight="1" x14ac:dyDescent="0.25">
      <c r="A1164" s="39" t="s">
        <v>2127</v>
      </c>
      <c r="B1164" s="9" t="s">
        <v>936</v>
      </c>
      <c r="C1164" s="7">
        <f t="shared" ref="C1164" si="1685">D1164+L1164+N1164+P1164+R1164+S1164+T1164</f>
        <v>4017905</v>
      </c>
      <c r="D1164" s="2">
        <f t="shared" ref="D1164" si="1686">SUM(E1164:J1164)</f>
        <v>0</v>
      </c>
      <c r="E1164" s="2">
        <v>0</v>
      </c>
      <c r="F1164" s="2">
        <v>0</v>
      </c>
      <c r="G1164" s="2">
        <v>0</v>
      </c>
      <c r="H1164" s="2">
        <v>0</v>
      </c>
      <c r="I1164" s="2">
        <v>0</v>
      </c>
      <c r="J1164" s="2">
        <v>0</v>
      </c>
      <c r="K1164" s="21">
        <v>0</v>
      </c>
      <c r="L1164" s="2">
        <v>0</v>
      </c>
      <c r="M1164" s="2">
        <v>902.9</v>
      </c>
      <c r="N1164" s="2">
        <f>M1164*4450</f>
        <v>4017905</v>
      </c>
      <c r="O1164" s="2">
        <v>0</v>
      </c>
      <c r="P1164" s="2">
        <v>0</v>
      </c>
      <c r="Q1164" s="2">
        <v>0</v>
      </c>
      <c r="R1164" s="2">
        <f t="shared" ref="R1164" si="1687">Q1164*3200</f>
        <v>0</v>
      </c>
      <c r="S1164" s="8">
        <v>0</v>
      </c>
      <c r="T1164" s="2">
        <v>0</v>
      </c>
      <c r="U1164" s="6">
        <f t="shared" si="1628"/>
        <v>4450</v>
      </c>
    </row>
    <row r="1165" spans="1:29" ht="22.9" customHeight="1" x14ac:dyDescent="0.25">
      <c r="A1165" s="39" t="s">
        <v>2128</v>
      </c>
      <c r="B1165" s="9" t="s">
        <v>937</v>
      </c>
      <c r="C1165" s="7">
        <f t="shared" ref="C1165:C1166" si="1688">D1165+L1165+N1165+P1165+R1165+S1165+T1165</f>
        <v>2793265</v>
      </c>
      <c r="D1165" s="2">
        <f t="shared" ref="D1165:D1166" si="1689">SUM(E1165:J1165)</f>
        <v>0</v>
      </c>
      <c r="E1165" s="2">
        <v>0</v>
      </c>
      <c r="F1165" s="2">
        <v>0</v>
      </c>
      <c r="G1165" s="2">
        <v>0</v>
      </c>
      <c r="H1165" s="2">
        <v>0</v>
      </c>
      <c r="I1165" s="2">
        <v>0</v>
      </c>
      <c r="J1165" s="2">
        <v>0</v>
      </c>
      <c r="K1165" s="21">
        <v>0</v>
      </c>
      <c r="L1165" s="2">
        <v>0</v>
      </c>
      <c r="M1165" s="2">
        <v>627.70000000000005</v>
      </c>
      <c r="N1165" s="2">
        <f t="shared" ref="N1165" si="1690">M1165*4450</f>
        <v>2793265</v>
      </c>
      <c r="O1165" s="2">
        <v>0</v>
      </c>
      <c r="P1165" s="2">
        <v>0</v>
      </c>
      <c r="Q1165" s="2">
        <v>0</v>
      </c>
      <c r="R1165" s="2">
        <f t="shared" ref="R1165:R1166" si="1691">Q1165*3200</f>
        <v>0</v>
      </c>
      <c r="S1165" s="8">
        <v>0</v>
      </c>
      <c r="T1165" s="2">
        <v>0</v>
      </c>
      <c r="U1165" s="6">
        <f t="shared" si="1628"/>
        <v>4450</v>
      </c>
    </row>
    <row r="1166" spans="1:29" ht="22.9" customHeight="1" x14ac:dyDescent="0.25">
      <c r="A1166" s="39" t="s">
        <v>2129</v>
      </c>
      <c r="B1166" s="9" t="s">
        <v>938</v>
      </c>
      <c r="C1166" s="7">
        <f t="shared" si="1688"/>
        <v>5992800</v>
      </c>
      <c r="D1166" s="2">
        <f t="shared" si="1689"/>
        <v>0</v>
      </c>
      <c r="E1166" s="2">
        <v>0</v>
      </c>
      <c r="F1166" s="2">
        <v>0</v>
      </c>
      <c r="G1166" s="2">
        <v>0</v>
      </c>
      <c r="H1166" s="2">
        <v>0</v>
      </c>
      <c r="I1166" s="2">
        <v>0</v>
      </c>
      <c r="J1166" s="2">
        <v>0</v>
      </c>
      <c r="K1166" s="21">
        <v>0</v>
      </c>
      <c r="L1166" s="2">
        <v>0</v>
      </c>
      <c r="M1166" s="2">
        <v>908</v>
      </c>
      <c r="N1166" s="2">
        <f>M1166*6600</f>
        <v>5992800</v>
      </c>
      <c r="O1166" s="2">
        <v>0</v>
      </c>
      <c r="P1166" s="2">
        <v>0</v>
      </c>
      <c r="Q1166" s="2">
        <v>0</v>
      </c>
      <c r="R1166" s="2">
        <f t="shared" si="1691"/>
        <v>0</v>
      </c>
      <c r="S1166" s="8">
        <v>0</v>
      </c>
      <c r="T1166" s="2">
        <v>0</v>
      </c>
      <c r="U1166" s="6">
        <f t="shared" si="1628"/>
        <v>6600</v>
      </c>
    </row>
    <row r="1167" spans="1:29" ht="45" customHeight="1" x14ac:dyDescent="0.25">
      <c r="A1167" s="43" t="s">
        <v>939</v>
      </c>
      <c r="B1167" s="43"/>
      <c r="C1167" s="1">
        <f>SUM(C1168:C1171)</f>
        <v>16052200</v>
      </c>
      <c r="D1167" s="1">
        <f t="shared" ref="D1167:T1167" si="1692">SUM(D1168:D1171)</f>
        <v>2228200</v>
      </c>
      <c r="E1167" s="1">
        <f t="shared" si="1692"/>
        <v>1199800</v>
      </c>
      <c r="F1167" s="1">
        <f t="shared" si="1692"/>
        <v>0</v>
      </c>
      <c r="G1167" s="1">
        <f t="shared" si="1692"/>
        <v>514200</v>
      </c>
      <c r="H1167" s="1">
        <f t="shared" si="1692"/>
        <v>0</v>
      </c>
      <c r="I1167" s="1">
        <f t="shared" si="1692"/>
        <v>514200</v>
      </c>
      <c r="J1167" s="1">
        <f t="shared" si="1692"/>
        <v>0</v>
      </c>
      <c r="K1167" s="33">
        <f t="shared" si="1692"/>
        <v>0</v>
      </c>
      <c r="L1167" s="1">
        <f t="shared" si="1692"/>
        <v>0</v>
      </c>
      <c r="M1167" s="1">
        <f t="shared" si="1692"/>
        <v>1200</v>
      </c>
      <c r="N1167" s="1">
        <f t="shared" si="1692"/>
        <v>7920000</v>
      </c>
      <c r="O1167" s="1">
        <f t="shared" si="1692"/>
        <v>0</v>
      </c>
      <c r="P1167" s="1">
        <f t="shared" si="1692"/>
        <v>0</v>
      </c>
      <c r="Q1167" s="1">
        <f t="shared" si="1692"/>
        <v>1720</v>
      </c>
      <c r="R1167" s="1">
        <f t="shared" si="1692"/>
        <v>5504000</v>
      </c>
      <c r="S1167" s="1">
        <f t="shared" si="1692"/>
        <v>0</v>
      </c>
      <c r="T1167" s="1">
        <f t="shared" si="1692"/>
        <v>400000</v>
      </c>
      <c r="U1167" s="3" t="e">
        <f>C1167+#REF!+#REF!</f>
        <v>#REF!</v>
      </c>
    </row>
    <row r="1168" spans="1:29" ht="22.9" customHeight="1" x14ac:dyDescent="0.25">
      <c r="A1168" s="39" t="s">
        <v>2130</v>
      </c>
      <c r="B1168" s="9" t="s">
        <v>940</v>
      </c>
      <c r="C1168" s="7">
        <f t="shared" ref="C1168" si="1693">D1168+L1168+N1168+P1168+R1168+S1168+T1168</f>
        <v>4004340</v>
      </c>
      <c r="D1168" s="2">
        <f t="shared" ref="D1168" si="1694">SUM(E1168:J1168)</f>
        <v>548340</v>
      </c>
      <c r="E1168" s="2">
        <f>700*421.8</f>
        <v>295260</v>
      </c>
      <c r="F1168" s="2">
        <v>0</v>
      </c>
      <c r="G1168" s="2">
        <f>300*421.8</f>
        <v>126540</v>
      </c>
      <c r="H1168" s="2">
        <v>0</v>
      </c>
      <c r="I1168" s="2">
        <f>300*421.8</f>
        <v>126540</v>
      </c>
      <c r="J1168" s="2">
        <v>0</v>
      </c>
      <c r="K1168" s="21">
        <v>0</v>
      </c>
      <c r="L1168" s="2">
        <v>0</v>
      </c>
      <c r="M1168" s="2">
        <v>300</v>
      </c>
      <c r="N1168" s="2">
        <f t="shared" ref="N1168" si="1695">M1168*6600</f>
        <v>1980000</v>
      </c>
      <c r="O1168" s="2">
        <v>0</v>
      </c>
      <c r="P1168" s="2">
        <f t="shared" ref="P1168" si="1696">O1168*1200</f>
        <v>0</v>
      </c>
      <c r="Q1168" s="2">
        <v>430</v>
      </c>
      <c r="R1168" s="2">
        <f t="shared" ref="R1168" si="1697">Q1168*3200</f>
        <v>1376000</v>
      </c>
      <c r="S1168" s="2">
        <v>0</v>
      </c>
      <c r="T1168" s="2">
        <v>100000</v>
      </c>
      <c r="U1168" s="6">
        <f>N1168/M1168</f>
        <v>6600</v>
      </c>
      <c r="V1168" s="1"/>
      <c r="W1168" s="1"/>
      <c r="X1168" s="1"/>
      <c r="Y1168" s="1"/>
      <c r="Z1168" s="1"/>
      <c r="AA1168" s="1"/>
      <c r="AB1168" s="1"/>
      <c r="AC1168" s="3"/>
    </row>
    <row r="1169" spans="1:31" ht="22.9" customHeight="1" x14ac:dyDescent="0.25">
      <c r="A1169" s="39" t="s">
        <v>2131</v>
      </c>
      <c r="B1169" s="9" t="s">
        <v>941</v>
      </c>
      <c r="C1169" s="7">
        <f t="shared" ref="C1169:C1171" si="1698">D1169+L1169+N1169+P1169+R1169+S1169+T1169</f>
        <v>4012140</v>
      </c>
      <c r="D1169" s="2">
        <f t="shared" ref="D1169:D1171" si="1699">SUM(E1169:J1169)</f>
        <v>556140</v>
      </c>
      <c r="E1169" s="2">
        <f>700*427.8</f>
        <v>299460</v>
      </c>
      <c r="F1169" s="2">
        <v>0</v>
      </c>
      <c r="G1169" s="2">
        <f>300*427.8</f>
        <v>128340</v>
      </c>
      <c r="H1169" s="2">
        <v>0</v>
      </c>
      <c r="I1169" s="2">
        <f>300*427.8</f>
        <v>128340</v>
      </c>
      <c r="J1169" s="2">
        <v>0</v>
      </c>
      <c r="K1169" s="21">
        <v>0</v>
      </c>
      <c r="L1169" s="2">
        <v>0</v>
      </c>
      <c r="M1169" s="2">
        <v>300</v>
      </c>
      <c r="N1169" s="2">
        <f t="shared" ref="N1169:N1171" si="1700">M1169*6600</f>
        <v>1980000</v>
      </c>
      <c r="O1169" s="2">
        <v>0</v>
      </c>
      <c r="P1169" s="2">
        <f t="shared" ref="P1169:P1171" si="1701">O1169*1200</f>
        <v>0</v>
      </c>
      <c r="Q1169" s="2">
        <v>430</v>
      </c>
      <c r="R1169" s="2">
        <f t="shared" ref="R1169:R1171" si="1702">Q1169*3200</f>
        <v>1376000</v>
      </c>
      <c r="S1169" s="2">
        <v>0</v>
      </c>
      <c r="T1169" s="2">
        <v>100000</v>
      </c>
      <c r="U1169" s="6">
        <f>N1169/M1169</f>
        <v>6600</v>
      </c>
      <c r="V1169" s="1"/>
      <c r="W1169" s="1"/>
      <c r="X1169" s="1"/>
      <c r="Y1169" s="1"/>
      <c r="Z1169" s="1"/>
      <c r="AA1169" s="1"/>
      <c r="AB1169" s="1"/>
      <c r="AC1169" s="3"/>
    </row>
    <row r="1170" spans="1:31" ht="22.9" customHeight="1" x14ac:dyDescent="0.25">
      <c r="A1170" s="39" t="s">
        <v>2132</v>
      </c>
      <c r="B1170" s="9" t="s">
        <v>942</v>
      </c>
      <c r="C1170" s="7">
        <f t="shared" si="1698"/>
        <v>4024490</v>
      </c>
      <c r="D1170" s="2">
        <f t="shared" si="1699"/>
        <v>568490</v>
      </c>
      <c r="E1170" s="2">
        <f>700*437.3</f>
        <v>306110</v>
      </c>
      <c r="F1170" s="2">
        <v>0</v>
      </c>
      <c r="G1170" s="2">
        <f>300*437.3</f>
        <v>131190</v>
      </c>
      <c r="H1170" s="2">
        <v>0</v>
      </c>
      <c r="I1170" s="2">
        <f>300*437.3</f>
        <v>131190</v>
      </c>
      <c r="J1170" s="2">
        <v>0</v>
      </c>
      <c r="K1170" s="21">
        <v>0</v>
      </c>
      <c r="L1170" s="2">
        <v>0</v>
      </c>
      <c r="M1170" s="2">
        <v>300</v>
      </c>
      <c r="N1170" s="2">
        <f t="shared" si="1700"/>
        <v>1980000</v>
      </c>
      <c r="O1170" s="2">
        <v>0</v>
      </c>
      <c r="P1170" s="2">
        <f t="shared" si="1701"/>
        <v>0</v>
      </c>
      <c r="Q1170" s="2">
        <v>430</v>
      </c>
      <c r="R1170" s="2">
        <f t="shared" si="1702"/>
        <v>1376000</v>
      </c>
      <c r="S1170" s="2">
        <v>0</v>
      </c>
      <c r="T1170" s="2">
        <v>100000</v>
      </c>
      <c r="U1170" s="6">
        <f>N1170/M1170</f>
        <v>6600</v>
      </c>
      <c r="V1170" s="1"/>
      <c r="W1170" s="1"/>
      <c r="X1170" s="1"/>
      <c r="Y1170" s="1"/>
      <c r="Z1170" s="1"/>
      <c r="AA1170" s="1"/>
      <c r="AB1170" s="1"/>
      <c r="AC1170" s="3"/>
    </row>
    <row r="1171" spans="1:31" ht="22.9" customHeight="1" x14ac:dyDescent="0.25">
      <c r="A1171" s="39" t="s">
        <v>2133</v>
      </c>
      <c r="B1171" s="9" t="s">
        <v>943</v>
      </c>
      <c r="C1171" s="7">
        <f t="shared" si="1698"/>
        <v>4011230</v>
      </c>
      <c r="D1171" s="2">
        <f t="shared" si="1699"/>
        <v>555230</v>
      </c>
      <c r="E1171" s="2">
        <f>700*427.1</f>
        <v>298970</v>
      </c>
      <c r="F1171" s="2">
        <v>0</v>
      </c>
      <c r="G1171" s="2">
        <f>300*427.1</f>
        <v>128130</v>
      </c>
      <c r="H1171" s="2">
        <v>0</v>
      </c>
      <c r="I1171" s="2">
        <f>300*427.1</f>
        <v>128130</v>
      </c>
      <c r="J1171" s="2">
        <v>0</v>
      </c>
      <c r="K1171" s="21">
        <v>0</v>
      </c>
      <c r="L1171" s="2">
        <v>0</v>
      </c>
      <c r="M1171" s="2">
        <v>300</v>
      </c>
      <c r="N1171" s="2">
        <f t="shared" si="1700"/>
        <v>1980000</v>
      </c>
      <c r="O1171" s="2">
        <v>0</v>
      </c>
      <c r="P1171" s="2">
        <f t="shared" si="1701"/>
        <v>0</v>
      </c>
      <c r="Q1171" s="2">
        <v>430</v>
      </c>
      <c r="R1171" s="2">
        <f t="shared" si="1702"/>
        <v>1376000</v>
      </c>
      <c r="S1171" s="2">
        <v>0</v>
      </c>
      <c r="T1171" s="2">
        <v>100000</v>
      </c>
      <c r="U1171" s="6">
        <f>N1171/M1171</f>
        <v>6600</v>
      </c>
      <c r="V1171" s="1"/>
      <c r="W1171" s="1"/>
      <c r="X1171" s="1"/>
      <c r="Y1171" s="1"/>
      <c r="Z1171" s="1"/>
      <c r="AA1171" s="1"/>
      <c r="AB1171" s="1"/>
      <c r="AC1171" s="3"/>
    </row>
    <row r="1172" spans="1:31" ht="45" customHeight="1" x14ac:dyDescent="0.25">
      <c r="A1172" s="43" t="s">
        <v>950</v>
      </c>
      <c r="B1172" s="43"/>
      <c r="C1172" s="1">
        <f>SUM(C1173:C1177)</f>
        <v>6956240</v>
      </c>
      <c r="D1172" s="1">
        <f t="shared" ref="D1172:T1172" si="1703">SUM(D1173:D1177)</f>
        <v>6456240</v>
      </c>
      <c r="E1172" s="1">
        <f t="shared" si="1703"/>
        <v>1481760</v>
      </c>
      <c r="F1172" s="1">
        <f t="shared" si="1703"/>
        <v>2751840</v>
      </c>
      <c r="G1172" s="1">
        <f t="shared" si="1703"/>
        <v>740880</v>
      </c>
      <c r="H1172" s="1">
        <f t="shared" si="1703"/>
        <v>846720</v>
      </c>
      <c r="I1172" s="1">
        <f t="shared" si="1703"/>
        <v>635040</v>
      </c>
      <c r="J1172" s="1">
        <f t="shared" si="1703"/>
        <v>0</v>
      </c>
      <c r="K1172" s="33">
        <f t="shared" si="1703"/>
        <v>0</v>
      </c>
      <c r="L1172" s="1">
        <f t="shared" si="1703"/>
        <v>0</v>
      </c>
      <c r="M1172" s="1">
        <f t="shared" si="1703"/>
        <v>0</v>
      </c>
      <c r="N1172" s="1">
        <f t="shared" si="1703"/>
        <v>0</v>
      </c>
      <c r="O1172" s="1">
        <f t="shared" si="1703"/>
        <v>0</v>
      </c>
      <c r="P1172" s="1">
        <f t="shared" si="1703"/>
        <v>0</v>
      </c>
      <c r="Q1172" s="1">
        <f t="shared" si="1703"/>
        <v>0</v>
      </c>
      <c r="R1172" s="1">
        <f t="shared" si="1703"/>
        <v>0</v>
      </c>
      <c r="S1172" s="1">
        <f t="shared" si="1703"/>
        <v>0</v>
      </c>
      <c r="T1172" s="1">
        <f t="shared" si="1703"/>
        <v>500000</v>
      </c>
      <c r="U1172" s="3" t="e">
        <f>C1172+#REF!+#REF!</f>
        <v>#REF!</v>
      </c>
    </row>
    <row r="1173" spans="1:31" ht="22.9" customHeight="1" x14ac:dyDescent="0.25">
      <c r="A1173" s="39" t="s">
        <v>2134</v>
      </c>
      <c r="B1173" s="9" t="s">
        <v>951</v>
      </c>
      <c r="C1173" s="7">
        <f t="shared" ref="C1173:C1177" si="1704">D1173+L1173+N1173+P1173+R1173+S1173+T1173</f>
        <v>1391370</v>
      </c>
      <c r="D1173" s="2">
        <f t="shared" ref="D1173:D1177" si="1705">SUM(E1173:J1173)</f>
        <v>1291370</v>
      </c>
      <c r="E1173" s="2">
        <f>700*423.4</f>
        <v>296380</v>
      </c>
      <c r="F1173" s="2">
        <f>1300*423.4</f>
        <v>550420</v>
      </c>
      <c r="G1173" s="2">
        <f>350*423.4</f>
        <v>148190</v>
      </c>
      <c r="H1173" s="2">
        <f>400*423.4</f>
        <v>169360</v>
      </c>
      <c r="I1173" s="2">
        <f>300*423.4</f>
        <v>127020</v>
      </c>
      <c r="J1173" s="2">
        <v>0</v>
      </c>
      <c r="K1173" s="21">
        <v>0</v>
      </c>
      <c r="L1173" s="2">
        <v>0</v>
      </c>
      <c r="M1173" s="2">
        <v>0</v>
      </c>
      <c r="N1173" s="2">
        <v>0</v>
      </c>
      <c r="O1173" s="2">
        <v>0</v>
      </c>
      <c r="P1173" s="2">
        <v>0</v>
      </c>
      <c r="Q1173" s="2">
        <v>0</v>
      </c>
      <c r="R1173" s="2">
        <f t="shared" ref="R1173:R1177" si="1706">Q1173*3200</f>
        <v>0</v>
      </c>
      <c r="S1173" s="8">
        <v>0</v>
      </c>
      <c r="T1173" s="2">
        <v>100000</v>
      </c>
      <c r="U1173" s="6" t="e">
        <f t="shared" si="1628"/>
        <v>#DIV/0!</v>
      </c>
      <c r="V1173" s="1"/>
      <c r="W1173" s="1"/>
      <c r="X1173" s="1"/>
      <c r="Y1173" s="1"/>
      <c r="Z1173" s="1"/>
      <c r="AA1173" s="1"/>
      <c r="AB1173" s="1"/>
      <c r="AC1173" s="3"/>
    </row>
    <row r="1174" spans="1:31" ht="22.9" customHeight="1" x14ac:dyDescent="0.25">
      <c r="A1174" s="39" t="s">
        <v>2135</v>
      </c>
      <c r="B1174" s="9" t="s">
        <v>952</v>
      </c>
      <c r="C1174" s="7">
        <f t="shared" si="1704"/>
        <v>1405400</v>
      </c>
      <c r="D1174" s="2">
        <f t="shared" si="1705"/>
        <v>1305400</v>
      </c>
      <c r="E1174" s="2">
        <f>700*428</f>
        <v>299600</v>
      </c>
      <c r="F1174" s="2">
        <f>1300*428</f>
        <v>556400</v>
      </c>
      <c r="G1174" s="2">
        <f>350*428</f>
        <v>149800</v>
      </c>
      <c r="H1174" s="2">
        <f>400*428</f>
        <v>171200</v>
      </c>
      <c r="I1174" s="2">
        <f>300*428</f>
        <v>128400</v>
      </c>
      <c r="J1174" s="2">
        <v>0</v>
      </c>
      <c r="K1174" s="21">
        <v>0</v>
      </c>
      <c r="L1174" s="2">
        <v>0</v>
      </c>
      <c r="M1174" s="2">
        <v>0</v>
      </c>
      <c r="N1174" s="2">
        <v>0</v>
      </c>
      <c r="O1174" s="2">
        <v>0</v>
      </c>
      <c r="P1174" s="2">
        <v>0</v>
      </c>
      <c r="Q1174" s="2">
        <v>0</v>
      </c>
      <c r="R1174" s="2">
        <f t="shared" si="1706"/>
        <v>0</v>
      </c>
      <c r="S1174" s="8">
        <v>0</v>
      </c>
      <c r="T1174" s="2">
        <v>100000</v>
      </c>
      <c r="U1174" s="6" t="e">
        <f t="shared" si="1628"/>
        <v>#DIV/0!</v>
      </c>
      <c r="V1174" s="1"/>
      <c r="W1174" s="1"/>
      <c r="X1174" s="1"/>
      <c r="Y1174" s="1"/>
      <c r="Z1174" s="1"/>
      <c r="AA1174" s="1"/>
      <c r="AB1174" s="1"/>
      <c r="AC1174" s="3"/>
    </row>
    <row r="1175" spans="1:31" ht="22.9" customHeight="1" x14ac:dyDescent="0.25">
      <c r="A1175" s="39" t="s">
        <v>2136</v>
      </c>
      <c r="B1175" s="9" t="s">
        <v>953</v>
      </c>
      <c r="C1175" s="7">
        <f t="shared" si="1704"/>
        <v>1388930</v>
      </c>
      <c r="D1175" s="2">
        <f t="shared" si="1705"/>
        <v>1288930</v>
      </c>
      <c r="E1175" s="2">
        <f>700*422.6</f>
        <v>295820</v>
      </c>
      <c r="F1175" s="2">
        <f>1300*422.6</f>
        <v>549380</v>
      </c>
      <c r="G1175" s="2">
        <f>350*422.6</f>
        <v>147910</v>
      </c>
      <c r="H1175" s="2">
        <f>400*422.6</f>
        <v>169040</v>
      </c>
      <c r="I1175" s="2">
        <f>300*422.6</f>
        <v>126780</v>
      </c>
      <c r="J1175" s="2">
        <v>0</v>
      </c>
      <c r="K1175" s="21">
        <v>0</v>
      </c>
      <c r="L1175" s="2">
        <v>0</v>
      </c>
      <c r="M1175" s="2">
        <v>0</v>
      </c>
      <c r="N1175" s="2">
        <v>0</v>
      </c>
      <c r="O1175" s="2">
        <v>0</v>
      </c>
      <c r="P1175" s="2">
        <v>0</v>
      </c>
      <c r="Q1175" s="2">
        <v>0</v>
      </c>
      <c r="R1175" s="2">
        <f t="shared" si="1706"/>
        <v>0</v>
      </c>
      <c r="S1175" s="8">
        <v>0</v>
      </c>
      <c r="T1175" s="2">
        <v>100000</v>
      </c>
      <c r="U1175" s="6" t="e">
        <f t="shared" si="1628"/>
        <v>#DIV/0!</v>
      </c>
      <c r="V1175" s="1"/>
      <c r="W1175" s="1"/>
      <c r="X1175" s="1"/>
      <c r="Y1175" s="1"/>
      <c r="Z1175" s="1"/>
      <c r="AA1175" s="1"/>
      <c r="AB1175" s="1"/>
      <c r="AC1175" s="3"/>
    </row>
    <row r="1176" spans="1:31" ht="22.9" customHeight="1" x14ac:dyDescent="0.25">
      <c r="A1176" s="39" t="s">
        <v>2137</v>
      </c>
      <c r="B1176" s="9" t="s">
        <v>954</v>
      </c>
      <c r="C1176" s="7">
        <f t="shared" si="1704"/>
        <v>1388930</v>
      </c>
      <c r="D1176" s="2">
        <f t="shared" si="1705"/>
        <v>1288930</v>
      </c>
      <c r="E1176" s="2">
        <f>700*422.6</f>
        <v>295820</v>
      </c>
      <c r="F1176" s="2">
        <f>1300*422.6</f>
        <v>549380</v>
      </c>
      <c r="G1176" s="2">
        <f>350*422.6</f>
        <v>147910</v>
      </c>
      <c r="H1176" s="2">
        <f>400*422.6</f>
        <v>169040</v>
      </c>
      <c r="I1176" s="2">
        <f>300*422.6</f>
        <v>126780</v>
      </c>
      <c r="J1176" s="2">
        <v>0</v>
      </c>
      <c r="K1176" s="21">
        <v>0</v>
      </c>
      <c r="L1176" s="2">
        <v>0</v>
      </c>
      <c r="M1176" s="2">
        <v>0</v>
      </c>
      <c r="N1176" s="2">
        <v>0</v>
      </c>
      <c r="O1176" s="2">
        <v>0</v>
      </c>
      <c r="P1176" s="2">
        <v>0</v>
      </c>
      <c r="Q1176" s="2">
        <v>0</v>
      </c>
      <c r="R1176" s="2">
        <f t="shared" si="1706"/>
        <v>0</v>
      </c>
      <c r="S1176" s="8">
        <v>0</v>
      </c>
      <c r="T1176" s="2">
        <v>100000</v>
      </c>
      <c r="U1176" s="6" t="e">
        <f t="shared" si="1628"/>
        <v>#DIV/0!</v>
      </c>
      <c r="V1176" s="1"/>
      <c r="W1176" s="1"/>
      <c r="X1176" s="1"/>
      <c r="Y1176" s="1"/>
      <c r="Z1176" s="1"/>
      <c r="AA1176" s="1"/>
      <c r="AB1176" s="1"/>
      <c r="AC1176" s="3"/>
    </row>
    <row r="1177" spans="1:31" ht="22.9" customHeight="1" x14ac:dyDescent="0.25">
      <c r="A1177" s="39" t="s">
        <v>2138</v>
      </c>
      <c r="B1177" s="9" t="s">
        <v>955</v>
      </c>
      <c r="C1177" s="7">
        <f t="shared" si="1704"/>
        <v>1381610</v>
      </c>
      <c r="D1177" s="2">
        <f t="shared" si="1705"/>
        <v>1281610</v>
      </c>
      <c r="E1177" s="2">
        <f>700*420.2</f>
        <v>294140</v>
      </c>
      <c r="F1177" s="2">
        <f>1300*420.2</f>
        <v>546260</v>
      </c>
      <c r="G1177" s="2">
        <f>350*420.2</f>
        <v>147070</v>
      </c>
      <c r="H1177" s="2">
        <f>400*420.2</f>
        <v>168080</v>
      </c>
      <c r="I1177" s="2">
        <f>300*420.2</f>
        <v>126060</v>
      </c>
      <c r="J1177" s="2">
        <v>0</v>
      </c>
      <c r="K1177" s="21">
        <v>0</v>
      </c>
      <c r="L1177" s="2">
        <v>0</v>
      </c>
      <c r="M1177" s="2">
        <v>0</v>
      </c>
      <c r="N1177" s="2">
        <v>0</v>
      </c>
      <c r="O1177" s="2">
        <v>0</v>
      </c>
      <c r="P1177" s="2">
        <v>0</v>
      </c>
      <c r="Q1177" s="2">
        <v>0</v>
      </c>
      <c r="R1177" s="2">
        <f t="shared" si="1706"/>
        <v>0</v>
      </c>
      <c r="S1177" s="8">
        <v>0</v>
      </c>
      <c r="T1177" s="2">
        <v>100000</v>
      </c>
      <c r="U1177" s="6" t="e">
        <f t="shared" si="1628"/>
        <v>#DIV/0!</v>
      </c>
      <c r="V1177" s="1"/>
      <c r="W1177" s="1"/>
      <c r="X1177" s="1"/>
      <c r="Y1177" s="1"/>
      <c r="Z1177" s="1"/>
      <c r="AA1177" s="1"/>
      <c r="AB1177" s="1"/>
      <c r="AC1177" s="3"/>
    </row>
    <row r="1178" spans="1:31" ht="45" customHeight="1" x14ac:dyDescent="0.25">
      <c r="A1178" s="43" t="s">
        <v>961</v>
      </c>
      <c r="B1178" s="43"/>
      <c r="C1178" s="1">
        <f>SUM(C1179:C1184)</f>
        <v>16031775</v>
      </c>
      <c r="D1178" s="1">
        <f t="shared" ref="D1178:T1178" si="1707">SUM(D1179:D1184)</f>
        <v>7739375</v>
      </c>
      <c r="E1178" s="1">
        <f t="shared" si="1707"/>
        <v>1776250</v>
      </c>
      <c r="F1178" s="1">
        <f t="shared" si="1707"/>
        <v>3298750</v>
      </c>
      <c r="G1178" s="1">
        <f t="shared" si="1707"/>
        <v>888125</v>
      </c>
      <c r="H1178" s="1">
        <f t="shared" si="1707"/>
        <v>1015000</v>
      </c>
      <c r="I1178" s="1">
        <f t="shared" si="1707"/>
        <v>761250</v>
      </c>
      <c r="J1178" s="1">
        <f t="shared" si="1707"/>
        <v>0</v>
      </c>
      <c r="K1178" s="33">
        <f t="shared" si="1707"/>
        <v>0</v>
      </c>
      <c r="L1178" s="1">
        <f t="shared" si="1707"/>
        <v>0</v>
      </c>
      <c r="M1178" s="1">
        <f t="shared" si="1707"/>
        <v>904</v>
      </c>
      <c r="N1178" s="1">
        <f t="shared" si="1707"/>
        <v>4022800</v>
      </c>
      <c r="O1178" s="1">
        <f t="shared" si="1707"/>
        <v>50</v>
      </c>
      <c r="P1178" s="1">
        <f t="shared" si="1707"/>
        <v>60000</v>
      </c>
      <c r="Q1178" s="1">
        <f t="shared" si="1707"/>
        <v>1128</v>
      </c>
      <c r="R1178" s="1">
        <f t="shared" si="1707"/>
        <v>3609600</v>
      </c>
      <c r="S1178" s="1">
        <f t="shared" si="1707"/>
        <v>0</v>
      </c>
      <c r="T1178" s="1">
        <f t="shared" si="1707"/>
        <v>600000</v>
      </c>
      <c r="U1178" s="3" t="e">
        <f>C1178+#REF!+#REF!</f>
        <v>#REF!</v>
      </c>
    </row>
    <row r="1179" spans="1:31" ht="22.9" customHeight="1" x14ac:dyDescent="0.25">
      <c r="A1179" s="39" t="s">
        <v>2139</v>
      </c>
      <c r="B1179" s="9" t="s">
        <v>968</v>
      </c>
      <c r="C1179" s="7">
        <f t="shared" ref="C1179:C1180" si="1708">D1179+L1179+N1179+P1179+R1179+S1179+T1179</f>
        <v>3127500</v>
      </c>
      <c r="D1179" s="2">
        <f t="shared" ref="D1179:D1180" si="1709">SUM(E1179:J1179)</f>
        <v>2745000</v>
      </c>
      <c r="E1179" s="2">
        <f>700*900</f>
        <v>630000</v>
      </c>
      <c r="F1179" s="2">
        <f>1300*900</f>
        <v>1170000</v>
      </c>
      <c r="G1179" s="2">
        <f>350*900</f>
        <v>315000</v>
      </c>
      <c r="H1179" s="2">
        <f>400*900</f>
        <v>360000</v>
      </c>
      <c r="I1179" s="2">
        <f>300*900</f>
        <v>270000</v>
      </c>
      <c r="J1179" s="2">
        <v>0</v>
      </c>
      <c r="K1179" s="21">
        <v>0</v>
      </c>
      <c r="L1179" s="2">
        <v>0</v>
      </c>
      <c r="M1179" s="2">
        <v>50</v>
      </c>
      <c r="N1179" s="2">
        <f>M1179*4450</f>
        <v>222500</v>
      </c>
      <c r="O1179" s="2">
        <v>50</v>
      </c>
      <c r="P1179" s="2">
        <f>O1179*1200</f>
        <v>60000</v>
      </c>
      <c r="Q1179" s="2">
        <v>0</v>
      </c>
      <c r="R1179" s="2">
        <f t="shared" ref="R1179:R1180" si="1710">Q1179*3200</f>
        <v>0</v>
      </c>
      <c r="S1179" s="8">
        <v>0</v>
      </c>
      <c r="T1179" s="2">
        <v>100000</v>
      </c>
      <c r="U1179" s="6">
        <f t="shared" si="1628"/>
        <v>4450</v>
      </c>
      <c r="V1179" s="1"/>
      <c r="W1179" s="1"/>
      <c r="X1179" s="1"/>
      <c r="Y1179" s="1"/>
      <c r="Z1179" s="1"/>
      <c r="AA1179" s="1"/>
      <c r="AB1179" s="1"/>
      <c r="AC1179" s="1"/>
      <c r="AD1179" s="1"/>
      <c r="AE1179" s="3"/>
    </row>
    <row r="1180" spans="1:31" ht="22.9" customHeight="1" x14ac:dyDescent="0.25">
      <c r="A1180" s="39" t="s">
        <v>2140</v>
      </c>
      <c r="B1180" s="9" t="s">
        <v>969</v>
      </c>
      <c r="C1180" s="7">
        <f t="shared" si="1708"/>
        <v>1164175</v>
      </c>
      <c r="D1180" s="2">
        <f t="shared" si="1709"/>
        <v>681675</v>
      </c>
      <c r="E1180" s="2">
        <f>700*223.5</f>
        <v>156450</v>
      </c>
      <c r="F1180" s="2">
        <f>1300*223.5</f>
        <v>290550</v>
      </c>
      <c r="G1180" s="2">
        <f>350*223.5</f>
        <v>78225</v>
      </c>
      <c r="H1180" s="2">
        <f>400*223.5</f>
        <v>89400</v>
      </c>
      <c r="I1180" s="2">
        <f>300*223.5</f>
        <v>67050</v>
      </c>
      <c r="J1180" s="2">
        <v>0</v>
      </c>
      <c r="K1180" s="21">
        <v>0</v>
      </c>
      <c r="L1180" s="2">
        <v>0</v>
      </c>
      <c r="M1180" s="2">
        <v>50</v>
      </c>
      <c r="N1180" s="2">
        <f>M1180*4450</f>
        <v>222500</v>
      </c>
      <c r="O1180" s="2">
        <v>0</v>
      </c>
      <c r="P1180" s="2">
        <f>O1180*1200</f>
        <v>0</v>
      </c>
      <c r="Q1180" s="2">
        <v>50</v>
      </c>
      <c r="R1180" s="2">
        <f t="shared" si="1710"/>
        <v>160000</v>
      </c>
      <c r="S1180" s="8">
        <v>0</v>
      </c>
      <c r="T1180" s="2">
        <v>100000</v>
      </c>
      <c r="U1180" s="6">
        <f t="shared" si="1628"/>
        <v>4450</v>
      </c>
      <c r="V1180" s="1"/>
      <c r="W1180" s="1"/>
      <c r="X1180" s="1"/>
      <c r="Y1180" s="1"/>
      <c r="Z1180" s="1"/>
      <c r="AA1180" s="1"/>
      <c r="AB1180" s="1"/>
      <c r="AC1180" s="1"/>
      <c r="AD1180" s="1"/>
      <c r="AE1180" s="3"/>
    </row>
    <row r="1181" spans="1:31" ht="22.9" customHeight="1" x14ac:dyDescent="0.25">
      <c r="A1181" s="39" t="s">
        <v>2141</v>
      </c>
      <c r="B1181" s="9" t="s">
        <v>970</v>
      </c>
      <c r="C1181" s="7">
        <f t="shared" ref="C1181:C1182" si="1711">D1181+L1181+N1181+P1181+R1181+S1181+T1181</f>
        <v>1319115</v>
      </c>
      <c r="D1181" s="2">
        <f t="shared" ref="D1181:D1182" si="1712">SUM(E1181:J1181)</f>
        <v>836615</v>
      </c>
      <c r="E1181" s="2">
        <f>700*274.3</f>
        <v>192010</v>
      </c>
      <c r="F1181" s="2">
        <f>1300*274.3</f>
        <v>356590</v>
      </c>
      <c r="G1181" s="2">
        <f>350*274.3</f>
        <v>96005</v>
      </c>
      <c r="H1181" s="2">
        <f>400*274.3</f>
        <v>109720</v>
      </c>
      <c r="I1181" s="2">
        <f>300*274.3</f>
        <v>82290</v>
      </c>
      <c r="J1181" s="2">
        <v>0</v>
      </c>
      <c r="K1181" s="21">
        <v>0</v>
      </c>
      <c r="L1181" s="2">
        <v>0</v>
      </c>
      <c r="M1181" s="2">
        <v>50</v>
      </c>
      <c r="N1181" s="2">
        <f t="shared" ref="N1181:N1184" si="1713">M1181*4450</f>
        <v>222500</v>
      </c>
      <c r="O1181" s="2">
        <v>0</v>
      </c>
      <c r="P1181" s="2">
        <f t="shared" ref="P1181:P1184" si="1714">O1181*1200</f>
        <v>0</v>
      </c>
      <c r="Q1181" s="2">
        <v>50</v>
      </c>
      <c r="R1181" s="2">
        <f t="shared" ref="R1181:R1182" si="1715">Q1181*3200</f>
        <v>160000</v>
      </c>
      <c r="S1181" s="8">
        <v>0</v>
      </c>
      <c r="T1181" s="2">
        <v>100000</v>
      </c>
      <c r="U1181" s="6">
        <f t="shared" si="1628"/>
        <v>4450</v>
      </c>
      <c r="V1181" s="1"/>
      <c r="W1181" s="1"/>
      <c r="X1181" s="1"/>
      <c r="Y1181" s="1"/>
      <c r="Z1181" s="1"/>
      <c r="AA1181" s="1"/>
      <c r="AB1181" s="1"/>
      <c r="AC1181" s="1"/>
      <c r="AD1181" s="1"/>
      <c r="AE1181" s="3"/>
    </row>
    <row r="1182" spans="1:31" ht="22.9" customHeight="1" x14ac:dyDescent="0.25">
      <c r="A1182" s="39" t="s">
        <v>2142</v>
      </c>
      <c r="B1182" s="9" t="s">
        <v>971</v>
      </c>
      <c r="C1182" s="7">
        <f t="shared" si="1711"/>
        <v>1641195</v>
      </c>
      <c r="D1182" s="2">
        <f t="shared" si="1712"/>
        <v>1158695</v>
      </c>
      <c r="E1182" s="2">
        <f>700*379.9</f>
        <v>265930</v>
      </c>
      <c r="F1182" s="2">
        <f>1300*379.9</f>
        <v>493869.99999999994</v>
      </c>
      <c r="G1182" s="2">
        <f>350*379.9</f>
        <v>132965</v>
      </c>
      <c r="H1182" s="2">
        <f>400*379.9</f>
        <v>151960</v>
      </c>
      <c r="I1182" s="2">
        <f>300*379.9</f>
        <v>113970</v>
      </c>
      <c r="J1182" s="2">
        <v>0</v>
      </c>
      <c r="K1182" s="21">
        <v>0</v>
      </c>
      <c r="L1182" s="2">
        <v>0</v>
      </c>
      <c r="M1182" s="2">
        <v>50</v>
      </c>
      <c r="N1182" s="2">
        <f t="shared" si="1713"/>
        <v>222500</v>
      </c>
      <c r="O1182" s="2">
        <v>0</v>
      </c>
      <c r="P1182" s="2">
        <f t="shared" si="1714"/>
        <v>0</v>
      </c>
      <c r="Q1182" s="2">
        <v>50</v>
      </c>
      <c r="R1182" s="2">
        <f t="shared" si="1715"/>
        <v>160000</v>
      </c>
      <c r="S1182" s="8">
        <v>0</v>
      </c>
      <c r="T1182" s="2">
        <v>100000</v>
      </c>
      <c r="U1182" s="6">
        <f t="shared" si="1628"/>
        <v>4450</v>
      </c>
      <c r="V1182" s="1"/>
      <c r="W1182" s="1"/>
      <c r="X1182" s="1"/>
      <c r="Y1182" s="1"/>
      <c r="Z1182" s="1"/>
      <c r="AA1182" s="1"/>
      <c r="AB1182" s="1"/>
      <c r="AC1182" s="1"/>
      <c r="AD1182" s="1"/>
      <c r="AE1182" s="3"/>
    </row>
    <row r="1183" spans="1:31" ht="22.9" customHeight="1" x14ac:dyDescent="0.25">
      <c r="A1183" s="39" t="s">
        <v>2143</v>
      </c>
      <c r="B1183" s="9" t="s">
        <v>972</v>
      </c>
      <c r="C1183" s="7">
        <f t="shared" ref="C1183:C1184" si="1716">D1183+L1183+N1183+P1183+R1183+S1183+T1183</f>
        <v>4389895</v>
      </c>
      <c r="D1183" s="2">
        <f t="shared" ref="D1183:D1184" si="1717">SUM(E1183:J1183)</f>
        <v>1158695</v>
      </c>
      <c r="E1183" s="2">
        <f t="shared" ref="E1183:E1184" si="1718">700*379.9</f>
        <v>265930</v>
      </c>
      <c r="F1183" s="2">
        <f t="shared" ref="F1183:F1184" si="1719">1300*379.9</f>
        <v>493869.99999999994</v>
      </c>
      <c r="G1183" s="2">
        <f t="shared" ref="G1183:G1184" si="1720">350*379.9</f>
        <v>132965</v>
      </c>
      <c r="H1183" s="2">
        <f t="shared" ref="H1183:H1184" si="1721">400*379.9</f>
        <v>151960</v>
      </c>
      <c r="I1183" s="2">
        <f t="shared" ref="I1183:I1184" si="1722">300*379.9</f>
        <v>113970</v>
      </c>
      <c r="J1183" s="2">
        <v>0</v>
      </c>
      <c r="K1183" s="21">
        <v>0</v>
      </c>
      <c r="L1183" s="2">
        <v>0</v>
      </c>
      <c r="M1183" s="2">
        <v>352</v>
      </c>
      <c r="N1183" s="2">
        <f t="shared" si="1713"/>
        <v>1566400</v>
      </c>
      <c r="O1183" s="2">
        <v>0</v>
      </c>
      <c r="P1183" s="2">
        <f t="shared" si="1714"/>
        <v>0</v>
      </c>
      <c r="Q1183" s="2">
        <v>489</v>
      </c>
      <c r="R1183" s="2">
        <f t="shared" ref="R1183:R1184" si="1723">Q1183*3200</f>
        <v>1564800</v>
      </c>
      <c r="S1183" s="8">
        <v>0</v>
      </c>
      <c r="T1183" s="2">
        <v>100000</v>
      </c>
      <c r="U1183" s="6">
        <f t="shared" si="1628"/>
        <v>4450</v>
      </c>
      <c r="V1183" s="3"/>
    </row>
    <row r="1184" spans="1:31" ht="22.9" customHeight="1" x14ac:dyDescent="0.25">
      <c r="A1184" s="39" t="s">
        <v>2144</v>
      </c>
      <c r="B1184" s="9" t="s">
        <v>973</v>
      </c>
      <c r="C1184" s="7">
        <f t="shared" si="1716"/>
        <v>4389895</v>
      </c>
      <c r="D1184" s="2">
        <f t="shared" si="1717"/>
        <v>1158695</v>
      </c>
      <c r="E1184" s="2">
        <f t="shared" si="1718"/>
        <v>265930</v>
      </c>
      <c r="F1184" s="2">
        <f t="shared" si="1719"/>
        <v>493869.99999999994</v>
      </c>
      <c r="G1184" s="2">
        <f t="shared" si="1720"/>
        <v>132965</v>
      </c>
      <c r="H1184" s="2">
        <f t="shared" si="1721"/>
        <v>151960</v>
      </c>
      <c r="I1184" s="2">
        <f t="shared" si="1722"/>
        <v>113970</v>
      </c>
      <c r="J1184" s="2">
        <v>0</v>
      </c>
      <c r="K1184" s="21">
        <v>0</v>
      </c>
      <c r="L1184" s="2">
        <v>0</v>
      </c>
      <c r="M1184" s="2">
        <v>352</v>
      </c>
      <c r="N1184" s="2">
        <f t="shared" si="1713"/>
        <v>1566400</v>
      </c>
      <c r="O1184" s="2">
        <v>0</v>
      </c>
      <c r="P1184" s="2">
        <f t="shared" si="1714"/>
        <v>0</v>
      </c>
      <c r="Q1184" s="2">
        <v>489</v>
      </c>
      <c r="R1184" s="2">
        <f t="shared" si="1723"/>
        <v>1564800</v>
      </c>
      <c r="S1184" s="8">
        <v>0</v>
      </c>
      <c r="T1184" s="2">
        <v>100000</v>
      </c>
      <c r="U1184" s="6">
        <f t="shared" si="1628"/>
        <v>4450</v>
      </c>
      <c r="V1184" s="3"/>
    </row>
    <row r="1185" spans="1:29" ht="45" customHeight="1" x14ac:dyDescent="0.25">
      <c r="A1185" s="43" t="s">
        <v>977</v>
      </c>
      <c r="B1185" s="43"/>
      <c r="C1185" s="1">
        <f>SUM(C1186:C1187)</f>
        <v>4620000</v>
      </c>
      <c r="D1185" s="1">
        <f t="shared" ref="D1185:T1185" si="1724">SUM(D1186:D1187)</f>
        <v>0</v>
      </c>
      <c r="E1185" s="1">
        <f t="shared" si="1724"/>
        <v>0</v>
      </c>
      <c r="F1185" s="1">
        <f t="shared" si="1724"/>
        <v>0</v>
      </c>
      <c r="G1185" s="1">
        <f t="shared" si="1724"/>
        <v>0</v>
      </c>
      <c r="H1185" s="1">
        <f t="shared" si="1724"/>
        <v>0</v>
      </c>
      <c r="I1185" s="1">
        <f t="shared" si="1724"/>
        <v>0</v>
      </c>
      <c r="J1185" s="1">
        <f t="shared" si="1724"/>
        <v>0</v>
      </c>
      <c r="K1185" s="33">
        <f t="shared" si="1724"/>
        <v>0</v>
      </c>
      <c r="L1185" s="1">
        <f t="shared" si="1724"/>
        <v>0</v>
      </c>
      <c r="M1185" s="1">
        <f t="shared" si="1724"/>
        <v>700</v>
      </c>
      <c r="N1185" s="1">
        <f t="shared" si="1724"/>
        <v>4620000</v>
      </c>
      <c r="O1185" s="1">
        <f t="shared" si="1724"/>
        <v>0</v>
      </c>
      <c r="P1185" s="1">
        <f t="shared" si="1724"/>
        <v>0</v>
      </c>
      <c r="Q1185" s="1">
        <f t="shared" si="1724"/>
        <v>0</v>
      </c>
      <c r="R1185" s="1">
        <f t="shared" si="1724"/>
        <v>0</v>
      </c>
      <c r="S1185" s="1">
        <f t="shared" si="1724"/>
        <v>0</v>
      </c>
      <c r="T1185" s="1">
        <f t="shared" si="1724"/>
        <v>0</v>
      </c>
      <c r="U1185" s="3" t="e">
        <f>C1185+#REF!+#REF!</f>
        <v>#REF!</v>
      </c>
    </row>
    <row r="1186" spans="1:29" ht="22.9" customHeight="1" x14ac:dyDescent="0.25">
      <c r="A1186" s="39" t="s">
        <v>2145</v>
      </c>
      <c r="B1186" s="9" t="s">
        <v>982</v>
      </c>
      <c r="C1186" s="7">
        <f t="shared" ref="C1186:C1187" si="1725">D1186+L1186+N1186+P1186+R1186+S1186+T1186</f>
        <v>2310000</v>
      </c>
      <c r="D1186" s="2">
        <f t="shared" ref="D1186:D1187" si="1726">SUM(E1186:J1186)</f>
        <v>0</v>
      </c>
      <c r="E1186" s="2">
        <v>0</v>
      </c>
      <c r="F1186" s="2">
        <v>0</v>
      </c>
      <c r="G1186" s="2">
        <v>0</v>
      </c>
      <c r="H1186" s="2">
        <v>0</v>
      </c>
      <c r="I1186" s="2">
        <v>0</v>
      </c>
      <c r="J1186" s="2">
        <v>0</v>
      </c>
      <c r="K1186" s="21">
        <v>0</v>
      </c>
      <c r="L1186" s="2">
        <v>0</v>
      </c>
      <c r="M1186" s="2">
        <v>350</v>
      </c>
      <c r="N1186" s="2">
        <f t="shared" ref="N1186:N1187" si="1727">M1186*6600</f>
        <v>2310000</v>
      </c>
      <c r="O1186" s="2">
        <v>0</v>
      </c>
      <c r="P1186" s="2">
        <v>0</v>
      </c>
      <c r="Q1186" s="2">
        <v>0</v>
      </c>
      <c r="R1186" s="2">
        <f t="shared" ref="R1186:R1187" si="1728">Q1186*3200</f>
        <v>0</v>
      </c>
      <c r="S1186" s="8">
        <v>0</v>
      </c>
      <c r="T1186" s="2">
        <v>0</v>
      </c>
      <c r="U1186" s="6">
        <f t="shared" si="1628"/>
        <v>6600</v>
      </c>
      <c r="V1186" s="1"/>
      <c r="W1186" s="1"/>
      <c r="X1186" s="1"/>
      <c r="Y1186" s="1"/>
      <c r="Z1186" s="1"/>
      <c r="AA1186" s="1"/>
      <c r="AB1186" s="1"/>
      <c r="AC1186" s="3"/>
    </row>
    <row r="1187" spans="1:29" ht="22.9" customHeight="1" x14ac:dyDescent="0.25">
      <c r="A1187" s="39" t="s">
        <v>2146</v>
      </c>
      <c r="B1187" s="9" t="s">
        <v>983</v>
      </c>
      <c r="C1187" s="7">
        <f t="shared" si="1725"/>
        <v>2310000</v>
      </c>
      <c r="D1187" s="2">
        <f t="shared" si="1726"/>
        <v>0</v>
      </c>
      <c r="E1187" s="2">
        <v>0</v>
      </c>
      <c r="F1187" s="2">
        <v>0</v>
      </c>
      <c r="G1187" s="2">
        <v>0</v>
      </c>
      <c r="H1187" s="2">
        <v>0</v>
      </c>
      <c r="I1187" s="2">
        <v>0</v>
      </c>
      <c r="J1187" s="2">
        <v>0</v>
      </c>
      <c r="K1187" s="21">
        <v>0</v>
      </c>
      <c r="L1187" s="2">
        <v>0</v>
      </c>
      <c r="M1187" s="2">
        <v>350</v>
      </c>
      <c r="N1187" s="2">
        <f t="shared" si="1727"/>
        <v>2310000</v>
      </c>
      <c r="O1187" s="2">
        <v>0</v>
      </c>
      <c r="P1187" s="2">
        <v>0</v>
      </c>
      <c r="Q1187" s="2">
        <v>0</v>
      </c>
      <c r="R1187" s="2">
        <f t="shared" si="1728"/>
        <v>0</v>
      </c>
      <c r="S1187" s="8">
        <v>0</v>
      </c>
      <c r="T1187" s="2">
        <v>0</v>
      </c>
      <c r="U1187" s="6">
        <f t="shared" si="1628"/>
        <v>6600</v>
      </c>
      <c r="V1187" s="1"/>
      <c r="W1187" s="1"/>
      <c r="X1187" s="1"/>
      <c r="Y1187" s="1"/>
      <c r="Z1187" s="1"/>
      <c r="AA1187" s="1"/>
      <c r="AB1187" s="1"/>
      <c r="AC1187" s="3"/>
    </row>
    <row r="1188" spans="1:29" ht="45" customHeight="1" x14ac:dyDescent="0.25">
      <c r="A1188" s="43" t="s">
        <v>990</v>
      </c>
      <c r="B1188" s="43"/>
      <c r="C1188" s="1">
        <f>SUM(C1189:C1190)</f>
        <v>5647328</v>
      </c>
      <c r="D1188" s="1">
        <f t="shared" ref="D1188:T1188" si="1729">SUM(D1189:D1190)</f>
        <v>0</v>
      </c>
      <c r="E1188" s="1">
        <f t="shared" si="1729"/>
        <v>0</v>
      </c>
      <c r="F1188" s="1">
        <f t="shared" si="1729"/>
        <v>0</v>
      </c>
      <c r="G1188" s="1">
        <f t="shared" si="1729"/>
        <v>0</v>
      </c>
      <c r="H1188" s="1">
        <f t="shared" si="1729"/>
        <v>0</v>
      </c>
      <c r="I1188" s="1">
        <f t="shared" si="1729"/>
        <v>0</v>
      </c>
      <c r="J1188" s="1">
        <f t="shared" si="1729"/>
        <v>0</v>
      </c>
      <c r="K1188" s="33">
        <f t="shared" si="1729"/>
        <v>0</v>
      </c>
      <c r="L1188" s="1">
        <f t="shared" si="1729"/>
        <v>0</v>
      </c>
      <c r="M1188" s="1">
        <f t="shared" si="1729"/>
        <v>691</v>
      </c>
      <c r="N1188" s="1">
        <f t="shared" si="1729"/>
        <v>3795200</v>
      </c>
      <c r="O1188" s="1">
        <f t="shared" si="1729"/>
        <v>0</v>
      </c>
      <c r="P1188" s="1">
        <f t="shared" si="1729"/>
        <v>0</v>
      </c>
      <c r="Q1188" s="1">
        <f t="shared" si="1729"/>
        <v>578.79</v>
      </c>
      <c r="R1188" s="1">
        <f t="shared" si="1729"/>
        <v>1852128</v>
      </c>
      <c r="S1188" s="1">
        <f t="shared" si="1729"/>
        <v>0</v>
      </c>
      <c r="T1188" s="1">
        <f t="shared" si="1729"/>
        <v>0</v>
      </c>
      <c r="U1188" s="3" t="e">
        <f>C1188+#REF!+#REF!</f>
        <v>#REF!</v>
      </c>
    </row>
    <row r="1189" spans="1:29" ht="22.9" customHeight="1" x14ac:dyDescent="0.25">
      <c r="A1189" s="39" t="s">
        <v>2147</v>
      </c>
      <c r="B1189" s="9" t="s">
        <v>991</v>
      </c>
      <c r="C1189" s="7">
        <f t="shared" ref="C1189:C1190" si="1730">D1189+L1189+N1189+P1189+R1189+S1189+T1189</f>
        <v>2647720</v>
      </c>
      <c r="D1189" s="2">
        <f t="shared" ref="D1189" si="1731">SUM(E1189:J1189)</f>
        <v>0</v>
      </c>
      <c r="E1189" s="2">
        <v>0</v>
      </c>
      <c r="F1189" s="2">
        <v>0</v>
      </c>
      <c r="G1189" s="2">
        <v>0</v>
      </c>
      <c r="H1189" s="2">
        <v>0</v>
      </c>
      <c r="I1189" s="2">
        <v>0</v>
      </c>
      <c r="J1189" s="2">
        <v>0</v>
      </c>
      <c r="K1189" s="21">
        <v>0</v>
      </c>
      <c r="L1189" s="2">
        <v>0</v>
      </c>
      <c r="M1189" s="19">
        <v>356</v>
      </c>
      <c r="N1189" s="2">
        <f t="shared" ref="N1189" si="1732">M1189*4450</f>
        <v>1584200</v>
      </c>
      <c r="O1189" s="2">
        <v>0</v>
      </c>
      <c r="P1189" s="2">
        <f t="shared" ref="P1189:P1190" si="1733">O1189*1200</f>
        <v>0</v>
      </c>
      <c r="Q1189" s="19">
        <v>332.35</v>
      </c>
      <c r="R1189" s="2">
        <f t="shared" ref="R1189:R1190" si="1734">Q1189*3200</f>
        <v>1063520</v>
      </c>
      <c r="S1189" s="8">
        <v>0</v>
      </c>
      <c r="T1189" s="2">
        <v>0</v>
      </c>
      <c r="U1189" s="6">
        <f t="shared" si="1628"/>
        <v>4450</v>
      </c>
      <c r="V1189" s="1"/>
      <c r="W1189" s="1"/>
      <c r="X1189" s="1"/>
      <c r="Y1189" s="1"/>
      <c r="Z1189" s="1"/>
      <c r="AA1189" s="1"/>
      <c r="AB1189" s="1"/>
      <c r="AC1189" s="3"/>
    </row>
    <row r="1190" spans="1:29" ht="22.9" customHeight="1" x14ac:dyDescent="0.25">
      <c r="A1190" s="39" t="s">
        <v>2148</v>
      </c>
      <c r="B1190" s="9" t="s">
        <v>992</v>
      </c>
      <c r="C1190" s="7">
        <f t="shared" si="1730"/>
        <v>2999608</v>
      </c>
      <c r="D1190" s="2">
        <f>SUM(E1190:J1190)</f>
        <v>0</v>
      </c>
      <c r="E1190" s="2">
        <v>0</v>
      </c>
      <c r="F1190" s="2">
        <v>0</v>
      </c>
      <c r="G1190" s="2">
        <v>0</v>
      </c>
      <c r="H1190" s="2">
        <v>0</v>
      </c>
      <c r="I1190" s="2">
        <v>0</v>
      </c>
      <c r="J1190" s="2">
        <v>0</v>
      </c>
      <c r="K1190" s="21">
        <v>0</v>
      </c>
      <c r="L1190" s="2">
        <v>0</v>
      </c>
      <c r="M1190" s="19">
        <v>335</v>
      </c>
      <c r="N1190" s="2">
        <f>M1190*6600</f>
        <v>2211000</v>
      </c>
      <c r="O1190" s="2">
        <v>0</v>
      </c>
      <c r="P1190" s="2">
        <f t="shared" si="1733"/>
        <v>0</v>
      </c>
      <c r="Q1190" s="19">
        <v>246.44</v>
      </c>
      <c r="R1190" s="2">
        <f t="shared" si="1734"/>
        <v>788608</v>
      </c>
      <c r="S1190" s="8">
        <v>0</v>
      </c>
      <c r="T1190" s="2">
        <v>0</v>
      </c>
      <c r="U1190" s="6">
        <f t="shared" si="1628"/>
        <v>6600</v>
      </c>
    </row>
    <row r="1191" spans="1:29" ht="45" customHeight="1" x14ac:dyDescent="0.25">
      <c r="A1191" s="43" t="s">
        <v>1003</v>
      </c>
      <c r="B1191" s="43"/>
      <c r="C1191" s="1">
        <f>SUM(C1192:C1196)</f>
        <v>30280527.5</v>
      </c>
      <c r="D1191" s="1">
        <f t="shared" ref="D1191:T1191" si="1735">SUM(D1192:D1196)</f>
        <v>12212047.5</v>
      </c>
      <c r="E1191" s="1">
        <f t="shared" si="1735"/>
        <v>2802765</v>
      </c>
      <c r="F1191" s="1">
        <f t="shared" si="1735"/>
        <v>5205135</v>
      </c>
      <c r="G1191" s="1">
        <f t="shared" si="1735"/>
        <v>1401382.5</v>
      </c>
      <c r="H1191" s="1">
        <f t="shared" si="1735"/>
        <v>1601580</v>
      </c>
      <c r="I1191" s="1">
        <f t="shared" si="1735"/>
        <v>1201185</v>
      </c>
      <c r="J1191" s="1">
        <f t="shared" si="1735"/>
        <v>0</v>
      </c>
      <c r="K1191" s="33">
        <f t="shared" si="1735"/>
        <v>0</v>
      </c>
      <c r="L1191" s="1">
        <f t="shared" si="1735"/>
        <v>0</v>
      </c>
      <c r="M1191" s="1">
        <f t="shared" si="1735"/>
        <v>1826.4</v>
      </c>
      <c r="N1191" s="1">
        <f t="shared" si="1735"/>
        <v>10320480</v>
      </c>
      <c r="O1191" s="1">
        <f t="shared" si="1735"/>
        <v>0</v>
      </c>
      <c r="P1191" s="1">
        <f t="shared" si="1735"/>
        <v>0</v>
      </c>
      <c r="Q1191" s="1">
        <f t="shared" si="1735"/>
        <v>2265</v>
      </c>
      <c r="R1191" s="1">
        <f t="shared" si="1735"/>
        <v>7248000</v>
      </c>
      <c r="S1191" s="1">
        <f t="shared" si="1735"/>
        <v>0</v>
      </c>
      <c r="T1191" s="1">
        <f t="shared" si="1735"/>
        <v>500000</v>
      </c>
      <c r="U1191" s="3" t="e">
        <f>C1191+#REF!+#REF!</f>
        <v>#REF!</v>
      </c>
    </row>
    <row r="1192" spans="1:29" ht="22.9" customHeight="1" x14ac:dyDescent="0.25">
      <c r="A1192" s="39" t="s">
        <v>2149</v>
      </c>
      <c r="B1192" s="9" t="s">
        <v>1004</v>
      </c>
      <c r="C1192" s="7">
        <f t="shared" ref="C1192:C1196" si="1736">D1192+L1192+N1192+P1192+R1192+S1192+T1192</f>
        <v>5657562.5</v>
      </c>
      <c r="D1192" s="2">
        <f t="shared" ref="D1192:D1196" si="1737">SUM(E1192:J1192)</f>
        <v>2001562.5</v>
      </c>
      <c r="E1192" s="2">
        <f>700*656.25</f>
        <v>459375</v>
      </c>
      <c r="F1192" s="2">
        <f>1300*656.25</f>
        <v>853125</v>
      </c>
      <c r="G1192" s="2">
        <f>350*656.25</f>
        <v>229687.5</v>
      </c>
      <c r="H1192" s="2">
        <f>400*656.25</f>
        <v>262500</v>
      </c>
      <c r="I1192" s="2">
        <f>300*656.25</f>
        <v>196875</v>
      </c>
      <c r="J1192" s="2">
        <v>0</v>
      </c>
      <c r="K1192" s="21">
        <v>0</v>
      </c>
      <c r="L1192" s="2">
        <v>0</v>
      </c>
      <c r="M1192" s="19">
        <v>340</v>
      </c>
      <c r="N1192" s="2">
        <f>M1192*6600</f>
        <v>2244000</v>
      </c>
      <c r="O1192" s="2">
        <v>0</v>
      </c>
      <c r="P1192" s="2">
        <f t="shared" ref="P1192:P1219" si="1738">O1192*1200</f>
        <v>0</v>
      </c>
      <c r="Q1192" s="19">
        <v>410</v>
      </c>
      <c r="R1192" s="2">
        <f t="shared" ref="R1192:R1196" si="1739">Q1192*3200</f>
        <v>1312000</v>
      </c>
      <c r="S1192" s="8">
        <v>0</v>
      </c>
      <c r="T1192" s="2">
        <v>100000</v>
      </c>
      <c r="U1192" s="6">
        <f t="shared" si="1628"/>
        <v>6600</v>
      </c>
      <c r="V1192" s="1"/>
      <c r="W1192" s="1"/>
      <c r="X1192" s="1"/>
      <c r="Y1192" s="1"/>
      <c r="Z1192" s="1"/>
      <c r="AA1192" s="1"/>
      <c r="AB1192" s="1"/>
      <c r="AC1192" s="3"/>
    </row>
    <row r="1193" spans="1:29" ht="22.9" customHeight="1" x14ac:dyDescent="0.25">
      <c r="A1193" s="39" t="s">
        <v>2150</v>
      </c>
      <c r="B1193" s="9" t="s">
        <v>1005</v>
      </c>
      <c r="C1193" s="7">
        <f t="shared" si="1736"/>
        <v>5634535</v>
      </c>
      <c r="D1193" s="2">
        <f t="shared" si="1737"/>
        <v>1978535.0000000002</v>
      </c>
      <c r="E1193" s="2">
        <f>700*648.7</f>
        <v>454090.00000000006</v>
      </c>
      <c r="F1193" s="2">
        <f>1300*648.7</f>
        <v>843310.00000000012</v>
      </c>
      <c r="G1193" s="2">
        <f>350*648.7</f>
        <v>227045.00000000003</v>
      </c>
      <c r="H1193" s="2">
        <f>400*648.7</f>
        <v>259480.00000000003</v>
      </c>
      <c r="I1193" s="2">
        <f>300*648.7</f>
        <v>194610</v>
      </c>
      <c r="J1193" s="2">
        <v>0</v>
      </c>
      <c r="K1193" s="21">
        <v>0</v>
      </c>
      <c r="L1193" s="2">
        <v>0</v>
      </c>
      <c r="M1193" s="19">
        <v>340</v>
      </c>
      <c r="N1193" s="2">
        <f>M1193*6600</f>
        <v>2244000</v>
      </c>
      <c r="O1193" s="2">
        <v>0</v>
      </c>
      <c r="P1193" s="2">
        <f t="shared" si="1738"/>
        <v>0</v>
      </c>
      <c r="Q1193" s="19">
        <v>410</v>
      </c>
      <c r="R1193" s="2">
        <f t="shared" si="1739"/>
        <v>1312000</v>
      </c>
      <c r="S1193" s="8">
        <v>0</v>
      </c>
      <c r="T1193" s="2">
        <v>100000</v>
      </c>
      <c r="U1193" s="6">
        <f t="shared" si="1628"/>
        <v>6600</v>
      </c>
      <c r="V1193" s="1"/>
      <c r="W1193" s="1"/>
      <c r="X1193" s="1"/>
      <c r="Y1193" s="1"/>
      <c r="Z1193" s="1"/>
      <c r="AA1193" s="1"/>
      <c r="AB1193" s="1"/>
      <c r="AC1193" s="3"/>
    </row>
    <row r="1194" spans="1:29" ht="22.9" customHeight="1" x14ac:dyDescent="0.25">
      <c r="A1194" s="39" t="s">
        <v>2151</v>
      </c>
      <c r="B1194" s="9" t="s">
        <v>1006</v>
      </c>
      <c r="C1194" s="7">
        <f t="shared" si="1736"/>
        <v>5673410</v>
      </c>
      <c r="D1194" s="2">
        <f t="shared" si="1737"/>
        <v>2001410.0000000002</v>
      </c>
      <c r="E1194" s="2">
        <f>700*656.2</f>
        <v>459340.00000000006</v>
      </c>
      <c r="F1194" s="2">
        <f>1300*656.2</f>
        <v>853060.00000000012</v>
      </c>
      <c r="G1194" s="2">
        <f>350*656.2</f>
        <v>229670.00000000003</v>
      </c>
      <c r="H1194" s="2">
        <f>400*656.2</f>
        <v>262480</v>
      </c>
      <c r="I1194" s="2">
        <f>300*656.2</f>
        <v>196860</v>
      </c>
      <c r="J1194" s="2">
        <v>0</v>
      </c>
      <c r="K1194" s="21">
        <v>0</v>
      </c>
      <c r="L1194" s="2">
        <v>0</v>
      </c>
      <c r="M1194" s="19">
        <v>340</v>
      </c>
      <c r="N1194" s="2">
        <f>M1194*6600</f>
        <v>2244000</v>
      </c>
      <c r="O1194" s="2">
        <v>0</v>
      </c>
      <c r="P1194" s="2">
        <f t="shared" si="1738"/>
        <v>0</v>
      </c>
      <c r="Q1194" s="19">
        <v>415</v>
      </c>
      <c r="R1194" s="2">
        <f t="shared" si="1739"/>
        <v>1328000</v>
      </c>
      <c r="S1194" s="8">
        <v>0</v>
      </c>
      <c r="T1194" s="2">
        <v>100000</v>
      </c>
      <c r="U1194" s="6">
        <f t="shared" si="1628"/>
        <v>6600</v>
      </c>
      <c r="V1194" s="1"/>
      <c r="W1194" s="1"/>
      <c r="X1194" s="1"/>
      <c r="Y1194" s="1"/>
      <c r="Z1194" s="1"/>
      <c r="AA1194" s="1"/>
      <c r="AB1194" s="1"/>
      <c r="AC1194" s="3"/>
    </row>
    <row r="1195" spans="1:29" ht="22.9" customHeight="1" x14ac:dyDescent="0.25">
      <c r="A1195" s="39" t="s">
        <v>2152</v>
      </c>
      <c r="B1195" s="9" t="s">
        <v>1007</v>
      </c>
      <c r="C1195" s="7">
        <f t="shared" si="1736"/>
        <v>6656900</v>
      </c>
      <c r="D1195" s="2">
        <f t="shared" si="1737"/>
        <v>3114660</v>
      </c>
      <c r="E1195" s="2">
        <f>700*1021.2</f>
        <v>714840</v>
      </c>
      <c r="F1195" s="2">
        <f>1300*1021.2</f>
        <v>1327560</v>
      </c>
      <c r="G1195" s="2">
        <f>350*1021.2</f>
        <v>357420</v>
      </c>
      <c r="H1195" s="2">
        <f>400*1021.2</f>
        <v>408480</v>
      </c>
      <c r="I1195" s="2">
        <f>300*1021.2</f>
        <v>306360</v>
      </c>
      <c r="J1195" s="2">
        <v>0</v>
      </c>
      <c r="K1195" s="21">
        <v>0</v>
      </c>
      <c r="L1195" s="2">
        <v>0</v>
      </c>
      <c r="M1195" s="19">
        <v>403.2</v>
      </c>
      <c r="N1195" s="2">
        <f t="shared" ref="N1195:N1219" si="1740">M1195*4450</f>
        <v>1794240</v>
      </c>
      <c r="O1195" s="2">
        <v>0</v>
      </c>
      <c r="P1195" s="2">
        <f t="shared" si="1738"/>
        <v>0</v>
      </c>
      <c r="Q1195" s="19">
        <v>515</v>
      </c>
      <c r="R1195" s="2">
        <f t="shared" si="1739"/>
        <v>1648000</v>
      </c>
      <c r="S1195" s="8">
        <v>0</v>
      </c>
      <c r="T1195" s="2">
        <v>100000</v>
      </c>
      <c r="U1195" s="6">
        <f t="shared" si="1628"/>
        <v>4450</v>
      </c>
      <c r="V1195" s="1"/>
      <c r="W1195" s="1"/>
      <c r="X1195" s="1"/>
      <c r="Y1195" s="1"/>
      <c r="Z1195" s="1"/>
      <c r="AA1195" s="1"/>
      <c r="AB1195" s="1"/>
      <c r="AC1195" s="3"/>
    </row>
    <row r="1196" spans="1:29" ht="22.9" customHeight="1" x14ac:dyDescent="0.25">
      <c r="A1196" s="39" t="s">
        <v>2153</v>
      </c>
      <c r="B1196" s="9" t="s">
        <v>1008</v>
      </c>
      <c r="C1196" s="7">
        <f t="shared" si="1736"/>
        <v>6658120</v>
      </c>
      <c r="D1196" s="2">
        <f t="shared" si="1737"/>
        <v>3115880</v>
      </c>
      <c r="E1196" s="2">
        <f>700*1021.6</f>
        <v>715120</v>
      </c>
      <c r="F1196" s="2">
        <f>1300*1021.6</f>
        <v>1328080</v>
      </c>
      <c r="G1196" s="2">
        <f>350*1021.6</f>
        <v>357560</v>
      </c>
      <c r="H1196" s="2">
        <f>400*1021.6</f>
        <v>408640</v>
      </c>
      <c r="I1196" s="2">
        <f>300*1021.6</f>
        <v>306480</v>
      </c>
      <c r="J1196" s="2">
        <v>0</v>
      </c>
      <c r="K1196" s="21">
        <v>0</v>
      </c>
      <c r="L1196" s="2">
        <v>0</v>
      </c>
      <c r="M1196" s="19">
        <v>403.2</v>
      </c>
      <c r="N1196" s="2">
        <f t="shared" si="1740"/>
        <v>1794240</v>
      </c>
      <c r="O1196" s="2">
        <v>0</v>
      </c>
      <c r="P1196" s="2">
        <f t="shared" si="1738"/>
        <v>0</v>
      </c>
      <c r="Q1196" s="19">
        <v>515</v>
      </c>
      <c r="R1196" s="2">
        <f t="shared" si="1739"/>
        <v>1648000</v>
      </c>
      <c r="S1196" s="8">
        <v>0</v>
      </c>
      <c r="T1196" s="2">
        <v>100000</v>
      </c>
      <c r="U1196" s="6">
        <f t="shared" si="1628"/>
        <v>4450</v>
      </c>
    </row>
    <row r="1197" spans="1:29" ht="45" customHeight="1" x14ac:dyDescent="0.25">
      <c r="A1197" s="43" t="s">
        <v>1009</v>
      </c>
      <c r="B1197" s="43"/>
      <c r="C1197" s="1">
        <f t="shared" ref="C1197:T1197" si="1741">SUM(C1198:C1200)</f>
        <v>14498360</v>
      </c>
      <c r="D1197" s="1">
        <f t="shared" si="1741"/>
        <v>3501000</v>
      </c>
      <c r="E1197" s="1">
        <f t="shared" si="1741"/>
        <v>816900</v>
      </c>
      <c r="F1197" s="1">
        <f t="shared" si="1741"/>
        <v>1517100</v>
      </c>
      <c r="G1197" s="1">
        <f t="shared" si="1741"/>
        <v>350100</v>
      </c>
      <c r="H1197" s="1">
        <f t="shared" si="1741"/>
        <v>466800</v>
      </c>
      <c r="I1197" s="1">
        <f t="shared" si="1741"/>
        <v>350100</v>
      </c>
      <c r="J1197" s="1">
        <f t="shared" si="1741"/>
        <v>0</v>
      </c>
      <c r="K1197" s="33">
        <f t="shared" si="1741"/>
        <v>0</v>
      </c>
      <c r="L1197" s="1">
        <f t="shared" si="1741"/>
        <v>0</v>
      </c>
      <c r="M1197" s="1">
        <f t="shared" si="1741"/>
        <v>1270</v>
      </c>
      <c r="N1197" s="1">
        <f t="shared" si="1741"/>
        <v>8382000</v>
      </c>
      <c r="O1197" s="1">
        <f t="shared" si="1741"/>
        <v>0</v>
      </c>
      <c r="P1197" s="1">
        <f t="shared" si="1741"/>
        <v>0</v>
      </c>
      <c r="Q1197" s="1">
        <f t="shared" si="1741"/>
        <v>754.8</v>
      </c>
      <c r="R1197" s="1">
        <f t="shared" si="1741"/>
        <v>2415360</v>
      </c>
      <c r="S1197" s="1">
        <f t="shared" si="1741"/>
        <v>0</v>
      </c>
      <c r="T1197" s="1">
        <f t="shared" si="1741"/>
        <v>200000</v>
      </c>
      <c r="U1197" s="3" t="e">
        <f>C1197+#REF!+#REF!</f>
        <v>#REF!</v>
      </c>
    </row>
    <row r="1198" spans="1:29" ht="22.9" customHeight="1" x14ac:dyDescent="0.25">
      <c r="A1198" s="39" t="s">
        <v>2154</v>
      </c>
      <c r="B1198" s="9" t="s">
        <v>1014</v>
      </c>
      <c r="C1198" s="13">
        <f t="shared" ref="C1198:C1200" si="1742">D1198+L1198+N1198+P1198+R1198+S1198+T1198</f>
        <v>5904680</v>
      </c>
      <c r="D1198" s="2">
        <f t="shared" ref="D1198:D1200" si="1743">SUM(E1198:J1198)</f>
        <v>1734000</v>
      </c>
      <c r="E1198" s="2">
        <f>700*578</f>
        <v>404600</v>
      </c>
      <c r="F1198" s="2">
        <f>1300*578</f>
        <v>751400</v>
      </c>
      <c r="G1198" s="2">
        <f>300*578</f>
        <v>173400</v>
      </c>
      <c r="H1198" s="2">
        <f>400*578</f>
        <v>231200</v>
      </c>
      <c r="I1198" s="2">
        <f>300*578</f>
        <v>173400</v>
      </c>
      <c r="J1198" s="2">
        <v>0</v>
      </c>
      <c r="K1198" s="21">
        <v>0</v>
      </c>
      <c r="L1198" s="2">
        <v>0</v>
      </c>
      <c r="M1198" s="19">
        <v>435</v>
      </c>
      <c r="N1198" s="2">
        <f t="shared" ref="N1198:N1200" si="1744">M1198*6600</f>
        <v>2871000</v>
      </c>
      <c r="O1198" s="2">
        <v>0</v>
      </c>
      <c r="P1198" s="2">
        <f t="shared" ref="P1198:P1200" si="1745">O1198*1200</f>
        <v>0</v>
      </c>
      <c r="Q1198" s="19">
        <v>374.9</v>
      </c>
      <c r="R1198" s="2">
        <f t="shared" ref="R1198:R1199" si="1746">Q1198*3200</f>
        <v>1199680</v>
      </c>
      <c r="S1198" s="2">
        <v>0</v>
      </c>
      <c r="T1198" s="2">
        <v>100000</v>
      </c>
      <c r="U1198" s="6">
        <f t="shared" ref="U1198:U1200" si="1747">N1198/M1198</f>
        <v>6600</v>
      </c>
      <c r="V1198" s="1"/>
      <c r="W1198" s="1"/>
      <c r="X1198" s="1"/>
      <c r="Y1198" s="1"/>
      <c r="Z1198" s="1"/>
      <c r="AA1198" s="1"/>
      <c r="AB1198" s="1"/>
      <c r="AC1198" s="3"/>
    </row>
    <row r="1199" spans="1:29" ht="22.9" customHeight="1" x14ac:dyDescent="0.25">
      <c r="A1199" s="39" t="s">
        <v>2155</v>
      </c>
      <c r="B1199" s="9" t="s">
        <v>1015</v>
      </c>
      <c r="C1199" s="13">
        <f t="shared" si="1742"/>
        <v>5953680</v>
      </c>
      <c r="D1199" s="2">
        <f t="shared" si="1743"/>
        <v>1767000</v>
      </c>
      <c r="E1199" s="2">
        <f>700*589</f>
        <v>412300</v>
      </c>
      <c r="F1199" s="2">
        <f>1300*589</f>
        <v>765700</v>
      </c>
      <c r="G1199" s="2">
        <f>300*589</f>
        <v>176700</v>
      </c>
      <c r="H1199" s="2">
        <f>400*589</f>
        <v>235600</v>
      </c>
      <c r="I1199" s="2">
        <f>300*589</f>
        <v>176700</v>
      </c>
      <c r="J1199" s="2">
        <v>0</v>
      </c>
      <c r="K1199" s="21">
        <v>0</v>
      </c>
      <c r="L1199" s="2">
        <v>0</v>
      </c>
      <c r="M1199" s="19">
        <v>435</v>
      </c>
      <c r="N1199" s="2">
        <f t="shared" si="1744"/>
        <v>2871000</v>
      </c>
      <c r="O1199" s="2">
        <v>0</v>
      </c>
      <c r="P1199" s="2">
        <f t="shared" si="1745"/>
        <v>0</v>
      </c>
      <c r="Q1199" s="19">
        <v>379.9</v>
      </c>
      <c r="R1199" s="2">
        <f t="shared" si="1746"/>
        <v>1215680</v>
      </c>
      <c r="S1199" s="2">
        <v>0</v>
      </c>
      <c r="T1199" s="2">
        <v>100000</v>
      </c>
      <c r="U1199" s="6">
        <f t="shared" si="1747"/>
        <v>6600</v>
      </c>
      <c r="V1199" s="1"/>
      <c r="W1199" s="1"/>
      <c r="X1199" s="1"/>
      <c r="Y1199" s="1"/>
      <c r="Z1199" s="1"/>
      <c r="AA1199" s="1"/>
      <c r="AB1199" s="1"/>
      <c r="AC1199" s="3"/>
    </row>
    <row r="1200" spans="1:29" ht="22.9" customHeight="1" x14ac:dyDescent="0.25">
      <c r="A1200" s="39" t="s">
        <v>2156</v>
      </c>
      <c r="B1200" s="9" t="s">
        <v>1016</v>
      </c>
      <c r="C1200" s="13">
        <f t="shared" si="1742"/>
        <v>2640000</v>
      </c>
      <c r="D1200" s="2">
        <f t="shared" si="1743"/>
        <v>0</v>
      </c>
      <c r="E1200" s="2">
        <v>0</v>
      </c>
      <c r="F1200" s="2">
        <v>0</v>
      </c>
      <c r="G1200" s="2">
        <v>0</v>
      </c>
      <c r="H1200" s="2">
        <v>0</v>
      </c>
      <c r="I1200" s="2">
        <v>0</v>
      </c>
      <c r="J1200" s="2">
        <v>0</v>
      </c>
      <c r="K1200" s="21">
        <v>0</v>
      </c>
      <c r="L1200" s="2">
        <v>0</v>
      </c>
      <c r="M1200" s="19">
        <v>400</v>
      </c>
      <c r="N1200" s="2">
        <f t="shared" si="1744"/>
        <v>2640000</v>
      </c>
      <c r="O1200" s="2">
        <v>0</v>
      </c>
      <c r="P1200" s="2">
        <f t="shared" si="1745"/>
        <v>0</v>
      </c>
      <c r="Q1200" s="19">
        <v>0</v>
      </c>
      <c r="R1200" s="2">
        <v>0</v>
      </c>
      <c r="S1200" s="2">
        <v>0</v>
      </c>
      <c r="T1200" s="2">
        <v>0</v>
      </c>
      <c r="U1200" s="6">
        <f t="shared" si="1747"/>
        <v>6600</v>
      </c>
      <c r="V1200" s="1"/>
      <c r="W1200" s="1"/>
      <c r="X1200" s="1"/>
      <c r="Y1200" s="1"/>
      <c r="Z1200" s="1"/>
      <c r="AA1200" s="1"/>
      <c r="AB1200" s="1"/>
      <c r="AC1200" s="3"/>
    </row>
    <row r="1201" spans="1:29" ht="45" customHeight="1" x14ac:dyDescent="0.25">
      <c r="A1201" s="43" t="s">
        <v>1017</v>
      </c>
      <c r="B1201" s="43"/>
      <c r="C1201" s="1">
        <f>SUM(C1202:C1207)</f>
        <v>35664797</v>
      </c>
      <c r="D1201" s="1">
        <f t="shared" ref="D1201:T1201" si="1748">SUM(D1202:D1207)</f>
        <v>11378147</v>
      </c>
      <c r="E1201" s="1">
        <f t="shared" si="1748"/>
        <v>2611378</v>
      </c>
      <c r="F1201" s="1">
        <f t="shared" si="1748"/>
        <v>4849702</v>
      </c>
      <c r="G1201" s="1">
        <f t="shared" si="1748"/>
        <v>1305689</v>
      </c>
      <c r="H1201" s="1">
        <f t="shared" si="1748"/>
        <v>1492216</v>
      </c>
      <c r="I1201" s="1">
        <f t="shared" si="1748"/>
        <v>1119162</v>
      </c>
      <c r="J1201" s="1">
        <f t="shared" si="1748"/>
        <v>0</v>
      </c>
      <c r="K1201" s="33">
        <f t="shared" si="1748"/>
        <v>0</v>
      </c>
      <c r="L1201" s="1">
        <f t="shared" si="1748"/>
        <v>0</v>
      </c>
      <c r="M1201" s="1">
        <f t="shared" si="1748"/>
        <v>2397</v>
      </c>
      <c r="N1201" s="1">
        <f t="shared" si="1748"/>
        <v>10666650</v>
      </c>
      <c r="O1201" s="1">
        <f t="shared" si="1748"/>
        <v>0</v>
      </c>
      <c r="P1201" s="1">
        <f t="shared" si="1748"/>
        <v>0</v>
      </c>
      <c r="Q1201" s="1">
        <f t="shared" si="1748"/>
        <v>4100</v>
      </c>
      <c r="R1201" s="1">
        <f t="shared" si="1748"/>
        <v>13120000</v>
      </c>
      <c r="S1201" s="1">
        <f t="shared" si="1748"/>
        <v>0</v>
      </c>
      <c r="T1201" s="1">
        <f t="shared" si="1748"/>
        <v>500000</v>
      </c>
      <c r="U1201" s="3" t="e">
        <f>C1201+#REF!+#REF!</f>
        <v>#REF!</v>
      </c>
    </row>
    <row r="1202" spans="1:29" ht="22.9" customHeight="1" x14ac:dyDescent="0.25">
      <c r="A1202" s="39" t="s">
        <v>2157</v>
      </c>
      <c r="B1202" s="9" t="s">
        <v>1025</v>
      </c>
      <c r="C1202" s="7">
        <f t="shared" ref="C1202:C1207" si="1749">D1202+L1202+N1202+P1202+R1202+S1202+T1202</f>
        <v>4389710</v>
      </c>
      <c r="D1202" s="2">
        <f t="shared" ref="D1202:D1207" si="1750">SUM(E1202:J1202)</f>
        <v>2852360</v>
      </c>
      <c r="E1202" s="2">
        <f>700*935.2</f>
        <v>654640</v>
      </c>
      <c r="F1202" s="2">
        <f>1300*935.2</f>
        <v>1215760</v>
      </c>
      <c r="G1202" s="2">
        <f>350*935.2</f>
        <v>327320</v>
      </c>
      <c r="H1202" s="2">
        <f>400*935.2</f>
        <v>374080</v>
      </c>
      <c r="I1202" s="2">
        <f>300*935.2</f>
        <v>280560</v>
      </c>
      <c r="J1202" s="2">
        <v>0</v>
      </c>
      <c r="K1202" s="21">
        <v>0</v>
      </c>
      <c r="L1202" s="2">
        <v>0</v>
      </c>
      <c r="M1202" s="19">
        <v>323</v>
      </c>
      <c r="N1202" s="2">
        <f t="shared" si="1740"/>
        <v>1437350</v>
      </c>
      <c r="O1202" s="2">
        <v>0</v>
      </c>
      <c r="P1202" s="2">
        <f t="shared" si="1738"/>
        <v>0</v>
      </c>
      <c r="Q1202" s="19">
        <v>0</v>
      </c>
      <c r="R1202" s="2">
        <f t="shared" ref="R1202:R1207" si="1751">Q1202*3200</f>
        <v>0</v>
      </c>
      <c r="S1202" s="8">
        <v>0</v>
      </c>
      <c r="T1202" s="2">
        <v>100000</v>
      </c>
      <c r="U1202" s="6">
        <f t="shared" ref="U1202:U1207" si="1752">N1202/M1202</f>
        <v>4450</v>
      </c>
      <c r="V1202" s="1"/>
      <c r="W1202" s="1"/>
      <c r="X1202" s="1"/>
      <c r="Y1202" s="1"/>
      <c r="Z1202" s="1"/>
      <c r="AA1202" s="1"/>
      <c r="AB1202" s="1"/>
      <c r="AC1202" s="3"/>
    </row>
    <row r="1203" spans="1:29" ht="22.9" customHeight="1" x14ac:dyDescent="0.25">
      <c r="A1203" s="39" t="s">
        <v>2158</v>
      </c>
      <c r="B1203" s="9" t="s">
        <v>1026</v>
      </c>
      <c r="C1203" s="7">
        <f t="shared" si="1749"/>
        <v>6725621</v>
      </c>
      <c r="D1203" s="2">
        <f t="shared" si="1750"/>
        <v>2132621</v>
      </c>
      <c r="E1203" s="2">
        <f>700*699.22</f>
        <v>489454</v>
      </c>
      <c r="F1203" s="2">
        <f>1300*699.22</f>
        <v>908986</v>
      </c>
      <c r="G1203" s="2">
        <f>350*699.22</f>
        <v>244727</v>
      </c>
      <c r="H1203" s="2">
        <f>400*699.22</f>
        <v>279688</v>
      </c>
      <c r="I1203" s="2">
        <f>300*699.22</f>
        <v>209766</v>
      </c>
      <c r="J1203" s="2">
        <v>0</v>
      </c>
      <c r="K1203" s="21">
        <v>0</v>
      </c>
      <c r="L1203" s="2">
        <v>0</v>
      </c>
      <c r="M1203" s="19">
        <v>420</v>
      </c>
      <c r="N1203" s="2">
        <f t="shared" si="1740"/>
        <v>1869000</v>
      </c>
      <c r="O1203" s="2">
        <v>0</v>
      </c>
      <c r="P1203" s="2">
        <f t="shared" si="1738"/>
        <v>0</v>
      </c>
      <c r="Q1203" s="19">
        <v>820</v>
      </c>
      <c r="R1203" s="2">
        <f t="shared" si="1751"/>
        <v>2624000</v>
      </c>
      <c r="S1203" s="8">
        <v>0</v>
      </c>
      <c r="T1203" s="2">
        <v>100000</v>
      </c>
      <c r="U1203" s="6">
        <f t="shared" si="1752"/>
        <v>4450</v>
      </c>
      <c r="V1203" s="1"/>
      <c r="W1203" s="1"/>
      <c r="X1203" s="1"/>
      <c r="Y1203" s="1"/>
      <c r="Z1203" s="1"/>
      <c r="AA1203" s="1"/>
      <c r="AB1203" s="1"/>
      <c r="AC1203" s="3"/>
    </row>
    <row r="1204" spans="1:29" ht="22.9" customHeight="1" x14ac:dyDescent="0.25">
      <c r="A1204" s="39" t="s">
        <v>2159</v>
      </c>
      <c r="B1204" s="9" t="s">
        <v>1027</v>
      </c>
      <c r="C1204" s="7">
        <f t="shared" si="1749"/>
        <v>4233200</v>
      </c>
      <c r="D1204" s="2">
        <f t="shared" si="1750"/>
        <v>0</v>
      </c>
      <c r="E1204" s="2">
        <v>0</v>
      </c>
      <c r="F1204" s="2">
        <v>0</v>
      </c>
      <c r="G1204" s="2">
        <v>0</v>
      </c>
      <c r="H1204" s="2">
        <v>0</v>
      </c>
      <c r="I1204" s="2">
        <v>0</v>
      </c>
      <c r="J1204" s="2">
        <v>0</v>
      </c>
      <c r="K1204" s="21">
        <v>0</v>
      </c>
      <c r="L1204" s="2">
        <v>0</v>
      </c>
      <c r="M1204" s="19">
        <v>376</v>
      </c>
      <c r="N1204" s="2">
        <f t="shared" si="1740"/>
        <v>1673200</v>
      </c>
      <c r="O1204" s="2">
        <v>0</v>
      </c>
      <c r="P1204" s="2">
        <f t="shared" si="1738"/>
        <v>0</v>
      </c>
      <c r="Q1204" s="19">
        <v>800</v>
      </c>
      <c r="R1204" s="2">
        <f t="shared" si="1751"/>
        <v>2560000</v>
      </c>
      <c r="S1204" s="8">
        <v>0</v>
      </c>
      <c r="T1204" s="2">
        <v>0</v>
      </c>
      <c r="U1204" s="6">
        <f t="shared" si="1752"/>
        <v>4450</v>
      </c>
      <c r="V1204" s="1"/>
      <c r="W1204" s="1"/>
      <c r="X1204" s="1"/>
      <c r="Y1204" s="1"/>
      <c r="Z1204" s="1"/>
      <c r="AA1204" s="1"/>
      <c r="AB1204" s="1"/>
      <c r="AC1204" s="3"/>
    </row>
    <row r="1205" spans="1:29" ht="22.9" customHeight="1" x14ac:dyDescent="0.25">
      <c r="A1205" s="39" t="s">
        <v>2160</v>
      </c>
      <c r="B1205" s="9" t="s">
        <v>1028</v>
      </c>
      <c r="C1205" s="7">
        <f t="shared" si="1749"/>
        <v>6672250</v>
      </c>
      <c r="D1205" s="2">
        <f t="shared" si="1750"/>
        <v>2165500</v>
      </c>
      <c r="E1205" s="2">
        <f>700*710</f>
        <v>497000</v>
      </c>
      <c r="F1205" s="2">
        <f>1300*710</f>
        <v>923000</v>
      </c>
      <c r="G1205" s="2">
        <f>350*710</f>
        <v>248500</v>
      </c>
      <c r="H1205" s="2">
        <f>400*710</f>
        <v>284000</v>
      </c>
      <c r="I1205" s="2">
        <f>300*710</f>
        <v>213000</v>
      </c>
      <c r="J1205" s="2">
        <v>0</v>
      </c>
      <c r="K1205" s="21">
        <v>0</v>
      </c>
      <c r="L1205" s="2">
        <v>0</v>
      </c>
      <c r="M1205" s="19">
        <v>415</v>
      </c>
      <c r="N1205" s="2">
        <f t="shared" si="1740"/>
        <v>1846750</v>
      </c>
      <c r="O1205" s="2">
        <v>0</v>
      </c>
      <c r="P1205" s="2">
        <f t="shared" si="1738"/>
        <v>0</v>
      </c>
      <c r="Q1205" s="19">
        <v>800</v>
      </c>
      <c r="R1205" s="2">
        <f t="shared" si="1751"/>
        <v>2560000</v>
      </c>
      <c r="S1205" s="8">
        <v>0</v>
      </c>
      <c r="T1205" s="2">
        <v>100000</v>
      </c>
      <c r="U1205" s="6">
        <f t="shared" si="1752"/>
        <v>4450</v>
      </c>
      <c r="V1205" s="1"/>
      <c r="W1205" s="1"/>
      <c r="X1205" s="1"/>
      <c r="Y1205" s="1"/>
      <c r="Z1205" s="1"/>
      <c r="AA1205" s="1"/>
      <c r="AB1205" s="1"/>
      <c r="AC1205" s="3"/>
    </row>
    <row r="1206" spans="1:29" ht="22.9" customHeight="1" x14ac:dyDescent="0.25">
      <c r="A1206" s="39" t="s">
        <v>2161</v>
      </c>
      <c r="B1206" s="9" t="s">
        <v>1029</v>
      </c>
      <c r="C1206" s="7">
        <f t="shared" si="1749"/>
        <v>6848172.5</v>
      </c>
      <c r="D1206" s="2">
        <f t="shared" si="1750"/>
        <v>2133322.5</v>
      </c>
      <c r="E1206" s="2">
        <f>700*699.45</f>
        <v>489615.00000000006</v>
      </c>
      <c r="F1206" s="2">
        <f>1300*699.45</f>
        <v>909285.00000000012</v>
      </c>
      <c r="G1206" s="2">
        <f>350*699.45</f>
        <v>244807.50000000003</v>
      </c>
      <c r="H1206" s="2">
        <f>400*699.45</f>
        <v>279780</v>
      </c>
      <c r="I1206" s="2">
        <f>300*699.45</f>
        <v>209835</v>
      </c>
      <c r="J1206" s="2">
        <v>0</v>
      </c>
      <c r="K1206" s="21">
        <v>0</v>
      </c>
      <c r="L1206" s="2">
        <v>0</v>
      </c>
      <c r="M1206" s="19">
        <v>433</v>
      </c>
      <c r="N1206" s="2">
        <f t="shared" si="1740"/>
        <v>1926850</v>
      </c>
      <c r="O1206" s="2">
        <v>0</v>
      </c>
      <c r="P1206" s="2">
        <f t="shared" si="1738"/>
        <v>0</v>
      </c>
      <c r="Q1206" s="19">
        <v>840</v>
      </c>
      <c r="R1206" s="2">
        <f t="shared" si="1751"/>
        <v>2688000</v>
      </c>
      <c r="S1206" s="8">
        <v>0</v>
      </c>
      <c r="T1206" s="2">
        <v>100000</v>
      </c>
      <c r="U1206" s="6">
        <f t="shared" si="1752"/>
        <v>4450</v>
      </c>
      <c r="V1206" s="1"/>
      <c r="W1206" s="1"/>
      <c r="X1206" s="1"/>
      <c r="Y1206" s="1"/>
      <c r="Z1206" s="1"/>
      <c r="AA1206" s="1"/>
      <c r="AB1206" s="1"/>
      <c r="AC1206" s="3"/>
    </row>
    <row r="1207" spans="1:29" ht="22.9" customHeight="1" x14ac:dyDescent="0.25">
      <c r="A1207" s="39" t="s">
        <v>2162</v>
      </c>
      <c r="B1207" s="9" t="s">
        <v>1030</v>
      </c>
      <c r="C1207" s="7">
        <f t="shared" si="1749"/>
        <v>6795843.5</v>
      </c>
      <c r="D1207" s="2">
        <f t="shared" si="1750"/>
        <v>2094343.5</v>
      </c>
      <c r="E1207" s="2">
        <f>700*686.67</f>
        <v>480669</v>
      </c>
      <c r="F1207" s="2">
        <f>1300*686.67</f>
        <v>892671</v>
      </c>
      <c r="G1207" s="2">
        <f>350*686.67</f>
        <v>240334.5</v>
      </c>
      <c r="H1207" s="2">
        <f>400*686.67</f>
        <v>274668</v>
      </c>
      <c r="I1207" s="2">
        <f>300*686.67</f>
        <v>206001</v>
      </c>
      <c r="J1207" s="2">
        <v>0</v>
      </c>
      <c r="K1207" s="21">
        <v>0</v>
      </c>
      <c r="L1207" s="2">
        <v>0</v>
      </c>
      <c r="M1207" s="19">
        <v>430</v>
      </c>
      <c r="N1207" s="2">
        <f t="shared" si="1740"/>
        <v>1913500</v>
      </c>
      <c r="O1207" s="2">
        <v>0</v>
      </c>
      <c r="P1207" s="2">
        <f t="shared" si="1738"/>
        <v>0</v>
      </c>
      <c r="Q1207" s="19">
        <v>840</v>
      </c>
      <c r="R1207" s="2">
        <f t="shared" si="1751"/>
        <v>2688000</v>
      </c>
      <c r="S1207" s="8">
        <v>0</v>
      </c>
      <c r="T1207" s="2">
        <v>100000</v>
      </c>
      <c r="U1207" s="6">
        <f t="shared" si="1752"/>
        <v>4450</v>
      </c>
      <c r="V1207" s="1"/>
      <c r="W1207" s="1"/>
      <c r="X1207" s="1"/>
      <c r="Y1207" s="1"/>
      <c r="Z1207" s="1"/>
      <c r="AA1207" s="1"/>
      <c r="AB1207" s="1"/>
      <c r="AC1207" s="3"/>
    </row>
    <row r="1208" spans="1:29" ht="45" customHeight="1" x14ac:dyDescent="0.25">
      <c r="A1208" s="43" t="s">
        <v>1074</v>
      </c>
      <c r="B1208" s="43"/>
      <c r="C1208" s="1">
        <f>SUM(C1209:C1217)</f>
        <v>36500036.5</v>
      </c>
      <c r="D1208" s="1">
        <f t="shared" ref="D1208:T1208" si="1753">SUM(D1209:D1217)</f>
        <v>2871190</v>
      </c>
      <c r="E1208" s="1">
        <f t="shared" si="1753"/>
        <v>2871190</v>
      </c>
      <c r="F1208" s="1">
        <f t="shared" si="1753"/>
        <v>0</v>
      </c>
      <c r="G1208" s="1">
        <f t="shared" si="1753"/>
        <v>0</v>
      </c>
      <c r="H1208" s="1">
        <f t="shared" si="1753"/>
        <v>0</v>
      </c>
      <c r="I1208" s="1">
        <f t="shared" si="1753"/>
        <v>0</v>
      </c>
      <c r="J1208" s="1">
        <f t="shared" si="1753"/>
        <v>0</v>
      </c>
      <c r="K1208" s="33">
        <f t="shared" si="1753"/>
        <v>0</v>
      </c>
      <c r="L1208" s="1">
        <f t="shared" si="1753"/>
        <v>0</v>
      </c>
      <c r="M1208" s="1">
        <f t="shared" si="1753"/>
        <v>4101.8100000000004</v>
      </c>
      <c r="N1208" s="1">
        <f t="shared" si="1753"/>
        <v>18253054.5</v>
      </c>
      <c r="O1208" s="1">
        <f t="shared" si="1753"/>
        <v>0</v>
      </c>
      <c r="P1208" s="1">
        <f t="shared" si="1753"/>
        <v>0</v>
      </c>
      <c r="Q1208" s="1">
        <f t="shared" si="1753"/>
        <v>4101.8100000000004</v>
      </c>
      <c r="R1208" s="1">
        <f t="shared" si="1753"/>
        <v>13125792</v>
      </c>
      <c r="S1208" s="1">
        <f t="shared" si="1753"/>
        <v>1350000</v>
      </c>
      <c r="T1208" s="1">
        <f t="shared" si="1753"/>
        <v>900000</v>
      </c>
      <c r="U1208" s="3" t="e">
        <f>C1208+#REF!+#REF!</f>
        <v>#REF!</v>
      </c>
    </row>
    <row r="1209" spans="1:29" ht="22.9" customHeight="1" x14ac:dyDescent="0.25">
      <c r="A1209" s="39" t="s">
        <v>2163</v>
      </c>
      <c r="B1209" s="9" t="s">
        <v>1055</v>
      </c>
      <c r="C1209" s="7">
        <f t="shared" ref="C1209:C1214" si="1754">D1209+L1209+N1209+P1209+R1209+S1209+T1209</f>
        <v>3812945</v>
      </c>
      <c r="D1209" s="2">
        <f t="shared" ref="D1209:D1214" si="1755">SUM(E1209:J1209)</f>
        <v>298690</v>
      </c>
      <c r="E1209" s="2">
        <f>700*426.7</f>
        <v>298690</v>
      </c>
      <c r="F1209" s="2">
        <v>0</v>
      </c>
      <c r="G1209" s="2">
        <v>0</v>
      </c>
      <c r="H1209" s="2">
        <v>0</v>
      </c>
      <c r="I1209" s="2">
        <v>0</v>
      </c>
      <c r="J1209" s="2">
        <v>0</v>
      </c>
      <c r="K1209" s="21">
        <v>0</v>
      </c>
      <c r="L1209" s="2">
        <v>0</v>
      </c>
      <c r="M1209" s="2">
        <v>426.7</v>
      </c>
      <c r="N1209" s="2">
        <f t="shared" si="1740"/>
        <v>1898815</v>
      </c>
      <c r="O1209" s="2">
        <v>0</v>
      </c>
      <c r="P1209" s="2">
        <f t="shared" si="1738"/>
        <v>0</v>
      </c>
      <c r="Q1209" s="2">
        <v>426.7</v>
      </c>
      <c r="R1209" s="2">
        <f t="shared" ref="R1209:R1214" si="1756">Q1209*3200</f>
        <v>1365440</v>
      </c>
      <c r="S1209" s="8">
        <v>150000</v>
      </c>
      <c r="T1209" s="2">
        <v>100000</v>
      </c>
      <c r="U1209" s="6">
        <f t="shared" ref="U1209:U1217" si="1757">N1209/M1209</f>
        <v>4450</v>
      </c>
      <c r="V1209" s="1"/>
      <c r="W1209" s="1"/>
      <c r="X1209" s="1"/>
      <c r="Y1209" s="1"/>
      <c r="Z1209" s="1"/>
      <c r="AA1209" s="1"/>
      <c r="AB1209" s="1"/>
      <c r="AC1209" s="3"/>
    </row>
    <row r="1210" spans="1:29" ht="22.9" customHeight="1" x14ac:dyDescent="0.25">
      <c r="A1210" s="39" t="s">
        <v>2164</v>
      </c>
      <c r="B1210" s="9" t="s">
        <v>1056</v>
      </c>
      <c r="C1210" s="7">
        <f t="shared" si="1754"/>
        <v>3787895</v>
      </c>
      <c r="D1210" s="2">
        <f t="shared" si="1755"/>
        <v>296590</v>
      </c>
      <c r="E1210" s="2">
        <f>700*423.7</f>
        <v>296590</v>
      </c>
      <c r="F1210" s="2">
        <v>0</v>
      </c>
      <c r="G1210" s="2">
        <v>0</v>
      </c>
      <c r="H1210" s="2">
        <v>0</v>
      </c>
      <c r="I1210" s="2">
        <v>0</v>
      </c>
      <c r="J1210" s="2">
        <v>0</v>
      </c>
      <c r="K1210" s="21">
        <v>0</v>
      </c>
      <c r="L1210" s="2">
        <v>0</v>
      </c>
      <c r="M1210" s="2">
        <v>423.7</v>
      </c>
      <c r="N1210" s="2">
        <f t="shared" si="1740"/>
        <v>1885465</v>
      </c>
      <c r="O1210" s="2">
        <v>0</v>
      </c>
      <c r="P1210" s="2">
        <f t="shared" si="1738"/>
        <v>0</v>
      </c>
      <c r="Q1210" s="2">
        <v>423.7</v>
      </c>
      <c r="R1210" s="2">
        <f t="shared" si="1756"/>
        <v>1355840</v>
      </c>
      <c r="S1210" s="8">
        <v>150000</v>
      </c>
      <c r="T1210" s="2">
        <v>100000</v>
      </c>
      <c r="U1210" s="6">
        <f t="shared" si="1757"/>
        <v>4450</v>
      </c>
      <c r="V1210" s="1"/>
      <c r="W1210" s="1"/>
      <c r="X1210" s="1"/>
      <c r="Y1210" s="1"/>
      <c r="Z1210" s="1"/>
      <c r="AA1210" s="1"/>
      <c r="AB1210" s="1"/>
      <c r="AC1210" s="3"/>
    </row>
    <row r="1211" spans="1:29" ht="22.9" customHeight="1" x14ac:dyDescent="0.25">
      <c r="A1211" s="39" t="s">
        <v>2165</v>
      </c>
      <c r="B1211" s="9" t="s">
        <v>1057</v>
      </c>
      <c r="C1211" s="7">
        <f t="shared" si="1754"/>
        <v>3813780</v>
      </c>
      <c r="D1211" s="2">
        <f t="shared" si="1755"/>
        <v>298760</v>
      </c>
      <c r="E1211" s="2">
        <f>700*426.8</f>
        <v>298760</v>
      </c>
      <c r="F1211" s="2">
        <v>0</v>
      </c>
      <c r="G1211" s="2">
        <v>0</v>
      </c>
      <c r="H1211" s="2">
        <v>0</v>
      </c>
      <c r="I1211" s="2">
        <v>0</v>
      </c>
      <c r="J1211" s="2">
        <v>0</v>
      </c>
      <c r="K1211" s="21">
        <v>0</v>
      </c>
      <c r="L1211" s="2">
        <v>0</v>
      </c>
      <c r="M1211" s="2">
        <v>426.8</v>
      </c>
      <c r="N1211" s="2">
        <f t="shared" si="1740"/>
        <v>1899260</v>
      </c>
      <c r="O1211" s="2">
        <v>0</v>
      </c>
      <c r="P1211" s="2">
        <f t="shared" si="1738"/>
        <v>0</v>
      </c>
      <c r="Q1211" s="2">
        <v>426.8</v>
      </c>
      <c r="R1211" s="2">
        <f t="shared" si="1756"/>
        <v>1365760</v>
      </c>
      <c r="S1211" s="8">
        <v>150000</v>
      </c>
      <c r="T1211" s="2">
        <v>100000</v>
      </c>
      <c r="U1211" s="6">
        <f t="shared" si="1757"/>
        <v>4450</v>
      </c>
      <c r="V1211" s="1"/>
      <c r="W1211" s="1"/>
      <c r="X1211" s="1"/>
      <c r="Y1211" s="1"/>
      <c r="Z1211" s="1"/>
      <c r="AA1211" s="1"/>
      <c r="AB1211" s="1"/>
      <c r="AC1211" s="3"/>
    </row>
    <row r="1212" spans="1:29" ht="22.9" customHeight="1" x14ac:dyDescent="0.25">
      <c r="A1212" s="39" t="s">
        <v>2166</v>
      </c>
      <c r="B1212" s="9" t="s">
        <v>1058</v>
      </c>
      <c r="C1212" s="7">
        <f t="shared" si="1754"/>
        <v>3876405</v>
      </c>
      <c r="D1212" s="2">
        <f t="shared" si="1755"/>
        <v>304010</v>
      </c>
      <c r="E1212" s="2">
        <f>700*434.3</f>
        <v>304010</v>
      </c>
      <c r="F1212" s="2">
        <v>0</v>
      </c>
      <c r="G1212" s="2">
        <v>0</v>
      </c>
      <c r="H1212" s="2">
        <v>0</v>
      </c>
      <c r="I1212" s="2">
        <v>0</v>
      </c>
      <c r="J1212" s="2">
        <v>0</v>
      </c>
      <c r="K1212" s="21">
        <v>0</v>
      </c>
      <c r="L1212" s="2">
        <v>0</v>
      </c>
      <c r="M1212" s="2">
        <v>434.3</v>
      </c>
      <c r="N1212" s="2">
        <f t="shared" si="1740"/>
        <v>1932635</v>
      </c>
      <c r="O1212" s="2">
        <v>0</v>
      </c>
      <c r="P1212" s="2">
        <f t="shared" si="1738"/>
        <v>0</v>
      </c>
      <c r="Q1212" s="2">
        <v>434.3</v>
      </c>
      <c r="R1212" s="2">
        <f t="shared" si="1756"/>
        <v>1389760</v>
      </c>
      <c r="S1212" s="8">
        <v>150000</v>
      </c>
      <c r="T1212" s="2">
        <v>100000</v>
      </c>
      <c r="U1212" s="6">
        <f t="shared" si="1757"/>
        <v>4450</v>
      </c>
      <c r="V1212" s="1"/>
      <c r="W1212" s="1"/>
      <c r="X1212" s="1"/>
      <c r="Y1212" s="1"/>
      <c r="Z1212" s="1"/>
      <c r="AA1212" s="1"/>
      <c r="AB1212" s="1"/>
      <c r="AC1212" s="3"/>
    </row>
    <row r="1213" spans="1:29" ht="22.9" customHeight="1" x14ac:dyDescent="0.25">
      <c r="A1213" s="39" t="s">
        <v>2167</v>
      </c>
      <c r="B1213" s="9" t="s">
        <v>1059</v>
      </c>
      <c r="C1213" s="7">
        <f t="shared" si="1754"/>
        <v>5151450</v>
      </c>
      <c r="D1213" s="2">
        <f t="shared" si="1755"/>
        <v>410900</v>
      </c>
      <c r="E1213" s="2">
        <f>700*587</f>
        <v>410900</v>
      </c>
      <c r="F1213" s="2">
        <v>0</v>
      </c>
      <c r="G1213" s="2">
        <v>0</v>
      </c>
      <c r="H1213" s="2">
        <v>0</v>
      </c>
      <c r="I1213" s="2">
        <v>0</v>
      </c>
      <c r="J1213" s="2">
        <v>0</v>
      </c>
      <c r="K1213" s="21">
        <v>0</v>
      </c>
      <c r="L1213" s="2">
        <v>0</v>
      </c>
      <c r="M1213" s="2">
        <v>587</v>
      </c>
      <c r="N1213" s="2">
        <f t="shared" si="1740"/>
        <v>2612150</v>
      </c>
      <c r="O1213" s="2">
        <v>0</v>
      </c>
      <c r="P1213" s="2">
        <f t="shared" si="1738"/>
        <v>0</v>
      </c>
      <c r="Q1213" s="2">
        <v>587</v>
      </c>
      <c r="R1213" s="2">
        <f t="shared" si="1756"/>
        <v>1878400</v>
      </c>
      <c r="S1213" s="8">
        <v>150000</v>
      </c>
      <c r="T1213" s="2">
        <v>100000</v>
      </c>
      <c r="U1213" s="6">
        <f t="shared" si="1757"/>
        <v>4450</v>
      </c>
      <c r="V1213" s="1"/>
      <c r="W1213" s="1"/>
      <c r="X1213" s="1"/>
      <c r="Y1213" s="1"/>
      <c r="Z1213" s="1"/>
      <c r="AA1213" s="1"/>
      <c r="AB1213" s="1"/>
      <c r="AC1213" s="3"/>
    </row>
    <row r="1214" spans="1:29" ht="22.9" customHeight="1" x14ac:dyDescent="0.25">
      <c r="A1214" s="39" t="s">
        <v>2168</v>
      </c>
      <c r="B1214" s="9" t="s">
        <v>1060</v>
      </c>
      <c r="C1214" s="7">
        <f t="shared" si="1754"/>
        <v>5234880</v>
      </c>
      <c r="D1214" s="2">
        <f t="shared" si="1755"/>
        <v>417830</v>
      </c>
      <c r="E1214" s="2">
        <f>700*596.9</f>
        <v>417830</v>
      </c>
      <c r="F1214" s="2">
        <v>0</v>
      </c>
      <c r="G1214" s="2">
        <v>0</v>
      </c>
      <c r="H1214" s="2">
        <v>0</v>
      </c>
      <c r="I1214" s="2">
        <v>0</v>
      </c>
      <c r="J1214" s="2">
        <v>0</v>
      </c>
      <c r="K1214" s="21">
        <v>0</v>
      </c>
      <c r="L1214" s="2">
        <v>0</v>
      </c>
      <c r="M1214" s="2">
        <v>597</v>
      </c>
      <c r="N1214" s="2">
        <f t="shared" si="1740"/>
        <v>2656650</v>
      </c>
      <c r="O1214" s="2">
        <v>0</v>
      </c>
      <c r="P1214" s="2">
        <f t="shared" si="1738"/>
        <v>0</v>
      </c>
      <c r="Q1214" s="2">
        <v>597</v>
      </c>
      <c r="R1214" s="2">
        <f t="shared" si="1756"/>
        <v>1910400</v>
      </c>
      <c r="S1214" s="8">
        <v>150000</v>
      </c>
      <c r="T1214" s="2">
        <v>100000</v>
      </c>
      <c r="U1214" s="6">
        <f t="shared" si="1757"/>
        <v>4450</v>
      </c>
      <c r="V1214" s="1"/>
      <c r="W1214" s="1"/>
      <c r="X1214" s="1"/>
      <c r="Y1214" s="1"/>
      <c r="Z1214" s="1"/>
      <c r="AA1214" s="1"/>
      <c r="AB1214" s="1"/>
      <c r="AC1214" s="3"/>
    </row>
    <row r="1215" spans="1:29" ht="22.9" customHeight="1" x14ac:dyDescent="0.25">
      <c r="A1215" s="39" t="s">
        <v>2169</v>
      </c>
      <c r="B1215" s="9" t="s">
        <v>1061</v>
      </c>
      <c r="C1215" s="7">
        <f t="shared" ref="C1215" si="1758">D1215+L1215+N1215+P1215+R1215+S1215+T1215</f>
        <v>1865725</v>
      </c>
      <c r="D1215" s="2">
        <f t="shared" ref="D1215" si="1759">SUM(E1215:J1215)</f>
        <v>135450</v>
      </c>
      <c r="E1215" s="2">
        <f>700*193.5</f>
        <v>135450</v>
      </c>
      <c r="F1215" s="2">
        <v>0</v>
      </c>
      <c r="G1215" s="2">
        <v>0</v>
      </c>
      <c r="H1215" s="2">
        <v>0</v>
      </c>
      <c r="I1215" s="2">
        <v>0</v>
      </c>
      <c r="J1215" s="2">
        <v>0</v>
      </c>
      <c r="K1215" s="21">
        <v>0</v>
      </c>
      <c r="L1215" s="2">
        <v>0</v>
      </c>
      <c r="M1215" s="2">
        <v>193.5</v>
      </c>
      <c r="N1215" s="2">
        <f t="shared" si="1740"/>
        <v>861075</v>
      </c>
      <c r="O1215" s="2">
        <v>0</v>
      </c>
      <c r="P1215" s="2">
        <f t="shared" si="1738"/>
        <v>0</v>
      </c>
      <c r="Q1215" s="2">
        <v>193.5</v>
      </c>
      <c r="R1215" s="2">
        <f t="shared" ref="R1215" si="1760">Q1215*3200</f>
        <v>619200</v>
      </c>
      <c r="S1215" s="8">
        <v>150000</v>
      </c>
      <c r="T1215" s="2">
        <v>100000</v>
      </c>
      <c r="U1215" s="6">
        <f t="shared" si="1757"/>
        <v>4450</v>
      </c>
      <c r="V1215" s="1"/>
      <c r="W1215" s="1"/>
      <c r="X1215" s="1"/>
      <c r="Y1215" s="1"/>
      <c r="Z1215" s="1"/>
      <c r="AA1215" s="1"/>
      <c r="AB1215" s="1"/>
      <c r="AC1215" s="3"/>
    </row>
    <row r="1216" spans="1:29" ht="22.9" customHeight="1" x14ac:dyDescent="0.25">
      <c r="A1216" s="39" t="s">
        <v>2170</v>
      </c>
      <c r="B1216" s="9" t="s">
        <v>1062</v>
      </c>
      <c r="C1216" s="7">
        <f t="shared" ref="C1216:C1217" si="1761">D1216+L1216+N1216+P1216+R1216+S1216+T1216</f>
        <v>3868890</v>
      </c>
      <c r="D1216" s="2">
        <f t="shared" ref="D1216:D1217" si="1762">SUM(E1216:J1216)</f>
        <v>303380</v>
      </c>
      <c r="E1216" s="2">
        <f>700*433.4</f>
        <v>303380</v>
      </c>
      <c r="F1216" s="2">
        <v>0</v>
      </c>
      <c r="G1216" s="2">
        <v>0</v>
      </c>
      <c r="H1216" s="2">
        <v>0</v>
      </c>
      <c r="I1216" s="2">
        <v>0</v>
      </c>
      <c r="J1216" s="2">
        <v>0</v>
      </c>
      <c r="K1216" s="21">
        <v>0</v>
      </c>
      <c r="L1216" s="2">
        <v>0</v>
      </c>
      <c r="M1216" s="2">
        <v>433.4</v>
      </c>
      <c r="N1216" s="2">
        <f t="shared" si="1740"/>
        <v>1928630</v>
      </c>
      <c r="O1216" s="2">
        <v>0</v>
      </c>
      <c r="P1216" s="2">
        <f t="shared" si="1738"/>
        <v>0</v>
      </c>
      <c r="Q1216" s="2">
        <v>433.4</v>
      </c>
      <c r="R1216" s="2">
        <f t="shared" ref="R1216:R1217" si="1763">Q1216*3200</f>
        <v>1386880</v>
      </c>
      <c r="S1216" s="8">
        <v>150000</v>
      </c>
      <c r="T1216" s="2">
        <v>100000</v>
      </c>
      <c r="U1216" s="6">
        <f t="shared" si="1757"/>
        <v>4450</v>
      </c>
      <c r="V1216" s="1"/>
      <c r="W1216" s="1"/>
      <c r="X1216" s="1"/>
      <c r="Y1216" s="1"/>
      <c r="Z1216" s="1"/>
      <c r="AA1216" s="1"/>
      <c r="AB1216" s="1"/>
      <c r="AC1216" s="3"/>
    </row>
    <row r="1217" spans="1:29" ht="22.9" customHeight="1" x14ac:dyDescent="0.25">
      <c r="A1217" s="39" t="s">
        <v>2171</v>
      </c>
      <c r="B1217" s="9" t="s">
        <v>1063</v>
      </c>
      <c r="C1217" s="7">
        <f t="shared" si="1761"/>
        <v>5088066.5</v>
      </c>
      <c r="D1217" s="2">
        <f t="shared" si="1762"/>
        <v>405580</v>
      </c>
      <c r="E1217" s="2">
        <f>700*579.4</f>
        <v>405580</v>
      </c>
      <c r="F1217" s="2">
        <v>0</v>
      </c>
      <c r="G1217" s="2">
        <v>0</v>
      </c>
      <c r="H1217" s="2">
        <v>0</v>
      </c>
      <c r="I1217" s="2">
        <v>0</v>
      </c>
      <c r="J1217" s="2">
        <v>0</v>
      </c>
      <c r="K1217" s="21">
        <v>0</v>
      </c>
      <c r="L1217" s="2">
        <v>0</v>
      </c>
      <c r="M1217" s="2">
        <v>579.41</v>
      </c>
      <c r="N1217" s="2">
        <f t="shared" si="1740"/>
        <v>2578374.5</v>
      </c>
      <c r="O1217" s="2">
        <v>0</v>
      </c>
      <c r="P1217" s="2">
        <f t="shared" si="1738"/>
        <v>0</v>
      </c>
      <c r="Q1217" s="2">
        <v>579.41</v>
      </c>
      <c r="R1217" s="2">
        <f t="shared" si="1763"/>
        <v>1854112</v>
      </c>
      <c r="S1217" s="8">
        <v>150000</v>
      </c>
      <c r="T1217" s="2">
        <v>100000</v>
      </c>
      <c r="U1217" s="6">
        <f t="shared" si="1757"/>
        <v>4450</v>
      </c>
      <c r="V1217" s="1"/>
      <c r="W1217" s="1"/>
      <c r="X1217" s="1"/>
      <c r="Y1217" s="1"/>
      <c r="Z1217" s="1"/>
      <c r="AA1217" s="1"/>
      <c r="AB1217" s="1"/>
      <c r="AC1217" s="3"/>
    </row>
    <row r="1218" spans="1:29" ht="45" customHeight="1" x14ac:dyDescent="0.25">
      <c r="A1218" s="43" t="s">
        <v>1073</v>
      </c>
      <c r="B1218" s="43"/>
      <c r="C1218" s="1">
        <f>SUM(C1219)</f>
        <v>2917825</v>
      </c>
      <c r="D1218" s="1">
        <f t="shared" ref="D1218:T1218" si="1764">SUM(D1219)</f>
        <v>223650</v>
      </c>
      <c r="E1218" s="1">
        <f t="shared" si="1764"/>
        <v>223650</v>
      </c>
      <c r="F1218" s="1">
        <f t="shared" si="1764"/>
        <v>0</v>
      </c>
      <c r="G1218" s="1">
        <f t="shared" si="1764"/>
        <v>0</v>
      </c>
      <c r="H1218" s="1">
        <f t="shared" si="1764"/>
        <v>0</v>
      </c>
      <c r="I1218" s="1">
        <f t="shared" si="1764"/>
        <v>0</v>
      </c>
      <c r="J1218" s="1">
        <f t="shared" si="1764"/>
        <v>0</v>
      </c>
      <c r="K1218" s="33">
        <f t="shared" si="1764"/>
        <v>0</v>
      </c>
      <c r="L1218" s="1">
        <f t="shared" si="1764"/>
        <v>0</v>
      </c>
      <c r="M1218" s="1">
        <f t="shared" si="1764"/>
        <v>319.5</v>
      </c>
      <c r="N1218" s="1">
        <f t="shared" si="1764"/>
        <v>1421775</v>
      </c>
      <c r="O1218" s="1">
        <f t="shared" si="1764"/>
        <v>0</v>
      </c>
      <c r="P1218" s="1">
        <f t="shared" si="1764"/>
        <v>0</v>
      </c>
      <c r="Q1218" s="1">
        <f t="shared" si="1764"/>
        <v>319.5</v>
      </c>
      <c r="R1218" s="1">
        <f t="shared" si="1764"/>
        <v>1022400</v>
      </c>
      <c r="S1218" s="1">
        <f t="shared" si="1764"/>
        <v>150000</v>
      </c>
      <c r="T1218" s="1">
        <f t="shared" si="1764"/>
        <v>100000</v>
      </c>
      <c r="U1218" s="3" t="e">
        <f>C1218+#REF!+#REF!</f>
        <v>#REF!</v>
      </c>
    </row>
    <row r="1219" spans="1:29" ht="22.9" customHeight="1" x14ac:dyDescent="0.25">
      <c r="A1219" s="39" t="s">
        <v>2172</v>
      </c>
      <c r="B1219" s="9" t="s">
        <v>1071</v>
      </c>
      <c r="C1219" s="7">
        <f t="shared" ref="C1219" si="1765">D1219+L1219+N1219+P1219+R1219+S1219+T1219</f>
        <v>2917825</v>
      </c>
      <c r="D1219" s="2">
        <f t="shared" ref="D1219" si="1766">SUM(E1219:J1219)</f>
        <v>223650</v>
      </c>
      <c r="E1219" s="2">
        <f>700*319.5</f>
        <v>223650</v>
      </c>
      <c r="F1219" s="2">
        <v>0</v>
      </c>
      <c r="G1219" s="2">
        <v>0</v>
      </c>
      <c r="H1219" s="2">
        <v>0</v>
      </c>
      <c r="I1219" s="2">
        <v>0</v>
      </c>
      <c r="J1219" s="2">
        <v>0</v>
      </c>
      <c r="K1219" s="21">
        <v>0</v>
      </c>
      <c r="L1219" s="2">
        <v>0</v>
      </c>
      <c r="M1219" s="2">
        <v>319.5</v>
      </c>
      <c r="N1219" s="2">
        <f t="shared" si="1740"/>
        <v>1421775</v>
      </c>
      <c r="O1219" s="2">
        <v>0</v>
      </c>
      <c r="P1219" s="2">
        <f t="shared" si="1738"/>
        <v>0</v>
      </c>
      <c r="Q1219" s="2">
        <v>319.5</v>
      </c>
      <c r="R1219" s="2">
        <f t="shared" ref="R1219" si="1767">Q1219*3200</f>
        <v>1022400</v>
      </c>
      <c r="S1219" s="8">
        <v>150000</v>
      </c>
      <c r="T1219" s="2">
        <v>100000</v>
      </c>
      <c r="U1219" s="6">
        <f t="shared" ref="U1219" si="1768">N1219/M1219</f>
        <v>4450</v>
      </c>
      <c r="V1219" s="1"/>
      <c r="W1219" s="1"/>
      <c r="X1219" s="1"/>
      <c r="Y1219" s="1"/>
      <c r="Z1219" s="1"/>
      <c r="AA1219" s="1"/>
      <c r="AB1219" s="1"/>
      <c r="AC1219" s="3"/>
    </row>
    <row r="1220" spans="1:29" ht="45" customHeight="1" x14ac:dyDescent="0.25">
      <c r="A1220" s="43" t="s">
        <v>1072</v>
      </c>
      <c r="B1220" s="43"/>
      <c r="C1220" s="1">
        <f>SUM(C1221:C1222)</f>
        <v>4720650</v>
      </c>
      <c r="D1220" s="1">
        <f t="shared" ref="D1220:T1220" si="1769">SUM(D1221:D1222)</f>
        <v>394200</v>
      </c>
      <c r="E1220" s="1">
        <f t="shared" si="1769"/>
        <v>204400</v>
      </c>
      <c r="F1220" s="1">
        <f t="shared" si="1769"/>
        <v>0</v>
      </c>
      <c r="G1220" s="1">
        <f t="shared" si="1769"/>
        <v>102200</v>
      </c>
      <c r="H1220" s="1">
        <f t="shared" si="1769"/>
        <v>0</v>
      </c>
      <c r="I1220" s="1">
        <f t="shared" si="1769"/>
        <v>87600</v>
      </c>
      <c r="J1220" s="1">
        <f t="shared" si="1769"/>
        <v>0</v>
      </c>
      <c r="K1220" s="33">
        <f t="shared" si="1769"/>
        <v>0</v>
      </c>
      <c r="L1220" s="1">
        <f t="shared" si="1769"/>
        <v>0</v>
      </c>
      <c r="M1220" s="1">
        <f t="shared" si="1769"/>
        <v>505</v>
      </c>
      <c r="N1220" s="1">
        <f t="shared" si="1769"/>
        <v>2247250</v>
      </c>
      <c r="O1220" s="1">
        <f t="shared" si="1769"/>
        <v>0</v>
      </c>
      <c r="P1220" s="1">
        <f t="shared" si="1769"/>
        <v>0</v>
      </c>
      <c r="Q1220" s="1">
        <f t="shared" si="1769"/>
        <v>618.5</v>
      </c>
      <c r="R1220" s="1">
        <f t="shared" si="1769"/>
        <v>1979200</v>
      </c>
      <c r="S1220" s="1">
        <f t="shared" si="1769"/>
        <v>0</v>
      </c>
      <c r="T1220" s="1">
        <f t="shared" si="1769"/>
        <v>100000</v>
      </c>
      <c r="U1220" s="3" t="e">
        <f>C1220+#REF!+#REF!</f>
        <v>#REF!</v>
      </c>
    </row>
    <row r="1221" spans="1:29" ht="22.9" customHeight="1" x14ac:dyDescent="0.25">
      <c r="A1221" s="39" t="s">
        <v>2173</v>
      </c>
      <c r="B1221" s="9" t="s">
        <v>1075</v>
      </c>
      <c r="C1221" s="7">
        <f t="shared" ref="C1221:C1222" si="1770">D1221+L1221+N1221+P1221+R1221+S1221+T1221</f>
        <v>2277900</v>
      </c>
      <c r="D1221" s="2">
        <f t="shared" ref="D1221:D1222" si="1771">SUM(E1221:J1221)</f>
        <v>0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  <c r="J1221" s="2">
        <v>0</v>
      </c>
      <c r="K1221" s="21">
        <v>0</v>
      </c>
      <c r="L1221" s="2">
        <v>0</v>
      </c>
      <c r="M1221" s="2">
        <v>262</v>
      </c>
      <c r="N1221" s="2">
        <f t="shared" ref="N1221:N1222" si="1772">M1221*4450</f>
        <v>1165900</v>
      </c>
      <c r="O1221" s="2">
        <v>0</v>
      </c>
      <c r="P1221" s="2">
        <f t="shared" ref="P1221:P1222" si="1773">O1221*1200</f>
        <v>0</v>
      </c>
      <c r="Q1221" s="2">
        <v>347.5</v>
      </c>
      <c r="R1221" s="2">
        <f t="shared" ref="R1221:R1222" si="1774">Q1221*3200</f>
        <v>1112000</v>
      </c>
      <c r="S1221" s="8">
        <v>0</v>
      </c>
      <c r="T1221" s="2">
        <v>0</v>
      </c>
      <c r="U1221" s="6">
        <f t="shared" ref="U1221:U1222" si="1775">N1221/M1221</f>
        <v>4450</v>
      </c>
      <c r="V1221" s="1"/>
      <c r="W1221" s="1"/>
      <c r="X1221" s="1"/>
      <c r="Y1221" s="1"/>
      <c r="Z1221" s="1"/>
      <c r="AA1221" s="1"/>
      <c r="AB1221" s="1"/>
      <c r="AC1221" s="3"/>
    </row>
    <row r="1222" spans="1:29" ht="22.9" customHeight="1" x14ac:dyDescent="0.25">
      <c r="A1222" s="39" t="s">
        <v>2174</v>
      </c>
      <c r="B1222" s="9" t="s">
        <v>1076</v>
      </c>
      <c r="C1222" s="7">
        <f t="shared" si="1770"/>
        <v>2442750</v>
      </c>
      <c r="D1222" s="2">
        <f t="shared" si="1771"/>
        <v>394200</v>
      </c>
      <c r="E1222" s="2">
        <f>700*292</f>
        <v>204400</v>
      </c>
      <c r="F1222" s="2">
        <v>0</v>
      </c>
      <c r="G1222" s="2">
        <f>350*292</f>
        <v>102200</v>
      </c>
      <c r="H1222" s="2">
        <v>0</v>
      </c>
      <c r="I1222" s="2">
        <f>300*292</f>
        <v>87600</v>
      </c>
      <c r="J1222" s="2">
        <v>0</v>
      </c>
      <c r="K1222" s="21">
        <v>0</v>
      </c>
      <c r="L1222" s="2">
        <v>0</v>
      </c>
      <c r="M1222" s="2">
        <v>243</v>
      </c>
      <c r="N1222" s="2">
        <f t="shared" si="1772"/>
        <v>1081350</v>
      </c>
      <c r="O1222" s="2">
        <v>0</v>
      </c>
      <c r="P1222" s="2">
        <f t="shared" si="1773"/>
        <v>0</v>
      </c>
      <c r="Q1222" s="2">
        <v>271</v>
      </c>
      <c r="R1222" s="2">
        <f t="shared" si="1774"/>
        <v>867200</v>
      </c>
      <c r="S1222" s="8">
        <v>0</v>
      </c>
      <c r="T1222" s="2">
        <v>100000</v>
      </c>
      <c r="U1222" s="6">
        <f t="shared" si="1775"/>
        <v>4450</v>
      </c>
    </row>
    <row r="1223" spans="1:29" ht="45" customHeight="1" x14ac:dyDescent="0.25">
      <c r="A1223" s="43" t="s">
        <v>1080</v>
      </c>
      <c r="B1223" s="43"/>
      <c r="C1223" s="1">
        <f>SUM(C1224:C1225)</f>
        <v>10963758.6</v>
      </c>
      <c r="D1223" s="1">
        <f t="shared" ref="D1223:T1223" si="1776">SUM(D1224:D1225)</f>
        <v>2612589</v>
      </c>
      <c r="E1223" s="1">
        <f t="shared" si="1776"/>
        <v>778218</v>
      </c>
      <c r="F1223" s="1">
        <f t="shared" si="1776"/>
        <v>1445262</v>
      </c>
      <c r="G1223" s="1">
        <f t="shared" si="1776"/>
        <v>389109</v>
      </c>
      <c r="H1223" s="1">
        <f t="shared" si="1776"/>
        <v>0</v>
      </c>
      <c r="I1223" s="1">
        <f t="shared" si="1776"/>
        <v>0</v>
      </c>
      <c r="J1223" s="1">
        <f t="shared" si="1776"/>
        <v>0</v>
      </c>
      <c r="K1223" s="33">
        <f t="shared" si="1776"/>
        <v>0</v>
      </c>
      <c r="L1223" s="1">
        <f t="shared" si="1776"/>
        <v>0</v>
      </c>
      <c r="M1223" s="1">
        <f t="shared" si="1776"/>
        <v>751.4</v>
      </c>
      <c r="N1223" s="1">
        <f t="shared" si="1776"/>
        <v>4959240</v>
      </c>
      <c r="O1223" s="1">
        <f t="shared" si="1776"/>
        <v>0</v>
      </c>
      <c r="P1223" s="1">
        <f t="shared" si="1776"/>
        <v>0</v>
      </c>
      <c r="Q1223" s="1">
        <f t="shared" si="1776"/>
        <v>997.47799999999995</v>
      </c>
      <c r="R1223" s="1">
        <f t="shared" si="1776"/>
        <v>3191929.5999999996</v>
      </c>
      <c r="S1223" s="1">
        <f t="shared" si="1776"/>
        <v>0</v>
      </c>
      <c r="T1223" s="1">
        <f t="shared" si="1776"/>
        <v>200000</v>
      </c>
      <c r="U1223" s="3" t="e">
        <f>C1223+#REF!+#REF!</f>
        <v>#REF!</v>
      </c>
    </row>
    <row r="1224" spans="1:29" ht="22.9" customHeight="1" x14ac:dyDescent="0.25">
      <c r="A1224" s="39" t="s">
        <v>2175</v>
      </c>
      <c r="B1224" s="9" t="s">
        <v>1086</v>
      </c>
      <c r="C1224" s="7">
        <f t="shared" ref="C1224:C1225" si="1777">D1224+L1224+N1224+P1224+R1224+S1224+T1224</f>
        <v>5481879.2999999998</v>
      </c>
      <c r="D1224" s="2">
        <f t="shared" ref="D1224:D1225" si="1778">SUM(E1224:J1224)</f>
        <v>1306294.5</v>
      </c>
      <c r="E1224" s="2">
        <f>700*555.87</f>
        <v>389109</v>
      </c>
      <c r="F1224" s="2">
        <f>1300*555.87</f>
        <v>722631</v>
      </c>
      <c r="G1224" s="2">
        <f>350*555.87</f>
        <v>194554.5</v>
      </c>
      <c r="H1224" s="2">
        <v>0</v>
      </c>
      <c r="I1224" s="2">
        <v>0</v>
      </c>
      <c r="J1224" s="2">
        <v>0</v>
      </c>
      <c r="K1224" s="21">
        <v>0</v>
      </c>
      <c r="L1224" s="2">
        <v>0</v>
      </c>
      <c r="M1224" s="2">
        <v>375.7</v>
      </c>
      <c r="N1224" s="2">
        <f>M1224*6600</f>
        <v>2479620</v>
      </c>
      <c r="O1224" s="2">
        <v>0</v>
      </c>
      <c r="P1224" s="2">
        <f t="shared" ref="P1224:P1225" si="1779">O1224*1200</f>
        <v>0</v>
      </c>
      <c r="Q1224" s="2">
        <v>498.73899999999998</v>
      </c>
      <c r="R1224" s="2">
        <f t="shared" ref="R1224:R1225" si="1780">Q1224*3200</f>
        <v>1595964.7999999998</v>
      </c>
      <c r="S1224" s="8">
        <v>0</v>
      </c>
      <c r="T1224" s="2">
        <v>100000</v>
      </c>
      <c r="U1224" s="6">
        <f t="shared" ref="U1224:U1225" si="1781">N1224/M1224</f>
        <v>6600</v>
      </c>
      <c r="V1224" s="1"/>
      <c r="W1224" s="1"/>
      <c r="X1224" s="1"/>
      <c r="Y1224" s="1"/>
      <c r="Z1224" s="1"/>
      <c r="AA1224" s="1"/>
      <c r="AB1224" s="1"/>
      <c r="AC1224" s="3"/>
    </row>
    <row r="1225" spans="1:29" ht="22.9" customHeight="1" x14ac:dyDescent="0.25">
      <c r="A1225" s="39" t="s">
        <v>2176</v>
      </c>
      <c r="B1225" s="9" t="s">
        <v>1087</v>
      </c>
      <c r="C1225" s="7">
        <f t="shared" si="1777"/>
        <v>5481879.2999999998</v>
      </c>
      <c r="D1225" s="2">
        <f t="shared" si="1778"/>
        <v>1306294.5</v>
      </c>
      <c r="E1225" s="2">
        <f>700*555.87</f>
        <v>389109</v>
      </c>
      <c r="F1225" s="2">
        <f>1300*555.87</f>
        <v>722631</v>
      </c>
      <c r="G1225" s="2">
        <f>350*555.87</f>
        <v>194554.5</v>
      </c>
      <c r="H1225" s="2">
        <v>0</v>
      </c>
      <c r="I1225" s="2">
        <v>0</v>
      </c>
      <c r="J1225" s="2">
        <v>0</v>
      </c>
      <c r="K1225" s="21">
        <v>0</v>
      </c>
      <c r="L1225" s="2">
        <v>0</v>
      </c>
      <c r="M1225" s="2">
        <v>375.7</v>
      </c>
      <c r="N1225" s="2">
        <f>M1225*6600</f>
        <v>2479620</v>
      </c>
      <c r="O1225" s="2">
        <v>0</v>
      </c>
      <c r="P1225" s="2">
        <f t="shared" si="1779"/>
        <v>0</v>
      </c>
      <c r="Q1225" s="2">
        <v>498.73899999999998</v>
      </c>
      <c r="R1225" s="2">
        <f t="shared" si="1780"/>
        <v>1595964.7999999998</v>
      </c>
      <c r="S1225" s="8">
        <v>0</v>
      </c>
      <c r="T1225" s="2">
        <v>100000</v>
      </c>
      <c r="U1225" s="6">
        <f t="shared" si="1781"/>
        <v>6600</v>
      </c>
      <c r="V1225" s="1"/>
      <c r="W1225" s="1"/>
      <c r="X1225" s="1"/>
      <c r="Y1225" s="1"/>
      <c r="Z1225" s="1"/>
      <c r="AA1225" s="1"/>
      <c r="AB1225" s="1"/>
      <c r="AC1225" s="3"/>
    </row>
    <row r="1226" spans="1:29" ht="45" customHeight="1" x14ac:dyDescent="0.25">
      <c r="A1226" s="43" t="s">
        <v>1095</v>
      </c>
      <c r="B1226" s="43"/>
      <c r="C1226" s="1">
        <f>SUM(C1227:C1228)</f>
        <v>8184000</v>
      </c>
      <c r="D1226" s="1">
        <f t="shared" ref="D1226:T1226" si="1782">SUM(D1227:D1228)</f>
        <v>0</v>
      </c>
      <c r="E1226" s="1">
        <f t="shared" si="1782"/>
        <v>0</v>
      </c>
      <c r="F1226" s="1">
        <f t="shared" si="1782"/>
        <v>0</v>
      </c>
      <c r="G1226" s="1">
        <f t="shared" si="1782"/>
        <v>0</v>
      </c>
      <c r="H1226" s="1">
        <f t="shared" si="1782"/>
        <v>0</v>
      </c>
      <c r="I1226" s="1">
        <f t="shared" si="1782"/>
        <v>0</v>
      </c>
      <c r="J1226" s="1">
        <f t="shared" si="1782"/>
        <v>0</v>
      </c>
      <c r="K1226" s="33">
        <f t="shared" si="1782"/>
        <v>0</v>
      </c>
      <c r="L1226" s="1">
        <f t="shared" si="1782"/>
        <v>0</v>
      </c>
      <c r="M1226" s="1">
        <f t="shared" si="1782"/>
        <v>1240</v>
      </c>
      <c r="N1226" s="1">
        <f t="shared" si="1782"/>
        <v>8184000</v>
      </c>
      <c r="O1226" s="1">
        <f t="shared" si="1782"/>
        <v>0</v>
      </c>
      <c r="P1226" s="1">
        <f t="shared" si="1782"/>
        <v>0</v>
      </c>
      <c r="Q1226" s="1">
        <f t="shared" si="1782"/>
        <v>0</v>
      </c>
      <c r="R1226" s="1">
        <f t="shared" si="1782"/>
        <v>0</v>
      </c>
      <c r="S1226" s="1">
        <f t="shared" si="1782"/>
        <v>0</v>
      </c>
      <c r="T1226" s="1">
        <f t="shared" si="1782"/>
        <v>0</v>
      </c>
      <c r="U1226" s="3" t="e">
        <f>C1226+#REF!+#REF!</f>
        <v>#REF!</v>
      </c>
    </row>
    <row r="1227" spans="1:29" ht="22.9" customHeight="1" x14ac:dyDescent="0.25">
      <c r="A1227" s="39" t="s">
        <v>2177</v>
      </c>
      <c r="B1227" s="9" t="s">
        <v>1096</v>
      </c>
      <c r="C1227" s="7">
        <f t="shared" ref="C1227:C1228" si="1783">D1227+L1227+N1227+P1227+R1227+S1227+T1227</f>
        <v>4092000</v>
      </c>
      <c r="D1227" s="2">
        <f t="shared" ref="D1227:D1228" si="1784">SUM(E1227:J1227)</f>
        <v>0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  <c r="J1227" s="2">
        <v>0</v>
      </c>
      <c r="K1227" s="21">
        <v>0</v>
      </c>
      <c r="L1227" s="2">
        <v>0</v>
      </c>
      <c r="M1227" s="2">
        <v>620</v>
      </c>
      <c r="N1227" s="2">
        <f t="shared" ref="N1227:N1228" si="1785">M1227*6600</f>
        <v>4092000</v>
      </c>
      <c r="O1227" s="2">
        <v>0</v>
      </c>
      <c r="P1227" s="2">
        <f t="shared" ref="P1227:P1228" si="1786">O1227*1200</f>
        <v>0</v>
      </c>
      <c r="Q1227" s="2">
        <v>0</v>
      </c>
      <c r="R1227" s="2">
        <f t="shared" ref="R1227:R1228" si="1787">Q1227*3200</f>
        <v>0</v>
      </c>
      <c r="S1227" s="8">
        <v>0</v>
      </c>
      <c r="T1227" s="2">
        <v>0</v>
      </c>
      <c r="U1227" s="6">
        <f t="shared" ref="U1227:U1228" si="1788">N1227/M1227</f>
        <v>6600</v>
      </c>
      <c r="V1227" s="1"/>
      <c r="W1227" s="1"/>
      <c r="X1227" s="1"/>
      <c r="Y1227" s="1"/>
      <c r="Z1227" s="1"/>
      <c r="AA1227" s="1"/>
      <c r="AB1227" s="1"/>
      <c r="AC1227" s="3"/>
    </row>
    <row r="1228" spans="1:29" ht="22.9" customHeight="1" x14ac:dyDescent="0.25">
      <c r="A1228" s="39" t="s">
        <v>2178</v>
      </c>
      <c r="B1228" s="9" t="s">
        <v>1097</v>
      </c>
      <c r="C1228" s="7">
        <f t="shared" si="1783"/>
        <v>4092000</v>
      </c>
      <c r="D1228" s="2">
        <f t="shared" si="1784"/>
        <v>0</v>
      </c>
      <c r="E1228" s="2">
        <v>0</v>
      </c>
      <c r="F1228" s="2">
        <v>0</v>
      </c>
      <c r="G1228" s="2">
        <v>0</v>
      </c>
      <c r="H1228" s="2">
        <v>0</v>
      </c>
      <c r="I1228" s="2">
        <v>0</v>
      </c>
      <c r="J1228" s="2">
        <v>0</v>
      </c>
      <c r="K1228" s="21">
        <v>0</v>
      </c>
      <c r="L1228" s="2">
        <v>0</v>
      </c>
      <c r="M1228" s="2">
        <v>620</v>
      </c>
      <c r="N1228" s="2">
        <f t="shared" si="1785"/>
        <v>4092000</v>
      </c>
      <c r="O1228" s="2">
        <v>0</v>
      </c>
      <c r="P1228" s="2">
        <f t="shared" si="1786"/>
        <v>0</v>
      </c>
      <c r="Q1228" s="2">
        <v>0</v>
      </c>
      <c r="R1228" s="2">
        <f t="shared" si="1787"/>
        <v>0</v>
      </c>
      <c r="S1228" s="8">
        <v>0</v>
      </c>
      <c r="T1228" s="2">
        <v>0</v>
      </c>
      <c r="U1228" s="6">
        <f t="shared" si="1788"/>
        <v>6600</v>
      </c>
      <c r="V1228" s="1"/>
      <c r="W1228" s="1"/>
      <c r="X1228" s="1"/>
      <c r="Y1228" s="1"/>
      <c r="Z1228" s="1"/>
      <c r="AA1228" s="1"/>
      <c r="AB1228" s="1"/>
      <c r="AC1228" s="3"/>
    </row>
    <row r="1229" spans="1:29" ht="45" customHeight="1" x14ac:dyDescent="0.25">
      <c r="A1229" s="43" t="s">
        <v>1098</v>
      </c>
      <c r="B1229" s="43"/>
      <c r="C1229" s="1">
        <f>SUM(C1230)</f>
        <v>2336250</v>
      </c>
      <c r="D1229" s="1">
        <f t="shared" ref="D1229:T1229" si="1789">SUM(D1230)</f>
        <v>0</v>
      </c>
      <c r="E1229" s="1">
        <f t="shared" si="1789"/>
        <v>0</v>
      </c>
      <c r="F1229" s="1">
        <f t="shared" si="1789"/>
        <v>0</v>
      </c>
      <c r="G1229" s="1">
        <f t="shared" si="1789"/>
        <v>0</v>
      </c>
      <c r="H1229" s="1">
        <f t="shared" si="1789"/>
        <v>0</v>
      </c>
      <c r="I1229" s="1">
        <f t="shared" si="1789"/>
        <v>0</v>
      </c>
      <c r="J1229" s="1">
        <f t="shared" si="1789"/>
        <v>0</v>
      </c>
      <c r="K1229" s="33">
        <f t="shared" si="1789"/>
        <v>0</v>
      </c>
      <c r="L1229" s="1">
        <f t="shared" si="1789"/>
        <v>0</v>
      </c>
      <c r="M1229" s="1">
        <f t="shared" si="1789"/>
        <v>525</v>
      </c>
      <c r="N1229" s="1">
        <f t="shared" si="1789"/>
        <v>2336250</v>
      </c>
      <c r="O1229" s="1">
        <f t="shared" si="1789"/>
        <v>0</v>
      </c>
      <c r="P1229" s="1">
        <f t="shared" si="1789"/>
        <v>0</v>
      </c>
      <c r="Q1229" s="1">
        <f t="shared" si="1789"/>
        <v>0</v>
      </c>
      <c r="R1229" s="1">
        <f t="shared" si="1789"/>
        <v>0</v>
      </c>
      <c r="S1229" s="1">
        <f t="shared" si="1789"/>
        <v>0</v>
      </c>
      <c r="T1229" s="1">
        <f t="shared" si="1789"/>
        <v>0</v>
      </c>
      <c r="U1229" s="3" t="e">
        <f>C1229+#REF!+#REF!</f>
        <v>#REF!</v>
      </c>
    </row>
    <row r="1230" spans="1:29" ht="22.9" customHeight="1" x14ac:dyDescent="0.25">
      <c r="A1230" s="39" t="s">
        <v>2179</v>
      </c>
      <c r="B1230" s="9" t="s">
        <v>1101</v>
      </c>
      <c r="C1230" s="7">
        <f t="shared" ref="C1230" si="1790">D1230+L1230+N1230+P1230+R1230+S1230+T1230</f>
        <v>2336250</v>
      </c>
      <c r="D1230" s="2">
        <f t="shared" ref="D1230" si="1791">SUM(E1230:J1230)</f>
        <v>0</v>
      </c>
      <c r="E1230" s="2">
        <v>0</v>
      </c>
      <c r="F1230" s="2">
        <v>0</v>
      </c>
      <c r="G1230" s="2">
        <v>0</v>
      </c>
      <c r="H1230" s="2">
        <v>0</v>
      </c>
      <c r="I1230" s="2">
        <v>0</v>
      </c>
      <c r="J1230" s="2">
        <v>0</v>
      </c>
      <c r="K1230" s="21">
        <v>0</v>
      </c>
      <c r="L1230" s="2">
        <v>0</v>
      </c>
      <c r="M1230" s="2">
        <v>525</v>
      </c>
      <c r="N1230" s="2">
        <f>M1230*4450</f>
        <v>2336250</v>
      </c>
      <c r="O1230" s="2">
        <v>0</v>
      </c>
      <c r="P1230" s="2">
        <f t="shared" ref="P1230" si="1792">O1230*1200</f>
        <v>0</v>
      </c>
      <c r="Q1230" s="2">
        <v>0</v>
      </c>
      <c r="R1230" s="2">
        <v>0</v>
      </c>
      <c r="S1230" s="8">
        <v>0</v>
      </c>
      <c r="T1230" s="2">
        <v>0</v>
      </c>
      <c r="U1230" s="6">
        <f t="shared" ref="U1230" si="1793">N1230/M1230</f>
        <v>4450</v>
      </c>
      <c r="V1230" s="1"/>
      <c r="W1230" s="1"/>
      <c r="X1230" s="1"/>
      <c r="Y1230" s="1"/>
      <c r="Z1230" s="1"/>
      <c r="AA1230" s="1"/>
      <c r="AB1230" s="1"/>
      <c r="AC1230" s="3"/>
    </row>
    <row r="1231" spans="1:29" ht="45" customHeight="1" x14ac:dyDescent="0.25">
      <c r="A1231" s="43" t="s">
        <v>1104</v>
      </c>
      <c r="B1231" s="43"/>
      <c r="C1231" s="1">
        <f>SUM(C1232:C1243)</f>
        <v>118111640</v>
      </c>
      <c r="D1231" s="1">
        <f t="shared" ref="D1231:T1231" si="1794">SUM(D1232:D1243)</f>
        <v>37784040</v>
      </c>
      <c r="E1231" s="1">
        <f t="shared" si="1794"/>
        <v>9036160</v>
      </c>
      <c r="F1231" s="1">
        <f t="shared" si="1794"/>
        <v>16781440</v>
      </c>
      <c r="G1231" s="1">
        <f t="shared" si="1794"/>
        <v>4518080</v>
      </c>
      <c r="H1231" s="1">
        <f t="shared" si="1794"/>
        <v>3575720</v>
      </c>
      <c r="I1231" s="1">
        <f t="shared" si="1794"/>
        <v>3872640</v>
      </c>
      <c r="J1231" s="1">
        <f t="shared" si="1794"/>
        <v>0</v>
      </c>
      <c r="K1231" s="33">
        <f t="shared" si="1794"/>
        <v>0</v>
      </c>
      <c r="L1231" s="1">
        <f t="shared" si="1794"/>
        <v>0</v>
      </c>
      <c r="M1231" s="1">
        <f t="shared" si="1794"/>
        <v>7440</v>
      </c>
      <c r="N1231" s="1">
        <f t="shared" si="1794"/>
        <v>45879000</v>
      </c>
      <c r="O1231" s="1">
        <f t="shared" si="1794"/>
        <v>6590.5</v>
      </c>
      <c r="P1231" s="1">
        <f t="shared" si="1794"/>
        <v>7908600</v>
      </c>
      <c r="Q1231" s="1">
        <f t="shared" si="1794"/>
        <v>7950</v>
      </c>
      <c r="R1231" s="1">
        <f t="shared" si="1794"/>
        <v>25440000</v>
      </c>
      <c r="S1231" s="1">
        <f t="shared" si="1794"/>
        <v>300000</v>
      </c>
      <c r="T1231" s="1">
        <f t="shared" si="1794"/>
        <v>800000</v>
      </c>
      <c r="U1231" s="3" t="e">
        <f>C1231+#REF!+#REF!</f>
        <v>#REF!</v>
      </c>
    </row>
    <row r="1232" spans="1:29" ht="22.9" customHeight="1" x14ac:dyDescent="0.25">
      <c r="A1232" s="39" t="s">
        <v>2180</v>
      </c>
      <c r="B1232" s="9" t="s">
        <v>1126</v>
      </c>
      <c r="C1232" s="7">
        <f t="shared" ref="C1232:C1233" si="1795">D1232+L1232+N1232+P1232+R1232+S1232+T1232</f>
        <v>7788600</v>
      </c>
      <c r="D1232" s="2">
        <f t="shared" ref="D1232:D1233" si="1796">SUM(E1232:J1232)</f>
        <v>0</v>
      </c>
      <c r="E1232" s="2">
        <v>0</v>
      </c>
      <c r="F1232" s="2">
        <v>0</v>
      </c>
      <c r="G1232" s="2">
        <v>0</v>
      </c>
      <c r="H1232" s="2">
        <v>0</v>
      </c>
      <c r="I1232" s="2">
        <v>0</v>
      </c>
      <c r="J1232" s="2">
        <v>0</v>
      </c>
      <c r="K1232" s="21">
        <v>0</v>
      </c>
      <c r="L1232" s="2">
        <v>0</v>
      </c>
      <c r="M1232" s="2">
        <v>0</v>
      </c>
      <c r="N1232" s="2">
        <f>M1232*4450</f>
        <v>0</v>
      </c>
      <c r="O1232" s="2">
        <v>6490.5</v>
      </c>
      <c r="P1232" s="2">
        <f t="shared" ref="P1232:P1233" si="1797">O1232*1200</f>
        <v>7788600</v>
      </c>
      <c r="Q1232" s="2">
        <v>0</v>
      </c>
      <c r="R1232" s="2">
        <v>0</v>
      </c>
      <c r="S1232" s="8">
        <v>0</v>
      </c>
      <c r="T1232" s="2">
        <v>0</v>
      </c>
      <c r="U1232" s="6" t="e">
        <f t="shared" ref="U1232:U1243" si="1798">N1232/M1232</f>
        <v>#DIV/0!</v>
      </c>
      <c r="V1232" s="1"/>
      <c r="W1232" s="1"/>
      <c r="X1232" s="1"/>
      <c r="Y1232" s="1"/>
      <c r="Z1232" s="1"/>
      <c r="AA1232" s="1"/>
      <c r="AB1232" s="1"/>
      <c r="AC1232" s="3"/>
    </row>
    <row r="1233" spans="1:29" ht="22.9" customHeight="1" x14ac:dyDescent="0.25">
      <c r="A1233" s="39" t="s">
        <v>2181</v>
      </c>
      <c r="B1233" s="9" t="s">
        <v>1127</v>
      </c>
      <c r="C1233" s="7">
        <f t="shared" si="1795"/>
        <v>23701250</v>
      </c>
      <c r="D1233" s="2">
        <f t="shared" si="1796"/>
        <v>7701250</v>
      </c>
      <c r="E1233" s="2">
        <f>700*2525</f>
        <v>1767500</v>
      </c>
      <c r="F1233" s="2">
        <f>1300*2525</f>
        <v>3282500</v>
      </c>
      <c r="G1233" s="2">
        <f>350*2525</f>
        <v>883750</v>
      </c>
      <c r="H1233" s="2">
        <f>400*2525</f>
        <v>1010000</v>
      </c>
      <c r="I1233" s="2">
        <f>300*2525</f>
        <v>757500</v>
      </c>
      <c r="J1233" s="2">
        <v>0</v>
      </c>
      <c r="K1233" s="21">
        <v>0</v>
      </c>
      <c r="L1233" s="2">
        <v>0</v>
      </c>
      <c r="M1233" s="19">
        <v>1100</v>
      </c>
      <c r="N1233" s="2">
        <f>M1233*6600</f>
        <v>7260000</v>
      </c>
      <c r="O1233" s="2">
        <v>0</v>
      </c>
      <c r="P1233" s="2">
        <f t="shared" si="1797"/>
        <v>0</v>
      </c>
      <c r="Q1233" s="19">
        <v>2700</v>
      </c>
      <c r="R1233" s="2">
        <f t="shared" ref="R1233" si="1799">Q1233*3200</f>
        <v>8640000</v>
      </c>
      <c r="S1233" s="8">
        <v>0</v>
      </c>
      <c r="T1233" s="2">
        <v>100000</v>
      </c>
      <c r="U1233" s="6">
        <f t="shared" si="1798"/>
        <v>6600</v>
      </c>
      <c r="V1233" s="1"/>
      <c r="W1233" s="1"/>
      <c r="X1233" s="1"/>
      <c r="Y1233" s="1"/>
      <c r="Z1233" s="1"/>
      <c r="AA1233" s="1"/>
      <c r="AB1233" s="1"/>
      <c r="AC1233" s="3"/>
    </row>
    <row r="1234" spans="1:29" ht="22.9" customHeight="1" x14ac:dyDescent="0.25">
      <c r="A1234" s="39" t="s">
        <v>2182</v>
      </c>
      <c r="B1234" s="9" t="s">
        <v>1128</v>
      </c>
      <c r="C1234" s="7">
        <f t="shared" ref="C1234" si="1800">D1234+L1234+N1234+P1234+R1234+S1234+T1234</f>
        <v>13428305</v>
      </c>
      <c r="D1234" s="2">
        <f t="shared" ref="D1234" si="1801">SUM(E1234:J1234)</f>
        <v>5978305</v>
      </c>
      <c r="E1234" s="2">
        <f>700*1960.1</f>
        <v>1372070</v>
      </c>
      <c r="F1234" s="2">
        <f>1300*1960.1</f>
        <v>2548130</v>
      </c>
      <c r="G1234" s="2">
        <f>350*1960.1</f>
        <v>686035</v>
      </c>
      <c r="H1234" s="2">
        <f>400*1960.1</f>
        <v>784040</v>
      </c>
      <c r="I1234" s="2">
        <f>300*1960.1</f>
        <v>588030</v>
      </c>
      <c r="J1234" s="2">
        <v>0</v>
      </c>
      <c r="K1234" s="21">
        <v>0</v>
      </c>
      <c r="L1234" s="2">
        <v>0</v>
      </c>
      <c r="M1234" s="19">
        <v>750</v>
      </c>
      <c r="N1234" s="2">
        <f>M1234*6600</f>
        <v>4950000</v>
      </c>
      <c r="O1234" s="2">
        <v>0</v>
      </c>
      <c r="P1234" s="2">
        <f t="shared" ref="P1234" si="1802">O1234*1200</f>
        <v>0</v>
      </c>
      <c r="Q1234" s="19">
        <v>750</v>
      </c>
      <c r="R1234" s="2">
        <f t="shared" ref="R1234" si="1803">Q1234*3200</f>
        <v>2400000</v>
      </c>
      <c r="S1234" s="8">
        <v>0</v>
      </c>
      <c r="T1234" s="2">
        <v>100000</v>
      </c>
      <c r="U1234" s="6">
        <f t="shared" si="1798"/>
        <v>6600</v>
      </c>
      <c r="V1234" s="1"/>
      <c r="W1234" s="1"/>
      <c r="X1234" s="1"/>
      <c r="Y1234" s="1"/>
      <c r="Z1234" s="1"/>
      <c r="AA1234" s="1"/>
      <c r="AB1234" s="1"/>
      <c r="AC1234" s="3"/>
    </row>
    <row r="1235" spans="1:29" ht="22.9" customHeight="1" x14ac:dyDescent="0.25">
      <c r="A1235" s="39" t="s">
        <v>2183</v>
      </c>
      <c r="B1235" s="9" t="s">
        <v>1129</v>
      </c>
      <c r="C1235" s="7">
        <f t="shared" ref="C1235:C1238" si="1804">D1235+L1235+N1235+P1235+R1235+S1235+T1235</f>
        <v>10169225</v>
      </c>
      <c r="D1235" s="2">
        <f t="shared" ref="D1235:D1238" si="1805">SUM(E1235:J1235)</f>
        <v>7669225</v>
      </c>
      <c r="E1235" s="2">
        <f>700*2514.5</f>
        <v>1760150</v>
      </c>
      <c r="F1235" s="2">
        <f>1300*2514.5</f>
        <v>3268850</v>
      </c>
      <c r="G1235" s="2">
        <f>350*2514.5</f>
        <v>880075</v>
      </c>
      <c r="H1235" s="2">
        <f>400*2514.5</f>
        <v>1005800</v>
      </c>
      <c r="I1235" s="2">
        <f>300*2514.5</f>
        <v>754350</v>
      </c>
      <c r="J1235" s="2">
        <v>0</v>
      </c>
      <c r="K1235" s="21">
        <v>0</v>
      </c>
      <c r="L1235" s="2">
        <v>0</v>
      </c>
      <c r="M1235" s="19">
        <v>0</v>
      </c>
      <c r="N1235" s="2">
        <f t="shared" ref="N1235" si="1806">M1235*4450</f>
        <v>0</v>
      </c>
      <c r="O1235" s="2">
        <v>0</v>
      </c>
      <c r="P1235" s="2">
        <f t="shared" ref="P1235:P1238" si="1807">O1235*1200</f>
        <v>0</v>
      </c>
      <c r="Q1235" s="19">
        <v>750</v>
      </c>
      <c r="R1235" s="2">
        <f t="shared" ref="R1235" si="1808">Q1235*3200</f>
        <v>2400000</v>
      </c>
      <c r="S1235" s="8">
        <v>0</v>
      </c>
      <c r="T1235" s="2">
        <v>100000</v>
      </c>
      <c r="U1235" s="6" t="e">
        <f t="shared" si="1798"/>
        <v>#DIV/0!</v>
      </c>
      <c r="V1235" s="1"/>
      <c r="W1235" s="1"/>
      <c r="X1235" s="1"/>
      <c r="Y1235" s="1"/>
      <c r="Z1235" s="1"/>
      <c r="AA1235" s="1"/>
      <c r="AB1235" s="1"/>
      <c r="AC1235" s="3"/>
    </row>
    <row r="1236" spans="1:29" ht="22.9" customHeight="1" x14ac:dyDescent="0.25">
      <c r="A1236" s="39" t="s">
        <v>2184</v>
      </c>
      <c r="B1236" s="9" t="s">
        <v>1130</v>
      </c>
      <c r="C1236" s="7">
        <f t="shared" si="1804"/>
        <v>3300000</v>
      </c>
      <c r="D1236" s="2">
        <f t="shared" si="1805"/>
        <v>0</v>
      </c>
      <c r="E1236" s="2">
        <v>0</v>
      </c>
      <c r="F1236" s="2">
        <v>0</v>
      </c>
      <c r="G1236" s="2">
        <v>0</v>
      </c>
      <c r="H1236" s="2">
        <v>0</v>
      </c>
      <c r="I1236" s="2">
        <v>0</v>
      </c>
      <c r="J1236" s="2">
        <v>0</v>
      </c>
      <c r="K1236" s="21">
        <v>0</v>
      </c>
      <c r="L1236" s="2">
        <v>0</v>
      </c>
      <c r="M1236" s="19">
        <v>500</v>
      </c>
      <c r="N1236" s="2">
        <f t="shared" ref="N1236:N1241" si="1809">M1236*6600</f>
        <v>3300000</v>
      </c>
      <c r="O1236" s="2">
        <v>0</v>
      </c>
      <c r="P1236" s="2">
        <f t="shared" si="1807"/>
        <v>0</v>
      </c>
      <c r="Q1236" s="19">
        <v>0</v>
      </c>
      <c r="R1236" s="2">
        <v>0</v>
      </c>
      <c r="S1236" s="8">
        <v>0</v>
      </c>
      <c r="T1236" s="2">
        <v>0</v>
      </c>
      <c r="U1236" s="6">
        <f t="shared" si="1798"/>
        <v>6600</v>
      </c>
      <c r="V1236" s="1"/>
      <c r="W1236" s="1"/>
      <c r="X1236" s="1"/>
      <c r="Y1236" s="1"/>
      <c r="Z1236" s="1"/>
      <c r="AA1236" s="1"/>
      <c r="AB1236" s="1"/>
      <c r="AC1236" s="3"/>
    </row>
    <row r="1237" spans="1:29" ht="22.9" customHeight="1" x14ac:dyDescent="0.25">
      <c r="A1237" s="39" t="s">
        <v>2185</v>
      </c>
      <c r="B1237" s="9" t="s">
        <v>1131</v>
      </c>
      <c r="C1237" s="7">
        <f t="shared" si="1804"/>
        <v>3300000</v>
      </c>
      <c r="D1237" s="2">
        <f t="shared" si="1805"/>
        <v>0</v>
      </c>
      <c r="E1237" s="2">
        <v>0</v>
      </c>
      <c r="F1237" s="2">
        <v>0</v>
      </c>
      <c r="G1237" s="2">
        <v>0</v>
      </c>
      <c r="H1237" s="2">
        <v>0</v>
      </c>
      <c r="I1237" s="2">
        <v>0</v>
      </c>
      <c r="J1237" s="2">
        <v>0</v>
      </c>
      <c r="K1237" s="21">
        <v>0</v>
      </c>
      <c r="L1237" s="2">
        <v>0</v>
      </c>
      <c r="M1237" s="19">
        <v>500</v>
      </c>
      <c r="N1237" s="2">
        <f t="shared" si="1809"/>
        <v>3300000</v>
      </c>
      <c r="O1237" s="2">
        <v>0</v>
      </c>
      <c r="P1237" s="2">
        <f t="shared" si="1807"/>
        <v>0</v>
      </c>
      <c r="Q1237" s="19">
        <v>0</v>
      </c>
      <c r="R1237" s="2">
        <v>0</v>
      </c>
      <c r="S1237" s="8">
        <v>0</v>
      </c>
      <c r="T1237" s="2">
        <v>0</v>
      </c>
      <c r="U1237" s="6">
        <f t="shared" si="1798"/>
        <v>6600</v>
      </c>
      <c r="V1237" s="1"/>
      <c r="W1237" s="1"/>
      <c r="X1237" s="1"/>
      <c r="Y1237" s="1"/>
      <c r="Z1237" s="1"/>
      <c r="AA1237" s="1"/>
      <c r="AB1237" s="1"/>
      <c r="AC1237" s="3"/>
    </row>
    <row r="1238" spans="1:29" ht="22.9" customHeight="1" x14ac:dyDescent="0.25">
      <c r="A1238" s="39" t="s">
        <v>2186</v>
      </c>
      <c r="B1238" s="9" t="s">
        <v>1132</v>
      </c>
      <c r="C1238" s="7">
        <f t="shared" si="1804"/>
        <v>10312570</v>
      </c>
      <c r="D1238" s="2">
        <f t="shared" si="1805"/>
        <v>3852570</v>
      </c>
      <c r="E1238" s="2">
        <f>700*1453.8</f>
        <v>1017660</v>
      </c>
      <c r="F1238" s="2">
        <f>1300*1453.8</f>
        <v>1889940</v>
      </c>
      <c r="G1238" s="2">
        <f>350*1453.8</f>
        <v>508830</v>
      </c>
      <c r="H1238" s="2">
        <v>0</v>
      </c>
      <c r="I1238" s="2">
        <f>300*1453.8</f>
        <v>436140</v>
      </c>
      <c r="J1238" s="2">
        <v>0</v>
      </c>
      <c r="K1238" s="21">
        <v>0</v>
      </c>
      <c r="L1238" s="2">
        <v>0</v>
      </c>
      <c r="M1238" s="19">
        <v>600</v>
      </c>
      <c r="N1238" s="2">
        <f t="shared" si="1809"/>
        <v>3960000</v>
      </c>
      <c r="O1238" s="2">
        <v>0</v>
      </c>
      <c r="P1238" s="2">
        <f t="shared" si="1807"/>
        <v>0</v>
      </c>
      <c r="Q1238" s="19">
        <v>750</v>
      </c>
      <c r="R1238" s="2">
        <f t="shared" ref="R1238" si="1810">Q1238*3200</f>
        <v>2400000</v>
      </c>
      <c r="S1238" s="8">
        <v>0</v>
      </c>
      <c r="T1238" s="2">
        <v>100000</v>
      </c>
      <c r="U1238" s="6">
        <f t="shared" si="1798"/>
        <v>6600</v>
      </c>
      <c r="V1238" s="1"/>
      <c r="W1238" s="1"/>
      <c r="X1238" s="1"/>
      <c r="Y1238" s="1"/>
      <c r="Z1238" s="1"/>
      <c r="AA1238" s="1"/>
      <c r="AB1238" s="1"/>
      <c r="AC1238" s="3"/>
    </row>
    <row r="1239" spans="1:29" ht="22.9" customHeight="1" x14ac:dyDescent="0.25">
      <c r="A1239" s="39" t="s">
        <v>2187</v>
      </c>
      <c r="B1239" s="9" t="s">
        <v>1133</v>
      </c>
      <c r="C1239" s="7">
        <f t="shared" ref="C1239" si="1811">D1239+L1239+N1239+P1239+R1239+S1239+T1239</f>
        <v>12791185</v>
      </c>
      <c r="D1239" s="2">
        <f t="shared" ref="D1239" si="1812">SUM(E1239:J1239)</f>
        <v>5281185</v>
      </c>
      <c r="E1239" s="2">
        <f>700*1992.9</f>
        <v>1395030</v>
      </c>
      <c r="F1239" s="2">
        <f>1300*1992.9</f>
        <v>2590770</v>
      </c>
      <c r="G1239" s="2">
        <f>350*1992.9</f>
        <v>697515</v>
      </c>
      <c r="H1239" s="2">
        <v>0</v>
      </c>
      <c r="I1239" s="2">
        <f>300*1992.9</f>
        <v>597870</v>
      </c>
      <c r="J1239" s="2">
        <v>0</v>
      </c>
      <c r="K1239" s="21">
        <v>0</v>
      </c>
      <c r="L1239" s="2">
        <v>0</v>
      </c>
      <c r="M1239" s="19">
        <v>750</v>
      </c>
      <c r="N1239" s="2">
        <f t="shared" si="1809"/>
        <v>4950000</v>
      </c>
      <c r="O1239" s="2">
        <v>50</v>
      </c>
      <c r="P1239" s="2">
        <f t="shared" ref="P1239" si="1813">O1239*1200</f>
        <v>60000</v>
      </c>
      <c r="Q1239" s="19">
        <v>750</v>
      </c>
      <c r="R1239" s="2">
        <f t="shared" ref="R1239" si="1814">Q1239*3200</f>
        <v>2400000</v>
      </c>
      <c r="S1239" s="8">
        <v>0</v>
      </c>
      <c r="T1239" s="2">
        <v>100000</v>
      </c>
      <c r="U1239" s="6">
        <f t="shared" si="1798"/>
        <v>6600</v>
      </c>
      <c r="V1239" s="1"/>
      <c r="W1239" s="1"/>
      <c r="X1239" s="1"/>
      <c r="Y1239" s="1"/>
      <c r="Z1239" s="1"/>
      <c r="AA1239" s="1"/>
      <c r="AB1239" s="1"/>
      <c r="AC1239" s="3"/>
    </row>
    <row r="1240" spans="1:29" ht="22.9" customHeight="1" x14ac:dyDescent="0.25">
      <c r="A1240" s="39" t="s">
        <v>2188</v>
      </c>
      <c r="B1240" s="9" t="s">
        <v>1134</v>
      </c>
      <c r="C1240" s="7">
        <f t="shared" ref="C1240:C1241" si="1815">D1240+L1240+N1240+P1240+R1240+S1240+T1240</f>
        <v>6214000</v>
      </c>
      <c r="D1240" s="2">
        <f t="shared" ref="D1240:D1241" si="1816">SUM(E1240:J1240)</f>
        <v>0</v>
      </c>
      <c r="E1240" s="2">
        <v>0</v>
      </c>
      <c r="F1240" s="2">
        <v>0</v>
      </c>
      <c r="G1240" s="2">
        <v>0</v>
      </c>
      <c r="H1240" s="2">
        <v>0</v>
      </c>
      <c r="I1240" s="2">
        <v>0</v>
      </c>
      <c r="J1240" s="2">
        <v>0</v>
      </c>
      <c r="K1240" s="21">
        <v>0</v>
      </c>
      <c r="L1240" s="2">
        <v>0</v>
      </c>
      <c r="M1240" s="19">
        <v>540</v>
      </c>
      <c r="N1240" s="2">
        <f t="shared" si="1809"/>
        <v>3564000</v>
      </c>
      <c r="O1240" s="2">
        <v>0</v>
      </c>
      <c r="P1240" s="2">
        <f t="shared" ref="P1240:P1241" si="1817">O1240*1200</f>
        <v>0</v>
      </c>
      <c r="Q1240" s="19">
        <v>750</v>
      </c>
      <c r="R1240" s="2">
        <f t="shared" ref="R1240:R1241" si="1818">Q1240*3200</f>
        <v>2400000</v>
      </c>
      <c r="S1240" s="8">
        <v>150000</v>
      </c>
      <c r="T1240" s="2">
        <v>100000</v>
      </c>
      <c r="U1240" s="6">
        <f t="shared" si="1798"/>
        <v>6600</v>
      </c>
      <c r="V1240" s="1"/>
      <c r="W1240" s="1"/>
      <c r="X1240" s="1"/>
      <c r="Y1240" s="1"/>
      <c r="Z1240" s="1"/>
      <c r="AA1240" s="1"/>
      <c r="AB1240" s="1"/>
      <c r="AC1240" s="3"/>
    </row>
    <row r="1241" spans="1:29" ht="22.9" customHeight="1" x14ac:dyDescent="0.25">
      <c r="A1241" s="39" t="s">
        <v>2189</v>
      </c>
      <c r="B1241" s="9" t="s">
        <v>1135</v>
      </c>
      <c r="C1241" s="7">
        <f t="shared" si="1815"/>
        <v>13426085</v>
      </c>
      <c r="D1241" s="2">
        <f t="shared" si="1816"/>
        <v>5916085</v>
      </c>
      <c r="E1241" s="2">
        <f>700*1939.7</f>
        <v>1357790</v>
      </c>
      <c r="F1241" s="2">
        <f>1300*1939.7</f>
        <v>2521610</v>
      </c>
      <c r="G1241" s="2">
        <f>350*1939.7</f>
        <v>678895</v>
      </c>
      <c r="H1241" s="2">
        <f>400*1939.7</f>
        <v>775880</v>
      </c>
      <c r="I1241" s="2">
        <f>300*1939.7</f>
        <v>581910</v>
      </c>
      <c r="J1241" s="2">
        <v>0</v>
      </c>
      <c r="K1241" s="21">
        <v>0</v>
      </c>
      <c r="L1241" s="2">
        <v>0</v>
      </c>
      <c r="M1241" s="19">
        <v>750</v>
      </c>
      <c r="N1241" s="2">
        <f t="shared" si="1809"/>
        <v>4950000</v>
      </c>
      <c r="O1241" s="2">
        <v>50</v>
      </c>
      <c r="P1241" s="2">
        <f t="shared" si="1817"/>
        <v>60000</v>
      </c>
      <c r="Q1241" s="19">
        <v>750</v>
      </c>
      <c r="R1241" s="2">
        <f t="shared" si="1818"/>
        <v>2400000</v>
      </c>
      <c r="S1241" s="8">
        <v>0</v>
      </c>
      <c r="T1241" s="2">
        <v>100000</v>
      </c>
      <c r="U1241" s="6">
        <f t="shared" si="1798"/>
        <v>6600</v>
      </c>
      <c r="V1241" s="1"/>
      <c r="W1241" s="1"/>
      <c r="X1241" s="1"/>
      <c r="Y1241" s="1"/>
      <c r="Z1241" s="1"/>
      <c r="AA1241" s="1"/>
      <c r="AB1241" s="1"/>
      <c r="AC1241" s="3"/>
    </row>
    <row r="1242" spans="1:29" ht="22.9" customHeight="1" x14ac:dyDescent="0.25">
      <c r="A1242" s="39" t="s">
        <v>2190</v>
      </c>
      <c r="B1242" s="9" t="s">
        <v>1136</v>
      </c>
      <c r="C1242" s="7">
        <f t="shared" ref="C1242:C1243" si="1819">D1242+L1242+N1242+P1242+R1242+S1242+T1242</f>
        <v>6675000</v>
      </c>
      <c r="D1242" s="2">
        <f t="shared" ref="D1242:D1243" si="1820">SUM(E1242:J1242)</f>
        <v>0</v>
      </c>
      <c r="E1242" s="2">
        <v>0</v>
      </c>
      <c r="F1242" s="2">
        <v>0</v>
      </c>
      <c r="G1242" s="2">
        <v>0</v>
      </c>
      <c r="H1242" s="2">
        <v>0</v>
      </c>
      <c r="I1242" s="2">
        <v>0</v>
      </c>
      <c r="J1242" s="2">
        <v>0</v>
      </c>
      <c r="K1242" s="21">
        <v>0</v>
      </c>
      <c r="L1242" s="2">
        <v>0</v>
      </c>
      <c r="M1242" s="19">
        <v>1500</v>
      </c>
      <c r="N1242" s="2">
        <f t="shared" ref="N1242" si="1821">M1242*4450</f>
        <v>6675000</v>
      </c>
      <c r="O1242" s="2">
        <v>0</v>
      </c>
      <c r="P1242" s="2">
        <f t="shared" ref="P1242:P1243" si="1822">O1242*1200</f>
        <v>0</v>
      </c>
      <c r="Q1242" s="19">
        <v>0</v>
      </c>
      <c r="R1242" s="2">
        <f t="shared" ref="R1242:R1243" si="1823">Q1242*3200</f>
        <v>0</v>
      </c>
      <c r="S1242" s="8">
        <v>0</v>
      </c>
      <c r="T1242" s="2">
        <v>0</v>
      </c>
      <c r="U1242" s="6">
        <f t="shared" si="1798"/>
        <v>4450</v>
      </c>
    </row>
    <row r="1243" spans="1:29" ht="22.9" customHeight="1" x14ac:dyDescent="0.25">
      <c r="A1243" s="39" t="s">
        <v>2191</v>
      </c>
      <c r="B1243" s="9" t="s">
        <v>1137</v>
      </c>
      <c r="C1243" s="7">
        <f t="shared" si="1819"/>
        <v>7005420</v>
      </c>
      <c r="D1243" s="2">
        <f t="shared" si="1820"/>
        <v>1385419.9999999998</v>
      </c>
      <c r="E1243" s="2">
        <f>700*522.8</f>
        <v>365959.99999999994</v>
      </c>
      <c r="F1243" s="2">
        <f>1300*522.8</f>
        <v>679639.99999999988</v>
      </c>
      <c r="G1243" s="2">
        <f>350*522.8</f>
        <v>182979.99999999997</v>
      </c>
      <c r="H1243" s="2">
        <v>0</v>
      </c>
      <c r="I1243" s="2">
        <f>300*522.8</f>
        <v>156840</v>
      </c>
      <c r="J1243" s="2">
        <v>0</v>
      </c>
      <c r="K1243" s="21">
        <v>0</v>
      </c>
      <c r="L1243" s="2">
        <v>0</v>
      </c>
      <c r="M1243" s="19">
        <v>450</v>
      </c>
      <c r="N1243" s="2">
        <f>M1243*6600</f>
        <v>2970000</v>
      </c>
      <c r="O1243" s="2">
        <v>0</v>
      </c>
      <c r="P1243" s="2">
        <f t="shared" si="1822"/>
        <v>0</v>
      </c>
      <c r="Q1243" s="19">
        <v>750</v>
      </c>
      <c r="R1243" s="2">
        <f t="shared" si="1823"/>
        <v>2400000</v>
      </c>
      <c r="S1243" s="8">
        <v>150000</v>
      </c>
      <c r="T1243" s="2">
        <v>100000</v>
      </c>
      <c r="U1243" s="6">
        <f t="shared" si="1798"/>
        <v>6600</v>
      </c>
    </row>
    <row r="1244" spans="1:29" ht="45" customHeight="1" x14ac:dyDescent="0.25">
      <c r="A1244" s="43" t="s">
        <v>1143</v>
      </c>
      <c r="B1244" s="43"/>
      <c r="C1244" s="1">
        <f>SUM(C1245)</f>
        <v>5028175</v>
      </c>
      <c r="D1244" s="1">
        <f t="shared" ref="D1244:T1244" si="1824">SUM(D1245)</f>
        <v>1032175</v>
      </c>
      <c r="E1244" s="1">
        <f t="shared" si="1824"/>
        <v>272650</v>
      </c>
      <c r="F1244" s="1">
        <f t="shared" si="1824"/>
        <v>506350</v>
      </c>
      <c r="G1244" s="1">
        <f t="shared" si="1824"/>
        <v>136325</v>
      </c>
      <c r="H1244" s="1">
        <f t="shared" si="1824"/>
        <v>0</v>
      </c>
      <c r="I1244" s="1">
        <f t="shared" si="1824"/>
        <v>116850</v>
      </c>
      <c r="J1244" s="1">
        <f t="shared" si="1824"/>
        <v>0</v>
      </c>
      <c r="K1244" s="33">
        <f t="shared" si="1824"/>
        <v>0</v>
      </c>
      <c r="L1244" s="1">
        <f t="shared" si="1824"/>
        <v>0</v>
      </c>
      <c r="M1244" s="1">
        <f t="shared" si="1824"/>
        <v>350</v>
      </c>
      <c r="N1244" s="1">
        <f t="shared" si="1824"/>
        <v>2310000</v>
      </c>
      <c r="O1244" s="1">
        <f t="shared" si="1824"/>
        <v>50</v>
      </c>
      <c r="P1244" s="1">
        <f t="shared" si="1824"/>
        <v>60000</v>
      </c>
      <c r="Q1244" s="1">
        <f t="shared" si="1824"/>
        <v>430</v>
      </c>
      <c r="R1244" s="1">
        <f t="shared" si="1824"/>
        <v>1376000</v>
      </c>
      <c r="S1244" s="1">
        <f t="shared" si="1824"/>
        <v>150000</v>
      </c>
      <c r="T1244" s="1">
        <f t="shared" si="1824"/>
        <v>100000</v>
      </c>
      <c r="U1244" s="3" t="e">
        <f>C1244+#REF!+#REF!</f>
        <v>#REF!</v>
      </c>
    </row>
    <row r="1245" spans="1:29" ht="22.9" customHeight="1" x14ac:dyDescent="0.25">
      <c r="A1245" s="39" t="s">
        <v>2192</v>
      </c>
      <c r="B1245" s="9" t="s">
        <v>1144</v>
      </c>
      <c r="C1245" s="7">
        <f t="shared" ref="C1245" si="1825">D1245+L1245+N1245+P1245+R1245+S1245+T1245</f>
        <v>5028175</v>
      </c>
      <c r="D1245" s="2">
        <f t="shared" ref="D1245" si="1826">SUM(E1245:J1245)</f>
        <v>1032175</v>
      </c>
      <c r="E1245" s="2">
        <f>700*389.5</f>
        <v>272650</v>
      </c>
      <c r="F1245" s="2">
        <f>1300*389.5</f>
        <v>506350</v>
      </c>
      <c r="G1245" s="2">
        <f>350*389.5</f>
        <v>136325</v>
      </c>
      <c r="H1245" s="2">
        <v>0</v>
      </c>
      <c r="I1245" s="2">
        <f>300*389.5</f>
        <v>116850</v>
      </c>
      <c r="J1245" s="2">
        <v>0</v>
      </c>
      <c r="K1245" s="21">
        <v>0</v>
      </c>
      <c r="L1245" s="2">
        <v>0</v>
      </c>
      <c r="M1245" s="19">
        <v>350</v>
      </c>
      <c r="N1245" s="2">
        <f>M1245*6600</f>
        <v>2310000</v>
      </c>
      <c r="O1245" s="2">
        <v>50</v>
      </c>
      <c r="P1245" s="2">
        <f t="shared" ref="P1245" si="1827">O1245*1200</f>
        <v>60000</v>
      </c>
      <c r="Q1245" s="19">
        <v>430</v>
      </c>
      <c r="R1245" s="2">
        <f t="shared" ref="R1245" si="1828">Q1245*3200</f>
        <v>1376000</v>
      </c>
      <c r="S1245" s="8">
        <v>150000</v>
      </c>
      <c r="T1245" s="2">
        <v>100000</v>
      </c>
      <c r="U1245" s="6">
        <f t="shared" ref="U1245" si="1829">N1245/M1245</f>
        <v>6600</v>
      </c>
      <c r="V1245" s="1"/>
      <c r="W1245" s="1"/>
      <c r="X1245" s="1"/>
      <c r="Y1245" s="1"/>
      <c r="Z1245" s="1"/>
      <c r="AA1245" s="1"/>
      <c r="AB1245" s="1"/>
      <c r="AC1245" s="3"/>
    </row>
    <row r="1246" spans="1:29" ht="45" customHeight="1" x14ac:dyDescent="0.25">
      <c r="B1246" s="10"/>
      <c r="D1246" s="1"/>
      <c r="E1246" s="1"/>
      <c r="F1246" s="1"/>
      <c r="G1246" s="1"/>
      <c r="H1246" s="1"/>
      <c r="I1246" s="1"/>
      <c r="J1246" s="1"/>
      <c r="K1246" s="33"/>
      <c r="L1246" s="1"/>
      <c r="M1246" s="1"/>
      <c r="N1246" s="1"/>
      <c r="O1246" s="1"/>
      <c r="P1246" s="1"/>
      <c r="Q1246" s="1"/>
      <c r="R1246" s="1"/>
      <c r="S1246" s="1"/>
      <c r="T1246" s="1"/>
    </row>
    <row r="1247" spans="1:29" ht="45" customHeight="1" x14ac:dyDescent="0.25">
      <c r="B1247" s="10"/>
      <c r="D1247" s="1"/>
      <c r="E1247" s="1"/>
      <c r="F1247" s="1"/>
      <c r="G1247" s="1"/>
      <c r="H1247" s="1"/>
      <c r="I1247" s="1"/>
      <c r="J1247" s="1"/>
      <c r="K1247" s="33"/>
      <c r="L1247" s="1"/>
      <c r="M1247" s="1"/>
      <c r="N1247" s="1"/>
      <c r="O1247" s="1"/>
      <c r="P1247" s="1"/>
      <c r="Q1247" s="1"/>
      <c r="R1247" s="1"/>
      <c r="S1247" s="1"/>
      <c r="T1247" s="1"/>
    </row>
    <row r="1248" spans="1:29" ht="45" customHeight="1" x14ac:dyDescent="0.25">
      <c r="B1248" s="10"/>
      <c r="D1248" s="1"/>
      <c r="E1248" s="1"/>
      <c r="F1248" s="1"/>
      <c r="G1248" s="1"/>
      <c r="H1248" s="1"/>
      <c r="I1248" s="1"/>
      <c r="J1248" s="1"/>
      <c r="K1248" s="33"/>
      <c r="L1248" s="1"/>
      <c r="M1248" s="1"/>
      <c r="N1248" s="1"/>
      <c r="O1248" s="1"/>
      <c r="P1248" s="1"/>
      <c r="Q1248" s="1"/>
      <c r="R1248" s="1"/>
      <c r="S1248" s="1"/>
      <c r="T1248" s="1"/>
    </row>
    <row r="1249" spans="2:20" ht="45" customHeight="1" x14ac:dyDescent="0.25">
      <c r="B1249" s="10"/>
      <c r="D1249" s="1"/>
      <c r="E1249" s="1"/>
      <c r="F1249" s="1"/>
      <c r="G1249" s="1"/>
      <c r="H1249" s="1"/>
      <c r="I1249" s="1"/>
      <c r="J1249" s="1"/>
      <c r="K1249" s="33"/>
      <c r="L1249" s="1"/>
      <c r="M1249" s="1"/>
      <c r="N1249" s="1"/>
      <c r="O1249" s="1"/>
      <c r="P1249" s="1"/>
      <c r="Q1249" s="1"/>
      <c r="R1249" s="1"/>
      <c r="S1249" s="1"/>
      <c r="T1249" s="1"/>
    </row>
    <row r="1250" spans="2:20" ht="45" customHeight="1" x14ac:dyDescent="0.25">
      <c r="B1250" s="10"/>
      <c r="D1250" s="1"/>
      <c r="E1250" s="1"/>
      <c r="F1250" s="1"/>
      <c r="G1250" s="1"/>
      <c r="H1250" s="1"/>
      <c r="I1250" s="1"/>
      <c r="J1250" s="1"/>
      <c r="K1250" s="33"/>
      <c r="L1250" s="1"/>
      <c r="M1250" s="1"/>
      <c r="N1250" s="1"/>
      <c r="O1250" s="1"/>
      <c r="P1250" s="1"/>
      <c r="Q1250" s="1"/>
      <c r="R1250" s="1"/>
      <c r="S1250" s="1"/>
      <c r="T1250" s="1"/>
    </row>
    <row r="1251" spans="2:20" ht="45" customHeight="1" x14ac:dyDescent="0.25">
      <c r="B1251" s="10"/>
      <c r="D1251" s="1"/>
      <c r="E1251" s="1"/>
      <c r="F1251" s="1"/>
      <c r="G1251" s="1"/>
      <c r="H1251" s="1"/>
      <c r="I1251" s="1"/>
      <c r="J1251" s="1"/>
      <c r="K1251" s="33"/>
      <c r="L1251" s="1"/>
      <c r="M1251" s="1"/>
      <c r="N1251" s="1"/>
      <c r="O1251" s="1"/>
      <c r="P1251" s="1"/>
      <c r="Q1251" s="1"/>
      <c r="R1251" s="1"/>
      <c r="S1251" s="1"/>
      <c r="T1251" s="1"/>
    </row>
    <row r="1252" spans="2:20" ht="45" customHeight="1" x14ac:dyDescent="0.25">
      <c r="B1252" s="10"/>
      <c r="D1252" s="1"/>
      <c r="E1252" s="1"/>
      <c r="F1252" s="1"/>
      <c r="G1252" s="1"/>
      <c r="H1252" s="1"/>
      <c r="I1252" s="1"/>
      <c r="J1252" s="1"/>
      <c r="K1252" s="33"/>
      <c r="L1252" s="1"/>
      <c r="M1252" s="1"/>
      <c r="N1252" s="1"/>
      <c r="O1252" s="1"/>
      <c r="P1252" s="1"/>
      <c r="Q1252" s="1"/>
      <c r="R1252" s="1"/>
      <c r="S1252" s="1"/>
      <c r="T1252" s="1"/>
    </row>
    <row r="1253" spans="2:20" ht="45" customHeight="1" x14ac:dyDescent="0.25">
      <c r="B1253" s="10"/>
      <c r="D1253" s="1"/>
      <c r="E1253" s="1"/>
      <c r="F1253" s="1"/>
      <c r="G1253" s="1"/>
      <c r="H1253" s="1"/>
      <c r="I1253" s="1"/>
      <c r="J1253" s="1"/>
      <c r="K1253" s="33"/>
      <c r="L1253" s="1"/>
      <c r="M1253" s="1"/>
      <c r="N1253" s="1"/>
      <c r="O1253" s="1"/>
      <c r="P1253" s="1"/>
      <c r="Q1253" s="1"/>
      <c r="R1253" s="1"/>
      <c r="S1253" s="1"/>
      <c r="T1253" s="1"/>
    </row>
    <row r="1254" spans="2:20" ht="45" customHeight="1" x14ac:dyDescent="0.25">
      <c r="B1254" s="10"/>
      <c r="D1254" s="1"/>
      <c r="E1254" s="1"/>
      <c r="F1254" s="1"/>
      <c r="G1254" s="1"/>
      <c r="H1254" s="1"/>
      <c r="I1254" s="1"/>
      <c r="J1254" s="1"/>
      <c r="K1254" s="33"/>
      <c r="L1254" s="1"/>
      <c r="M1254" s="1"/>
      <c r="N1254" s="1"/>
      <c r="O1254" s="1"/>
      <c r="P1254" s="1"/>
      <c r="Q1254" s="1"/>
      <c r="R1254" s="1"/>
      <c r="S1254" s="1"/>
      <c r="T1254" s="1"/>
    </row>
    <row r="1255" spans="2:20" ht="45" customHeight="1" x14ac:dyDescent="0.25">
      <c r="B1255" s="10"/>
      <c r="D1255" s="1"/>
      <c r="E1255" s="1"/>
      <c r="F1255" s="1"/>
      <c r="G1255" s="1"/>
      <c r="H1255" s="1"/>
      <c r="I1255" s="1"/>
      <c r="J1255" s="1"/>
      <c r="K1255" s="33"/>
      <c r="L1255" s="1"/>
      <c r="M1255" s="1"/>
      <c r="N1255" s="1"/>
      <c r="O1255" s="1"/>
      <c r="P1255" s="1"/>
      <c r="Q1255" s="1"/>
      <c r="R1255" s="1"/>
      <c r="S1255" s="1"/>
      <c r="T1255" s="1"/>
    </row>
    <row r="1256" spans="2:20" ht="45" customHeight="1" x14ac:dyDescent="0.25">
      <c r="B1256" s="10"/>
      <c r="D1256" s="1"/>
      <c r="E1256" s="1"/>
      <c r="F1256" s="1"/>
      <c r="G1256" s="1"/>
      <c r="H1256" s="1"/>
      <c r="I1256" s="1"/>
      <c r="J1256" s="1"/>
      <c r="K1256" s="33"/>
      <c r="L1256" s="1"/>
      <c r="M1256" s="1"/>
      <c r="N1256" s="1"/>
      <c r="O1256" s="1"/>
      <c r="P1256" s="1"/>
      <c r="Q1256" s="1"/>
      <c r="R1256" s="1"/>
      <c r="S1256" s="1"/>
      <c r="T1256" s="1"/>
    </row>
    <row r="1257" spans="2:20" ht="45" customHeight="1" x14ac:dyDescent="0.25">
      <c r="B1257" s="10"/>
      <c r="D1257" s="1"/>
      <c r="E1257" s="1"/>
      <c r="F1257" s="1"/>
      <c r="G1257" s="1"/>
      <c r="H1257" s="1"/>
      <c r="I1257" s="1"/>
      <c r="J1257" s="1"/>
      <c r="K1257" s="33"/>
      <c r="L1257" s="1"/>
      <c r="M1257" s="1"/>
      <c r="N1257" s="1"/>
      <c r="O1257" s="1"/>
      <c r="P1257" s="1"/>
      <c r="Q1257" s="1"/>
      <c r="R1257" s="1"/>
      <c r="S1257" s="1"/>
      <c r="T1257" s="1"/>
    </row>
    <row r="1258" spans="2:20" ht="45" customHeight="1" x14ac:dyDescent="0.25">
      <c r="B1258" s="10"/>
      <c r="D1258" s="1"/>
      <c r="E1258" s="1"/>
      <c r="F1258" s="1"/>
      <c r="G1258" s="1"/>
      <c r="H1258" s="1"/>
      <c r="I1258" s="1"/>
      <c r="J1258" s="1"/>
      <c r="K1258" s="33"/>
      <c r="L1258" s="1"/>
      <c r="M1258" s="1"/>
      <c r="N1258" s="1"/>
      <c r="O1258" s="1"/>
      <c r="P1258" s="1"/>
      <c r="Q1258" s="1"/>
      <c r="R1258" s="1"/>
      <c r="S1258" s="1"/>
      <c r="T1258" s="1"/>
    </row>
    <row r="1259" spans="2:20" ht="45" customHeight="1" x14ac:dyDescent="0.25">
      <c r="B1259" s="10"/>
      <c r="D1259" s="1"/>
      <c r="E1259" s="1"/>
      <c r="F1259" s="1"/>
      <c r="G1259" s="1"/>
      <c r="H1259" s="1"/>
      <c r="I1259" s="1"/>
      <c r="J1259" s="1"/>
      <c r="K1259" s="33"/>
      <c r="L1259" s="1"/>
      <c r="M1259" s="1"/>
      <c r="N1259" s="1"/>
      <c r="O1259" s="1"/>
      <c r="P1259" s="1"/>
      <c r="Q1259" s="1"/>
      <c r="R1259" s="1"/>
      <c r="S1259" s="1"/>
      <c r="T1259" s="1"/>
    </row>
    <row r="1260" spans="2:20" ht="45" customHeight="1" x14ac:dyDescent="0.25">
      <c r="B1260" s="10"/>
      <c r="D1260" s="1"/>
      <c r="E1260" s="1"/>
      <c r="F1260" s="1"/>
      <c r="G1260" s="1"/>
      <c r="H1260" s="1"/>
      <c r="I1260" s="1"/>
      <c r="J1260" s="1"/>
      <c r="K1260" s="33"/>
      <c r="L1260" s="1"/>
      <c r="M1260" s="1"/>
      <c r="N1260" s="1"/>
      <c r="O1260" s="1"/>
      <c r="P1260" s="1"/>
      <c r="Q1260" s="1"/>
      <c r="R1260" s="1"/>
      <c r="S1260" s="1"/>
      <c r="T1260" s="1"/>
    </row>
    <row r="1261" spans="2:20" ht="45" customHeight="1" x14ac:dyDescent="0.25">
      <c r="B1261" s="10"/>
      <c r="D1261" s="1"/>
      <c r="E1261" s="1"/>
      <c r="F1261" s="1"/>
      <c r="G1261" s="1"/>
      <c r="H1261" s="1"/>
      <c r="I1261" s="1"/>
      <c r="J1261" s="1"/>
      <c r="K1261" s="33"/>
      <c r="L1261" s="1"/>
      <c r="M1261" s="1"/>
      <c r="N1261" s="1"/>
      <c r="O1261" s="1"/>
      <c r="P1261" s="1"/>
      <c r="Q1261" s="1"/>
      <c r="R1261" s="1"/>
      <c r="S1261" s="1"/>
      <c r="T1261" s="1"/>
    </row>
    <row r="1262" spans="2:20" ht="45" customHeight="1" x14ac:dyDescent="0.25">
      <c r="B1262" s="10"/>
      <c r="D1262" s="1"/>
      <c r="E1262" s="1"/>
      <c r="F1262" s="1"/>
      <c r="G1262" s="1"/>
      <c r="H1262" s="1"/>
      <c r="I1262" s="1"/>
      <c r="J1262" s="1"/>
      <c r="K1262" s="33"/>
      <c r="L1262" s="1"/>
      <c r="M1262" s="1"/>
      <c r="N1262" s="1"/>
      <c r="O1262" s="1"/>
      <c r="P1262" s="1"/>
      <c r="Q1262" s="1"/>
      <c r="R1262" s="1"/>
      <c r="S1262" s="1"/>
      <c r="T1262" s="1"/>
    </row>
    <row r="1263" spans="2:20" ht="45" customHeight="1" x14ac:dyDescent="0.25">
      <c r="B1263" s="10"/>
      <c r="D1263" s="1"/>
      <c r="E1263" s="1"/>
      <c r="F1263" s="1"/>
      <c r="G1263" s="1"/>
      <c r="H1263" s="1"/>
      <c r="I1263" s="1"/>
      <c r="J1263" s="1"/>
      <c r="K1263" s="33"/>
      <c r="L1263" s="1"/>
      <c r="M1263" s="1"/>
      <c r="N1263" s="1"/>
      <c r="O1263" s="1"/>
      <c r="P1263" s="1"/>
      <c r="Q1263" s="1"/>
      <c r="R1263" s="1"/>
      <c r="S1263" s="1"/>
      <c r="T1263" s="1"/>
    </row>
    <row r="1264" spans="2:20" ht="45" customHeight="1" x14ac:dyDescent="0.25">
      <c r="B1264" s="10"/>
      <c r="D1264" s="1"/>
      <c r="E1264" s="1"/>
      <c r="F1264" s="1"/>
      <c r="G1264" s="1"/>
      <c r="H1264" s="1"/>
      <c r="I1264" s="1"/>
      <c r="J1264" s="1"/>
      <c r="K1264" s="33"/>
      <c r="L1264" s="1"/>
      <c r="M1264" s="1"/>
      <c r="N1264" s="1"/>
      <c r="O1264" s="1"/>
      <c r="P1264" s="1"/>
      <c r="Q1264" s="1"/>
      <c r="R1264" s="1"/>
      <c r="S1264" s="1"/>
      <c r="T1264" s="1"/>
    </row>
    <row r="1265" spans="2:20" ht="45" customHeight="1" x14ac:dyDescent="0.25">
      <c r="B1265" s="10"/>
      <c r="D1265" s="1"/>
      <c r="E1265" s="1"/>
      <c r="F1265" s="1"/>
      <c r="G1265" s="1"/>
      <c r="H1265" s="1"/>
      <c r="I1265" s="1"/>
      <c r="J1265" s="1"/>
      <c r="K1265" s="33"/>
      <c r="L1265" s="1"/>
      <c r="M1265" s="1"/>
      <c r="N1265" s="1"/>
      <c r="O1265" s="1"/>
      <c r="P1265" s="1"/>
      <c r="Q1265" s="1"/>
      <c r="R1265" s="1"/>
      <c r="S1265" s="1"/>
      <c r="T1265" s="1"/>
    </row>
    <row r="1266" spans="2:20" ht="45" customHeight="1" x14ac:dyDescent="0.25">
      <c r="B1266" s="10"/>
      <c r="D1266" s="1"/>
      <c r="E1266" s="1"/>
      <c r="F1266" s="1"/>
      <c r="G1266" s="1"/>
      <c r="H1266" s="1"/>
      <c r="I1266" s="1"/>
      <c r="J1266" s="1"/>
      <c r="K1266" s="33"/>
      <c r="L1266" s="1"/>
      <c r="M1266" s="1"/>
      <c r="N1266" s="1"/>
      <c r="O1266" s="1"/>
      <c r="P1266" s="1"/>
      <c r="Q1266" s="1"/>
      <c r="R1266" s="1"/>
      <c r="S1266" s="1"/>
      <c r="T1266" s="1"/>
    </row>
    <row r="1267" spans="2:20" ht="45" customHeight="1" x14ac:dyDescent="0.25">
      <c r="B1267" s="10"/>
      <c r="D1267" s="1"/>
      <c r="E1267" s="1"/>
      <c r="F1267" s="1"/>
      <c r="G1267" s="1"/>
      <c r="H1267" s="1"/>
      <c r="I1267" s="1"/>
      <c r="J1267" s="1"/>
      <c r="K1267" s="33"/>
      <c r="L1267" s="1"/>
      <c r="M1267" s="1"/>
      <c r="N1267" s="1"/>
      <c r="O1267" s="1"/>
      <c r="P1267" s="1"/>
      <c r="Q1267" s="1"/>
      <c r="R1267" s="1"/>
      <c r="S1267" s="1"/>
      <c r="T1267" s="1"/>
    </row>
    <row r="1268" spans="2:20" ht="45" customHeight="1" x14ac:dyDescent="0.25">
      <c r="B1268" s="10"/>
      <c r="D1268" s="1"/>
      <c r="E1268" s="1"/>
      <c r="F1268" s="1"/>
      <c r="G1268" s="1"/>
      <c r="H1268" s="1"/>
      <c r="I1268" s="1"/>
      <c r="J1268" s="1"/>
      <c r="K1268" s="33"/>
      <c r="L1268" s="1"/>
      <c r="M1268" s="1"/>
      <c r="N1268" s="1"/>
      <c r="O1268" s="1"/>
      <c r="P1268" s="1"/>
      <c r="Q1268" s="1"/>
      <c r="R1268" s="1"/>
      <c r="S1268" s="1"/>
      <c r="T1268" s="1"/>
    </row>
    <row r="1269" spans="2:20" ht="45" customHeight="1" x14ac:dyDescent="0.25">
      <c r="B1269" s="10"/>
      <c r="D1269" s="1"/>
      <c r="E1269" s="1"/>
      <c r="F1269" s="1"/>
      <c r="G1269" s="1"/>
      <c r="H1269" s="1"/>
      <c r="I1269" s="1"/>
      <c r="J1269" s="1"/>
      <c r="K1269" s="33"/>
      <c r="L1269" s="1"/>
      <c r="M1269" s="1"/>
      <c r="N1269" s="1"/>
      <c r="O1269" s="1"/>
      <c r="P1269" s="1"/>
      <c r="Q1269" s="1"/>
      <c r="R1269" s="1"/>
      <c r="S1269" s="1"/>
      <c r="T1269" s="1"/>
    </row>
    <row r="1270" spans="2:20" ht="45" customHeight="1" x14ac:dyDescent="0.25">
      <c r="B1270" s="10"/>
      <c r="D1270" s="1"/>
      <c r="E1270" s="1"/>
      <c r="F1270" s="1"/>
      <c r="G1270" s="1"/>
      <c r="H1270" s="1"/>
      <c r="I1270" s="1"/>
      <c r="J1270" s="1"/>
      <c r="K1270" s="33"/>
      <c r="L1270" s="1"/>
      <c r="M1270" s="1"/>
      <c r="N1270" s="1"/>
      <c r="O1270" s="1"/>
      <c r="P1270" s="1"/>
      <c r="Q1270" s="1"/>
      <c r="R1270" s="1"/>
      <c r="S1270" s="1"/>
      <c r="T1270" s="1"/>
    </row>
    <row r="1271" spans="2:20" ht="45" customHeight="1" x14ac:dyDescent="0.25">
      <c r="B1271" s="10"/>
      <c r="D1271" s="1"/>
      <c r="E1271" s="1"/>
      <c r="F1271" s="1"/>
      <c r="G1271" s="1"/>
      <c r="H1271" s="1"/>
      <c r="I1271" s="1"/>
      <c r="J1271" s="1"/>
      <c r="K1271" s="33"/>
      <c r="L1271" s="1"/>
      <c r="M1271" s="1"/>
      <c r="N1271" s="1"/>
      <c r="O1271" s="1"/>
      <c r="P1271" s="1"/>
      <c r="Q1271" s="1"/>
      <c r="R1271" s="1"/>
      <c r="S1271" s="1"/>
      <c r="T1271" s="1"/>
    </row>
    <row r="1272" spans="2:20" ht="45" customHeight="1" x14ac:dyDescent="0.25">
      <c r="B1272" s="10"/>
      <c r="D1272" s="1"/>
      <c r="E1272" s="1"/>
      <c r="F1272" s="1"/>
      <c r="G1272" s="1"/>
      <c r="H1272" s="1"/>
      <c r="I1272" s="1"/>
      <c r="J1272" s="1"/>
      <c r="K1272" s="33"/>
      <c r="L1272" s="1"/>
      <c r="M1272" s="1"/>
      <c r="N1272" s="1"/>
      <c r="O1272" s="1"/>
      <c r="P1272" s="1"/>
      <c r="Q1272" s="1"/>
      <c r="R1272" s="1"/>
      <c r="S1272" s="1"/>
      <c r="T1272" s="1"/>
    </row>
    <row r="1273" spans="2:20" ht="45" customHeight="1" x14ac:dyDescent="0.25">
      <c r="B1273" s="10"/>
      <c r="D1273" s="1"/>
      <c r="E1273" s="1"/>
      <c r="F1273" s="1"/>
      <c r="G1273" s="1"/>
      <c r="H1273" s="1"/>
      <c r="I1273" s="1"/>
      <c r="J1273" s="1"/>
      <c r="K1273" s="33"/>
      <c r="L1273" s="1"/>
      <c r="M1273" s="1"/>
      <c r="N1273" s="1"/>
      <c r="O1273" s="1"/>
      <c r="P1273" s="1"/>
      <c r="Q1273" s="1"/>
      <c r="R1273" s="1"/>
      <c r="S1273" s="1"/>
      <c r="T1273" s="1"/>
    </row>
    <row r="1274" spans="2:20" ht="45" customHeight="1" x14ac:dyDescent="0.25">
      <c r="B1274" s="10"/>
      <c r="D1274" s="1"/>
      <c r="E1274" s="1"/>
      <c r="F1274" s="1"/>
      <c r="G1274" s="1"/>
      <c r="H1274" s="1"/>
      <c r="I1274" s="1"/>
      <c r="J1274" s="1"/>
      <c r="K1274" s="33"/>
      <c r="L1274" s="1"/>
      <c r="M1274" s="1"/>
      <c r="N1274" s="1"/>
      <c r="O1274" s="1"/>
      <c r="P1274" s="1"/>
      <c r="Q1274" s="1"/>
      <c r="R1274" s="1"/>
      <c r="S1274" s="1"/>
      <c r="T1274" s="1"/>
    </row>
    <row r="1275" spans="2:20" ht="45" customHeight="1" x14ac:dyDescent="0.25">
      <c r="B1275" s="10"/>
      <c r="D1275" s="1"/>
      <c r="E1275" s="1"/>
      <c r="F1275" s="1"/>
      <c r="G1275" s="1"/>
      <c r="H1275" s="1"/>
      <c r="I1275" s="1"/>
      <c r="J1275" s="1"/>
      <c r="K1275" s="33"/>
      <c r="L1275" s="1"/>
      <c r="M1275" s="1"/>
      <c r="N1275" s="1"/>
      <c r="O1275" s="1"/>
      <c r="P1275" s="1"/>
      <c r="Q1275" s="1"/>
      <c r="R1275" s="1"/>
      <c r="S1275" s="1"/>
      <c r="T1275" s="1"/>
    </row>
    <row r="1276" spans="2:20" ht="45" customHeight="1" x14ac:dyDescent="0.25">
      <c r="B1276" s="10"/>
      <c r="D1276" s="1"/>
      <c r="E1276" s="1"/>
      <c r="F1276" s="1"/>
      <c r="G1276" s="1"/>
      <c r="H1276" s="1"/>
      <c r="I1276" s="1"/>
      <c r="J1276" s="1"/>
      <c r="K1276" s="33"/>
      <c r="L1276" s="1"/>
      <c r="M1276" s="1"/>
      <c r="N1276" s="1"/>
      <c r="O1276" s="1"/>
      <c r="P1276" s="1"/>
      <c r="Q1276" s="1"/>
      <c r="R1276" s="1"/>
      <c r="S1276" s="1"/>
      <c r="T1276" s="1"/>
    </row>
    <row r="1277" spans="2:20" ht="45" customHeight="1" x14ac:dyDescent="0.25">
      <c r="B1277" s="10"/>
      <c r="D1277" s="1"/>
      <c r="E1277" s="1"/>
      <c r="F1277" s="1"/>
      <c r="G1277" s="1"/>
      <c r="H1277" s="1"/>
      <c r="I1277" s="1"/>
      <c r="J1277" s="1"/>
      <c r="K1277" s="33"/>
      <c r="L1277" s="1"/>
      <c r="M1277" s="1"/>
      <c r="N1277" s="1"/>
      <c r="O1277" s="1"/>
      <c r="P1277" s="1"/>
      <c r="Q1277" s="1"/>
      <c r="R1277" s="1"/>
      <c r="S1277" s="1"/>
      <c r="T1277" s="1"/>
    </row>
    <row r="1278" spans="2:20" ht="45" customHeight="1" x14ac:dyDescent="0.25">
      <c r="B1278" s="10"/>
      <c r="D1278" s="1"/>
      <c r="E1278" s="1"/>
      <c r="F1278" s="1"/>
      <c r="G1278" s="1"/>
      <c r="H1278" s="1"/>
      <c r="I1278" s="1"/>
      <c r="J1278" s="1"/>
      <c r="K1278" s="33"/>
      <c r="L1278" s="1"/>
      <c r="M1278" s="1"/>
      <c r="N1278" s="1"/>
      <c r="O1278" s="1"/>
      <c r="P1278" s="1"/>
      <c r="Q1278" s="1"/>
      <c r="R1278" s="1"/>
      <c r="S1278" s="1"/>
      <c r="T1278" s="1"/>
    </row>
    <row r="1279" spans="2:20" ht="45" customHeight="1" x14ac:dyDescent="0.25">
      <c r="B1279" s="10"/>
      <c r="D1279" s="1"/>
      <c r="E1279" s="1"/>
      <c r="F1279" s="1"/>
      <c r="G1279" s="1"/>
      <c r="H1279" s="1"/>
      <c r="I1279" s="1"/>
      <c r="J1279" s="1"/>
      <c r="K1279" s="33"/>
      <c r="L1279" s="1"/>
      <c r="M1279" s="1"/>
      <c r="N1279" s="1"/>
      <c r="O1279" s="1"/>
      <c r="P1279" s="1"/>
      <c r="Q1279" s="1"/>
      <c r="R1279" s="1"/>
      <c r="S1279" s="1"/>
      <c r="T1279" s="1"/>
    </row>
    <row r="1280" spans="2:20" ht="45" customHeight="1" x14ac:dyDescent="0.25">
      <c r="B1280" s="10"/>
      <c r="D1280" s="1"/>
      <c r="E1280" s="1"/>
      <c r="F1280" s="1"/>
      <c r="G1280" s="1"/>
      <c r="H1280" s="1"/>
      <c r="I1280" s="1"/>
      <c r="J1280" s="1"/>
      <c r="K1280" s="33"/>
      <c r="L1280" s="1"/>
      <c r="M1280" s="1"/>
      <c r="N1280" s="1"/>
      <c r="O1280" s="1"/>
      <c r="P1280" s="1"/>
      <c r="Q1280" s="1"/>
      <c r="R1280" s="1"/>
      <c r="S1280" s="1"/>
      <c r="T1280" s="1"/>
    </row>
    <row r="1281" spans="2:20" ht="45" customHeight="1" x14ac:dyDescent="0.25">
      <c r="B1281" s="10"/>
      <c r="D1281" s="1"/>
      <c r="E1281" s="1"/>
      <c r="F1281" s="1"/>
      <c r="G1281" s="1"/>
      <c r="H1281" s="1"/>
      <c r="I1281" s="1"/>
      <c r="J1281" s="1"/>
      <c r="K1281" s="33"/>
      <c r="L1281" s="1"/>
      <c r="M1281" s="1"/>
      <c r="N1281" s="1"/>
      <c r="O1281" s="1"/>
      <c r="P1281" s="1"/>
      <c r="Q1281" s="1"/>
      <c r="R1281" s="1"/>
      <c r="S1281" s="1"/>
      <c r="T1281" s="1"/>
    </row>
    <row r="1282" spans="2:20" ht="45" customHeight="1" x14ac:dyDescent="0.25">
      <c r="B1282" s="10"/>
      <c r="D1282" s="1"/>
      <c r="E1282" s="1"/>
      <c r="F1282" s="1"/>
      <c r="G1282" s="1"/>
      <c r="H1282" s="1"/>
      <c r="I1282" s="1"/>
      <c r="J1282" s="1"/>
      <c r="K1282" s="33"/>
      <c r="L1282" s="1"/>
      <c r="M1282" s="1"/>
      <c r="N1282" s="1"/>
      <c r="O1282" s="1"/>
      <c r="P1282" s="1"/>
      <c r="Q1282" s="1"/>
      <c r="R1282" s="1"/>
      <c r="S1282" s="1"/>
      <c r="T1282" s="1"/>
    </row>
    <row r="1283" spans="2:20" ht="45" customHeight="1" x14ac:dyDescent="0.25">
      <c r="B1283" s="10"/>
      <c r="D1283" s="1"/>
      <c r="E1283" s="1"/>
      <c r="F1283" s="1"/>
      <c r="G1283" s="1"/>
      <c r="H1283" s="1"/>
      <c r="I1283" s="1"/>
      <c r="J1283" s="1"/>
      <c r="K1283" s="33"/>
      <c r="L1283" s="1"/>
      <c r="M1283" s="1"/>
      <c r="N1283" s="1"/>
      <c r="O1283" s="1"/>
      <c r="P1283" s="1"/>
      <c r="Q1283" s="1"/>
      <c r="R1283" s="1"/>
      <c r="S1283" s="1"/>
      <c r="T1283" s="1"/>
    </row>
    <row r="1284" spans="2:20" ht="45" customHeight="1" x14ac:dyDescent="0.25">
      <c r="B1284" s="10"/>
      <c r="D1284" s="1"/>
      <c r="E1284" s="1"/>
      <c r="F1284" s="1"/>
      <c r="G1284" s="1"/>
      <c r="H1284" s="1"/>
      <c r="I1284" s="1"/>
      <c r="J1284" s="1"/>
      <c r="K1284" s="33"/>
      <c r="L1284" s="1"/>
      <c r="M1284" s="1"/>
      <c r="N1284" s="1"/>
      <c r="O1284" s="1"/>
      <c r="P1284" s="1"/>
      <c r="Q1284" s="1"/>
      <c r="R1284" s="1"/>
      <c r="S1284" s="1"/>
      <c r="T1284" s="1"/>
    </row>
    <row r="1285" spans="2:20" ht="45" customHeight="1" x14ac:dyDescent="0.25">
      <c r="B1285" s="10"/>
      <c r="D1285" s="1"/>
      <c r="E1285" s="1"/>
      <c r="F1285" s="1"/>
      <c r="G1285" s="1"/>
      <c r="H1285" s="1"/>
      <c r="I1285" s="1"/>
      <c r="J1285" s="1"/>
      <c r="K1285" s="33"/>
      <c r="L1285" s="1"/>
      <c r="M1285" s="1"/>
      <c r="N1285" s="1"/>
      <c r="O1285" s="1"/>
      <c r="P1285" s="1"/>
      <c r="Q1285" s="1"/>
      <c r="R1285" s="1"/>
      <c r="S1285" s="1"/>
      <c r="T1285" s="1"/>
    </row>
    <row r="1286" spans="2:20" ht="45" customHeight="1" x14ac:dyDescent="0.25">
      <c r="B1286" s="10"/>
      <c r="D1286" s="1"/>
      <c r="E1286" s="1"/>
      <c r="F1286" s="1"/>
      <c r="G1286" s="1"/>
      <c r="H1286" s="1"/>
      <c r="I1286" s="1"/>
      <c r="J1286" s="1"/>
      <c r="K1286" s="33"/>
      <c r="L1286" s="1"/>
      <c r="M1286" s="1"/>
      <c r="N1286" s="1"/>
      <c r="O1286" s="1"/>
      <c r="P1286" s="1"/>
      <c r="Q1286" s="1"/>
      <c r="R1286" s="1"/>
      <c r="S1286" s="1"/>
      <c r="T1286" s="1"/>
    </row>
    <row r="1287" spans="2:20" ht="45" customHeight="1" x14ac:dyDescent="0.25">
      <c r="B1287" s="10"/>
      <c r="D1287" s="1"/>
      <c r="E1287" s="1"/>
      <c r="F1287" s="1"/>
      <c r="G1287" s="1"/>
      <c r="H1287" s="1"/>
      <c r="I1287" s="1"/>
      <c r="J1287" s="1"/>
      <c r="K1287" s="33"/>
      <c r="L1287" s="1"/>
      <c r="M1287" s="1"/>
      <c r="N1287" s="1"/>
      <c r="O1287" s="1"/>
      <c r="P1287" s="1"/>
      <c r="Q1287" s="1"/>
      <c r="R1287" s="1"/>
      <c r="S1287" s="1"/>
      <c r="T1287" s="1"/>
    </row>
    <row r="1288" spans="2:20" ht="45" customHeight="1" x14ac:dyDescent="0.25">
      <c r="B1288" s="10"/>
      <c r="D1288" s="1"/>
      <c r="E1288" s="1"/>
      <c r="F1288" s="1"/>
      <c r="G1288" s="1"/>
      <c r="H1288" s="1"/>
      <c r="I1288" s="1"/>
      <c r="J1288" s="1"/>
      <c r="K1288" s="33"/>
      <c r="L1288" s="1"/>
      <c r="M1288" s="1"/>
      <c r="N1288" s="1"/>
      <c r="O1288" s="1"/>
      <c r="P1288" s="1"/>
      <c r="Q1288" s="1"/>
      <c r="R1288" s="1"/>
      <c r="S1288" s="1"/>
      <c r="T1288" s="1"/>
    </row>
    <row r="1289" spans="2:20" ht="45" customHeight="1" x14ac:dyDescent="0.25">
      <c r="B1289" s="10"/>
      <c r="D1289" s="1"/>
      <c r="E1289" s="1"/>
      <c r="F1289" s="1"/>
      <c r="G1289" s="1"/>
      <c r="H1289" s="1"/>
      <c r="I1289" s="1"/>
      <c r="J1289" s="1"/>
      <c r="K1289" s="33"/>
      <c r="L1289" s="1"/>
      <c r="M1289" s="1"/>
      <c r="N1289" s="1"/>
      <c r="O1289" s="1"/>
      <c r="P1289" s="1"/>
      <c r="Q1289" s="1"/>
      <c r="R1289" s="1"/>
      <c r="S1289" s="1"/>
      <c r="T1289" s="1"/>
    </row>
    <row r="1290" spans="2:20" ht="45" customHeight="1" x14ac:dyDescent="0.25">
      <c r="B1290" s="10"/>
      <c r="D1290" s="1"/>
      <c r="E1290" s="1"/>
      <c r="F1290" s="1"/>
      <c r="G1290" s="1"/>
      <c r="H1290" s="1"/>
      <c r="I1290" s="1"/>
      <c r="J1290" s="1"/>
      <c r="K1290" s="33"/>
      <c r="L1290" s="1"/>
      <c r="M1290" s="1"/>
      <c r="N1290" s="1"/>
      <c r="O1290" s="1"/>
      <c r="P1290" s="1"/>
      <c r="Q1290" s="1"/>
      <c r="R1290" s="1"/>
      <c r="S1290" s="1"/>
      <c r="T1290" s="1"/>
    </row>
    <row r="1291" spans="2:20" ht="45" customHeight="1" x14ac:dyDescent="0.25">
      <c r="B1291" s="10"/>
      <c r="D1291" s="1"/>
      <c r="E1291" s="1"/>
      <c r="F1291" s="1"/>
      <c r="G1291" s="1"/>
      <c r="H1291" s="1"/>
      <c r="I1291" s="1"/>
      <c r="J1291" s="1"/>
      <c r="K1291" s="33"/>
      <c r="L1291" s="1"/>
      <c r="M1291" s="1"/>
      <c r="N1291" s="1"/>
      <c r="O1291" s="1"/>
      <c r="P1291" s="1"/>
      <c r="Q1291" s="1"/>
      <c r="R1291" s="1"/>
      <c r="S1291" s="1"/>
      <c r="T1291" s="1"/>
    </row>
    <row r="1292" spans="2:20" ht="45" customHeight="1" x14ac:dyDescent="0.25">
      <c r="B1292" s="10"/>
      <c r="D1292" s="1"/>
      <c r="E1292" s="1"/>
      <c r="F1292" s="1"/>
      <c r="G1292" s="1"/>
      <c r="H1292" s="1"/>
      <c r="I1292" s="1"/>
      <c r="J1292" s="1"/>
      <c r="K1292" s="33"/>
      <c r="L1292" s="1"/>
      <c r="M1292" s="1"/>
      <c r="N1292" s="1"/>
      <c r="O1292" s="1"/>
      <c r="P1292" s="1"/>
      <c r="Q1292" s="1"/>
      <c r="R1292" s="1"/>
      <c r="S1292" s="1"/>
      <c r="T1292" s="1"/>
    </row>
    <row r="1293" spans="2:20" ht="45" customHeight="1" x14ac:dyDescent="0.25">
      <c r="B1293" s="10"/>
      <c r="D1293" s="1"/>
      <c r="E1293" s="1"/>
      <c r="F1293" s="1"/>
      <c r="G1293" s="1"/>
      <c r="H1293" s="1"/>
      <c r="I1293" s="1"/>
      <c r="J1293" s="1"/>
      <c r="K1293" s="33"/>
      <c r="L1293" s="1"/>
      <c r="M1293" s="1"/>
      <c r="N1293" s="1"/>
      <c r="O1293" s="1"/>
      <c r="P1293" s="1"/>
      <c r="Q1293" s="1"/>
      <c r="R1293" s="1"/>
      <c r="S1293" s="1"/>
      <c r="T1293" s="1"/>
    </row>
    <row r="1294" spans="2:20" ht="45" customHeight="1" x14ac:dyDescent="0.25">
      <c r="B1294" s="10"/>
      <c r="D1294" s="1"/>
      <c r="E1294" s="1"/>
      <c r="F1294" s="1"/>
      <c r="G1294" s="1"/>
      <c r="H1294" s="1"/>
      <c r="I1294" s="1"/>
      <c r="J1294" s="1"/>
      <c r="K1294" s="33"/>
      <c r="L1294" s="1"/>
      <c r="M1294" s="1"/>
      <c r="N1294" s="1"/>
      <c r="O1294" s="1"/>
      <c r="P1294" s="1"/>
      <c r="Q1294" s="1"/>
      <c r="R1294" s="1"/>
      <c r="S1294" s="1"/>
      <c r="T1294" s="1"/>
    </row>
    <row r="1295" spans="2:20" ht="45" customHeight="1" x14ac:dyDescent="0.25">
      <c r="B1295" s="10"/>
      <c r="D1295" s="1"/>
      <c r="E1295" s="1"/>
      <c r="F1295" s="1"/>
      <c r="G1295" s="1"/>
      <c r="H1295" s="1"/>
      <c r="I1295" s="1"/>
      <c r="J1295" s="1"/>
      <c r="K1295" s="33"/>
      <c r="L1295" s="1"/>
      <c r="M1295" s="1"/>
      <c r="N1295" s="1"/>
      <c r="O1295" s="1"/>
      <c r="P1295" s="1"/>
      <c r="Q1295" s="1"/>
      <c r="R1295" s="1"/>
      <c r="S1295" s="1"/>
      <c r="T1295" s="1"/>
    </row>
    <row r="1296" spans="2:20" ht="45" customHeight="1" x14ac:dyDescent="0.25">
      <c r="B1296" s="10"/>
      <c r="D1296" s="1"/>
      <c r="E1296" s="1"/>
      <c r="F1296" s="1"/>
      <c r="G1296" s="1"/>
      <c r="H1296" s="1"/>
      <c r="I1296" s="1"/>
      <c r="J1296" s="1"/>
      <c r="K1296" s="33"/>
      <c r="L1296" s="1"/>
      <c r="M1296" s="1"/>
      <c r="N1296" s="1"/>
      <c r="O1296" s="1"/>
      <c r="P1296" s="1"/>
      <c r="Q1296" s="1"/>
      <c r="R1296" s="1"/>
      <c r="S1296" s="1"/>
      <c r="T1296" s="1"/>
    </row>
    <row r="1297" spans="2:20" ht="45" customHeight="1" x14ac:dyDescent="0.25">
      <c r="B1297" s="10"/>
      <c r="D1297" s="1"/>
      <c r="E1297" s="1"/>
      <c r="F1297" s="1"/>
      <c r="G1297" s="1"/>
      <c r="H1297" s="1"/>
      <c r="I1297" s="1"/>
      <c r="J1297" s="1"/>
      <c r="K1297" s="33"/>
      <c r="L1297" s="1"/>
      <c r="M1297" s="1"/>
      <c r="N1297" s="1"/>
      <c r="O1297" s="1"/>
      <c r="P1297" s="1"/>
      <c r="Q1297" s="1"/>
      <c r="R1297" s="1"/>
      <c r="S1297" s="1"/>
      <c r="T1297" s="1"/>
    </row>
    <row r="1298" spans="2:20" ht="45" customHeight="1" x14ac:dyDescent="0.25">
      <c r="B1298" s="10"/>
      <c r="D1298" s="1"/>
      <c r="E1298" s="1"/>
      <c r="F1298" s="1"/>
      <c r="G1298" s="1"/>
      <c r="H1298" s="1"/>
      <c r="I1298" s="1"/>
      <c r="J1298" s="1"/>
      <c r="K1298" s="33"/>
      <c r="L1298" s="1"/>
      <c r="M1298" s="1"/>
      <c r="N1298" s="1"/>
      <c r="O1298" s="1"/>
      <c r="P1298" s="1"/>
      <c r="Q1298" s="1"/>
      <c r="R1298" s="1"/>
      <c r="S1298" s="1"/>
      <c r="T1298" s="1"/>
    </row>
    <row r="1299" spans="2:20" ht="45" customHeight="1" x14ac:dyDescent="0.25">
      <c r="B1299" s="10"/>
      <c r="D1299" s="1"/>
      <c r="E1299" s="1"/>
      <c r="F1299" s="1"/>
      <c r="G1299" s="1"/>
      <c r="H1299" s="1"/>
      <c r="I1299" s="1"/>
      <c r="J1299" s="1"/>
      <c r="K1299" s="33"/>
      <c r="L1299" s="1"/>
      <c r="M1299" s="1"/>
      <c r="N1299" s="1"/>
      <c r="O1299" s="1"/>
      <c r="P1299" s="1"/>
      <c r="Q1299" s="1"/>
      <c r="R1299" s="1"/>
      <c r="S1299" s="1"/>
      <c r="T1299" s="1"/>
    </row>
    <row r="1300" spans="2:20" ht="45" customHeight="1" x14ac:dyDescent="0.25">
      <c r="B1300" s="10"/>
      <c r="D1300" s="1"/>
      <c r="E1300" s="1"/>
      <c r="F1300" s="1"/>
      <c r="G1300" s="1"/>
      <c r="H1300" s="1"/>
      <c r="I1300" s="1"/>
      <c r="J1300" s="1"/>
      <c r="K1300" s="33"/>
      <c r="L1300" s="1"/>
      <c r="M1300" s="1"/>
      <c r="N1300" s="1"/>
      <c r="O1300" s="1"/>
      <c r="P1300" s="1"/>
      <c r="Q1300" s="1"/>
      <c r="R1300" s="1"/>
      <c r="S1300" s="1"/>
      <c r="T1300" s="1"/>
    </row>
    <row r="1301" spans="2:20" ht="45" customHeight="1" x14ac:dyDescent="0.25">
      <c r="B1301" s="10"/>
      <c r="D1301" s="1"/>
      <c r="E1301" s="1"/>
      <c r="F1301" s="1"/>
      <c r="G1301" s="1"/>
      <c r="H1301" s="1"/>
      <c r="I1301" s="1"/>
      <c r="J1301" s="1"/>
      <c r="K1301" s="33"/>
      <c r="L1301" s="1"/>
      <c r="M1301" s="1"/>
      <c r="N1301" s="1"/>
      <c r="O1301" s="1"/>
      <c r="P1301" s="1"/>
      <c r="Q1301" s="1"/>
      <c r="R1301" s="1"/>
      <c r="S1301" s="1"/>
      <c r="T1301" s="1"/>
    </row>
    <row r="1302" spans="2:20" ht="45" customHeight="1" x14ac:dyDescent="0.25">
      <c r="B1302" s="10"/>
      <c r="D1302" s="1"/>
      <c r="E1302" s="1"/>
      <c r="F1302" s="1"/>
      <c r="G1302" s="1"/>
      <c r="H1302" s="1"/>
      <c r="I1302" s="1"/>
      <c r="J1302" s="1"/>
      <c r="K1302" s="33"/>
      <c r="L1302" s="1"/>
      <c r="M1302" s="1"/>
      <c r="N1302" s="1"/>
      <c r="O1302" s="1"/>
      <c r="P1302" s="1"/>
      <c r="Q1302" s="1"/>
      <c r="R1302" s="1"/>
      <c r="S1302" s="1"/>
      <c r="T1302" s="1"/>
    </row>
    <row r="1303" spans="2:20" ht="45" customHeight="1" x14ac:dyDescent="0.25">
      <c r="B1303" s="10"/>
      <c r="D1303" s="1"/>
      <c r="E1303" s="1"/>
      <c r="F1303" s="1"/>
      <c r="G1303" s="1"/>
      <c r="H1303" s="1"/>
      <c r="I1303" s="1"/>
      <c r="J1303" s="1"/>
      <c r="K1303" s="33"/>
      <c r="L1303" s="1"/>
      <c r="M1303" s="1"/>
      <c r="N1303" s="1"/>
      <c r="O1303" s="1"/>
      <c r="P1303" s="1"/>
      <c r="Q1303" s="1"/>
      <c r="R1303" s="1"/>
      <c r="S1303" s="1"/>
      <c r="T1303" s="1"/>
    </row>
    <row r="1304" spans="2:20" ht="45" customHeight="1" x14ac:dyDescent="0.25">
      <c r="B1304" s="10"/>
      <c r="D1304" s="1"/>
      <c r="E1304" s="1"/>
      <c r="F1304" s="1"/>
      <c r="G1304" s="1"/>
      <c r="H1304" s="1"/>
      <c r="I1304" s="1"/>
      <c r="J1304" s="1"/>
      <c r="K1304" s="33"/>
      <c r="L1304" s="1"/>
      <c r="M1304" s="1"/>
      <c r="N1304" s="1"/>
      <c r="O1304" s="1"/>
      <c r="P1304" s="1"/>
      <c r="Q1304" s="1"/>
      <c r="R1304" s="1"/>
      <c r="S1304" s="1"/>
      <c r="T1304" s="1"/>
    </row>
    <row r="1305" spans="2:20" ht="45" customHeight="1" x14ac:dyDescent="0.25">
      <c r="B1305" s="10"/>
      <c r="D1305" s="1"/>
      <c r="E1305" s="1"/>
      <c r="F1305" s="1"/>
      <c r="G1305" s="1"/>
      <c r="H1305" s="1"/>
      <c r="I1305" s="1"/>
      <c r="J1305" s="1"/>
      <c r="K1305" s="33"/>
      <c r="L1305" s="1"/>
      <c r="M1305" s="1"/>
      <c r="N1305" s="1"/>
      <c r="O1305" s="1"/>
      <c r="P1305" s="1"/>
      <c r="Q1305" s="1"/>
      <c r="R1305" s="1"/>
      <c r="S1305" s="1"/>
      <c r="T1305" s="1"/>
    </row>
    <row r="1306" spans="2:20" ht="45" customHeight="1" x14ac:dyDescent="0.25">
      <c r="B1306" s="10"/>
      <c r="D1306" s="1"/>
      <c r="E1306" s="1"/>
      <c r="F1306" s="1"/>
      <c r="G1306" s="1"/>
      <c r="H1306" s="1"/>
      <c r="I1306" s="1"/>
      <c r="J1306" s="1"/>
      <c r="K1306" s="33"/>
      <c r="L1306" s="1"/>
      <c r="M1306" s="1"/>
      <c r="N1306" s="1"/>
      <c r="O1306" s="1"/>
      <c r="P1306" s="1"/>
      <c r="Q1306" s="1"/>
      <c r="R1306" s="1"/>
      <c r="S1306" s="1"/>
      <c r="T1306" s="1"/>
    </row>
    <row r="1307" spans="2:20" ht="45" customHeight="1" x14ac:dyDescent="0.25">
      <c r="B1307" s="10"/>
      <c r="D1307" s="1"/>
      <c r="E1307" s="1"/>
      <c r="F1307" s="1"/>
      <c r="G1307" s="1"/>
      <c r="H1307" s="1"/>
      <c r="I1307" s="1"/>
      <c r="J1307" s="1"/>
      <c r="K1307" s="33"/>
      <c r="L1307" s="1"/>
      <c r="M1307" s="1"/>
      <c r="N1307" s="1"/>
      <c r="O1307" s="1"/>
      <c r="P1307" s="1"/>
      <c r="Q1307" s="1"/>
      <c r="R1307" s="1"/>
      <c r="S1307" s="1"/>
      <c r="T1307" s="1"/>
    </row>
    <row r="1308" spans="2:20" ht="45" customHeight="1" x14ac:dyDescent="0.25">
      <c r="B1308" s="10"/>
      <c r="D1308" s="1"/>
      <c r="E1308" s="1"/>
      <c r="F1308" s="1"/>
      <c r="G1308" s="1"/>
      <c r="H1308" s="1"/>
      <c r="I1308" s="1"/>
      <c r="J1308" s="1"/>
      <c r="K1308" s="33"/>
      <c r="L1308" s="1"/>
      <c r="M1308" s="1"/>
      <c r="N1308" s="1"/>
      <c r="O1308" s="1"/>
      <c r="P1308" s="1"/>
      <c r="Q1308" s="1"/>
      <c r="R1308" s="1"/>
      <c r="S1308" s="1"/>
      <c r="T1308" s="1"/>
    </row>
    <row r="1309" spans="2:20" ht="45" customHeight="1" x14ac:dyDescent="0.25">
      <c r="B1309" s="10"/>
      <c r="D1309" s="1"/>
      <c r="E1309" s="1"/>
      <c r="F1309" s="1"/>
      <c r="G1309" s="1"/>
      <c r="H1309" s="1"/>
      <c r="I1309" s="1"/>
      <c r="J1309" s="1"/>
      <c r="K1309" s="33"/>
      <c r="L1309" s="1"/>
      <c r="M1309" s="1"/>
      <c r="N1309" s="1"/>
      <c r="O1309" s="1"/>
      <c r="P1309" s="1"/>
      <c r="Q1309" s="1"/>
      <c r="R1309" s="1"/>
      <c r="S1309" s="1"/>
      <c r="T1309" s="1"/>
    </row>
    <row r="1310" spans="2:20" ht="45" customHeight="1" x14ac:dyDescent="0.25">
      <c r="B1310" s="10"/>
      <c r="D1310" s="1"/>
      <c r="E1310" s="1"/>
      <c r="F1310" s="1"/>
      <c r="G1310" s="1"/>
      <c r="H1310" s="1"/>
      <c r="I1310" s="1"/>
      <c r="J1310" s="1"/>
      <c r="K1310" s="33"/>
      <c r="L1310" s="1"/>
      <c r="M1310" s="1"/>
      <c r="N1310" s="1"/>
      <c r="O1310" s="1"/>
      <c r="P1310" s="1"/>
      <c r="Q1310" s="1"/>
      <c r="R1310" s="1"/>
      <c r="S1310" s="1"/>
      <c r="T1310" s="1"/>
    </row>
    <row r="1311" spans="2:20" ht="45" customHeight="1" x14ac:dyDescent="0.25">
      <c r="B1311" s="10"/>
      <c r="D1311" s="1"/>
      <c r="E1311" s="1"/>
      <c r="F1311" s="1"/>
      <c r="G1311" s="1"/>
      <c r="H1311" s="1"/>
      <c r="I1311" s="1"/>
      <c r="J1311" s="1"/>
      <c r="K1311" s="33"/>
      <c r="L1311" s="1"/>
      <c r="M1311" s="1"/>
      <c r="N1311" s="1"/>
      <c r="O1311" s="1"/>
      <c r="P1311" s="1"/>
      <c r="Q1311" s="1"/>
      <c r="R1311" s="1"/>
      <c r="S1311" s="1"/>
      <c r="T1311" s="1"/>
    </row>
    <row r="1312" spans="2:20" ht="45" customHeight="1" x14ac:dyDescent="0.25">
      <c r="B1312" s="10"/>
      <c r="D1312" s="1"/>
      <c r="E1312" s="1"/>
      <c r="F1312" s="1"/>
      <c r="G1312" s="1"/>
      <c r="H1312" s="1"/>
      <c r="I1312" s="1"/>
      <c r="J1312" s="1"/>
      <c r="K1312" s="33"/>
      <c r="L1312" s="1"/>
      <c r="M1312" s="1"/>
      <c r="N1312" s="1"/>
      <c r="O1312" s="1"/>
      <c r="P1312" s="1"/>
      <c r="Q1312" s="1"/>
      <c r="R1312" s="1"/>
      <c r="S1312" s="1"/>
      <c r="T1312" s="1"/>
    </row>
    <row r="1313" spans="2:20" ht="45" customHeight="1" x14ac:dyDescent="0.25">
      <c r="B1313" s="10"/>
      <c r="D1313" s="1"/>
      <c r="E1313" s="1"/>
      <c r="F1313" s="1"/>
      <c r="G1313" s="1"/>
      <c r="H1313" s="1"/>
      <c r="I1313" s="1"/>
      <c r="J1313" s="1"/>
      <c r="K1313" s="33"/>
      <c r="L1313" s="1"/>
      <c r="M1313" s="1"/>
      <c r="N1313" s="1"/>
      <c r="O1313" s="1"/>
      <c r="P1313" s="1"/>
      <c r="Q1313" s="1"/>
      <c r="R1313" s="1"/>
      <c r="S1313" s="1"/>
      <c r="T1313" s="1"/>
    </row>
    <row r="1314" spans="2:20" ht="45" customHeight="1" x14ac:dyDescent="0.25">
      <c r="B1314" s="10"/>
      <c r="D1314" s="1"/>
      <c r="E1314" s="1"/>
      <c r="F1314" s="1"/>
      <c r="G1314" s="1"/>
      <c r="H1314" s="1"/>
      <c r="I1314" s="1"/>
      <c r="J1314" s="1"/>
      <c r="K1314" s="33"/>
      <c r="L1314" s="1"/>
      <c r="M1314" s="1"/>
      <c r="N1314" s="1"/>
      <c r="O1314" s="1"/>
      <c r="P1314" s="1"/>
      <c r="Q1314" s="1"/>
      <c r="R1314" s="1"/>
      <c r="S1314" s="1"/>
      <c r="T1314" s="1"/>
    </row>
    <row r="1315" spans="2:20" ht="45" customHeight="1" x14ac:dyDescent="0.25">
      <c r="B1315" s="10"/>
      <c r="D1315" s="1"/>
      <c r="E1315" s="1"/>
      <c r="F1315" s="1"/>
      <c r="G1315" s="1"/>
      <c r="H1315" s="1"/>
      <c r="I1315" s="1"/>
      <c r="J1315" s="1"/>
      <c r="K1315" s="33"/>
      <c r="L1315" s="1"/>
      <c r="M1315" s="1"/>
      <c r="N1315" s="1"/>
      <c r="O1315" s="1"/>
      <c r="P1315" s="1"/>
      <c r="Q1315" s="1"/>
      <c r="R1315" s="1"/>
      <c r="S1315" s="1"/>
      <c r="T1315" s="1"/>
    </row>
    <row r="1316" spans="2:20" ht="45" customHeight="1" x14ac:dyDescent="0.25">
      <c r="B1316" s="10"/>
      <c r="D1316" s="1"/>
      <c r="E1316" s="1"/>
      <c r="F1316" s="1"/>
      <c r="G1316" s="1"/>
      <c r="H1316" s="1"/>
      <c r="I1316" s="1"/>
      <c r="J1316" s="1"/>
      <c r="K1316" s="33"/>
      <c r="L1316" s="1"/>
      <c r="M1316" s="1"/>
      <c r="N1316" s="1"/>
      <c r="O1316" s="1"/>
      <c r="P1316" s="1"/>
      <c r="Q1316" s="1"/>
      <c r="R1316" s="1"/>
      <c r="S1316" s="1"/>
      <c r="T1316" s="1"/>
    </row>
    <row r="1317" spans="2:20" ht="45" customHeight="1" x14ac:dyDescent="0.25">
      <c r="B1317" s="10"/>
      <c r="D1317" s="1"/>
      <c r="E1317" s="1"/>
      <c r="F1317" s="1"/>
      <c r="G1317" s="1"/>
      <c r="H1317" s="1"/>
      <c r="I1317" s="1"/>
      <c r="J1317" s="1"/>
      <c r="K1317" s="33"/>
      <c r="L1317" s="1"/>
      <c r="M1317" s="1"/>
      <c r="N1317" s="1"/>
      <c r="O1317" s="1"/>
      <c r="P1317" s="1"/>
      <c r="Q1317" s="1"/>
      <c r="R1317" s="1"/>
      <c r="S1317" s="1"/>
      <c r="T1317" s="1"/>
    </row>
    <row r="1318" spans="2:20" ht="45" customHeight="1" x14ac:dyDescent="0.25">
      <c r="B1318" s="10"/>
      <c r="D1318" s="1"/>
      <c r="E1318" s="1"/>
      <c r="F1318" s="1"/>
      <c r="G1318" s="1"/>
      <c r="H1318" s="1"/>
      <c r="I1318" s="1"/>
      <c r="J1318" s="1"/>
      <c r="K1318" s="33"/>
      <c r="L1318" s="1"/>
      <c r="M1318" s="1"/>
      <c r="N1318" s="1"/>
      <c r="O1318" s="1"/>
      <c r="P1318" s="1"/>
      <c r="Q1318" s="1"/>
      <c r="R1318" s="1"/>
      <c r="S1318" s="1"/>
      <c r="T1318" s="1"/>
    </row>
    <row r="1319" spans="2:20" ht="45" customHeight="1" x14ac:dyDescent="0.25">
      <c r="B1319" s="10"/>
      <c r="D1319" s="1"/>
      <c r="E1319" s="1"/>
      <c r="F1319" s="1"/>
      <c r="G1319" s="1"/>
      <c r="H1319" s="1"/>
      <c r="I1319" s="1"/>
      <c r="J1319" s="1"/>
      <c r="K1319" s="33"/>
      <c r="L1319" s="1"/>
      <c r="M1319" s="1"/>
      <c r="N1319" s="1"/>
      <c r="O1319" s="1"/>
      <c r="P1319" s="1"/>
      <c r="Q1319" s="1"/>
      <c r="R1319" s="1"/>
      <c r="S1319" s="1"/>
      <c r="T1319" s="1"/>
    </row>
    <row r="1320" spans="2:20" ht="45" customHeight="1" x14ac:dyDescent="0.25">
      <c r="B1320" s="10"/>
      <c r="D1320" s="1"/>
      <c r="E1320" s="1"/>
      <c r="F1320" s="1"/>
      <c r="G1320" s="1"/>
      <c r="H1320" s="1"/>
      <c r="I1320" s="1"/>
      <c r="J1320" s="1"/>
      <c r="K1320" s="33"/>
      <c r="L1320" s="1"/>
      <c r="M1320" s="1"/>
      <c r="N1320" s="1"/>
      <c r="O1320" s="1"/>
      <c r="P1320" s="1"/>
      <c r="Q1320" s="1"/>
      <c r="R1320" s="1"/>
      <c r="S1320" s="1"/>
      <c r="T1320" s="1"/>
    </row>
    <row r="1321" spans="2:20" ht="45" customHeight="1" x14ac:dyDescent="0.25">
      <c r="B1321" s="10"/>
      <c r="D1321" s="1"/>
      <c r="E1321" s="1"/>
      <c r="F1321" s="1"/>
      <c r="G1321" s="1"/>
      <c r="H1321" s="1"/>
      <c r="I1321" s="1"/>
      <c r="J1321" s="1"/>
      <c r="K1321" s="33"/>
      <c r="L1321" s="1"/>
      <c r="M1321" s="1"/>
      <c r="N1321" s="1"/>
      <c r="O1321" s="1"/>
      <c r="P1321" s="1"/>
      <c r="Q1321" s="1"/>
      <c r="R1321" s="1"/>
      <c r="S1321" s="1"/>
      <c r="T1321" s="1"/>
    </row>
    <row r="1322" spans="2:20" ht="45" customHeight="1" x14ac:dyDescent="0.25">
      <c r="B1322" s="10"/>
      <c r="D1322" s="1"/>
      <c r="E1322" s="1"/>
      <c r="F1322" s="1"/>
      <c r="G1322" s="1"/>
      <c r="H1322" s="1"/>
      <c r="I1322" s="1"/>
      <c r="J1322" s="1"/>
      <c r="K1322" s="33"/>
      <c r="L1322" s="1"/>
      <c r="M1322" s="1"/>
      <c r="N1322" s="1"/>
      <c r="O1322" s="1"/>
      <c r="P1322" s="1"/>
      <c r="Q1322" s="1"/>
      <c r="R1322" s="1"/>
      <c r="S1322" s="1"/>
      <c r="T1322" s="1"/>
    </row>
    <row r="1323" spans="2:20" ht="45" customHeight="1" x14ac:dyDescent="0.25">
      <c r="B1323" s="10"/>
      <c r="D1323" s="1"/>
      <c r="E1323" s="1"/>
      <c r="F1323" s="1"/>
      <c r="G1323" s="1"/>
      <c r="H1323" s="1"/>
      <c r="I1323" s="1"/>
      <c r="J1323" s="1"/>
      <c r="K1323" s="33"/>
      <c r="L1323" s="1"/>
      <c r="M1323" s="1"/>
      <c r="N1323" s="1"/>
      <c r="O1323" s="1"/>
      <c r="P1323" s="1"/>
      <c r="Q1323" s="1"/>
      <c r="R1323" s="1"/>
      <c r="S1323" s="1"/>
      <c r="T1323" s="1"/>
    </row>
    <row r="1324" spans="2:20" ht="45" customHeight="1" x14ac:dyDescent="0.25">
      <c r="B1324" s="10"/>
      <c r="D1324" s="1"/>
      <c r="E1324" s="1"/>
      <c r="F1324" s="1"/>
      <c r="G1324" s="1"/>
      <c r="H1324" s="1"/>
      <c r="I1324" s="1"/>
      <c r="J1324" s="1"/>
      <c r="K1324" s="33"/>
      <c r="L1324" s="1"/>
      <c r="M1324" s="1"/>
      <c r="N1324" s="1"/>
      <c r="O1324" s="1"/>
      <c r="P1324" s="1"/>
      <c r="Q1324" s="1"/>
      <c r="R1324" s="1"/>
      <c r="S1324" s="1"/>
      <c r="T1324" s="1"/>
    </row>
    <row r="1325" spans="2:20" ht="45" customHeight="1" x14ac:dyDescent="0.25">
      <c r="B1325" s="10"/>
      <c r="D1325" s="1"/>
      <c r="E1325" s="1"/>
      <c r="F1325" s="1"/>
      <c r="G1325" s="1"/>
      <c r="H1325" s="1"/>
      <c r="I1325" s="1"/>
      <c r="J1325" s="1"/>
      <c r="K1325" s="33"/>
      <c r="L1325" s="1"/>
      <c r="M1325" s="1"/>
      <c r="N1325" s="1"/>
      <c r="O1325" s="1"/>
      <c r="P1325" s="1"/>
      <c r="Q1325" s="1"/>
      <c r="R1325" s="1"/>
      <c r="S1325" s="1"/>
      <c r="T1325" s="1"/>
    </row>
    <row r="1326" spans="2:20" ht="45" customHeight="1" x14ac:dyDescent="0.25">
      <c r="B1326" s="10"/>
      <c r="D1326" s="1"/>
      <c r="E1326" s="1"/>
      <c r="F1326" s="1"/>
      <c r="G1326" s="1"/>
      <c r="H1326" s="1"/>
      <c r="I1326" s="1"/>
      <c r="J1326" s="1"/>
      <c r="K1326" s="33"/>
      <c r="L1326" s="1"/>
      <c r="M1326" s="1"/>
      <c r="N1326" s="1"/>
      <c r="O1326" s="1"/>
      <c r="P1326" s="1"/>
      <c r="Q1326" s="1"/>
      <c r="R1326" s="1"/>
      <c r="S1326" s="1"/>
      <c r="T1326" s="1"/>
    </row>
    <row r="1327" spans="2:20" ht="45" customHeight="1" x14ac:dyDescent="0.25">
      <c r="B1327" s="10"/>
      <c r="D1327" s="1"/>
      <c r="E1327" s="1"/>
      <c r="F1327" s="1"/>
      <c r="G1327" s="1"/>
      <c r="H1327" s="1"/>
      <c r="I1327" s="1"/>
      <c r="J1327" s="1"/>
      <c r="K1327" s="33"/>
      <c r="L1327" s="1"/>
      <c r="M1327" s="1"/>
      <c r="N1327" s="1"/>
      <c r="O1327" s="1"/>
      <c r="P1327" s="1"/>
      <c r="Q1327" s="1"/>
      <c r="R1327" s="1"/>
      <c r="S1327" s="1"/>
      <c r="T1327" s="1"/>
    </row>
    <row r="1328" spans="2:20" ht="45" customHeight="1" x14ac:dyDescent="0.25">
      <c r="B1328" s="10"/>
      <c r="D1328" s="1"/>
      <c r="E1328" s="1"/>
      <c r="F1328" s="1"/>
      <c r="G1328" s="1"/>
      <c r="H1328" s="1"/>
      <c r="I1328" s="1"/>
      <c r="J1328" s="1"/>
      <c r="K1328" s="33"/>
      <c r="L1328" s="1"/>
      <c r="M1328" s="1"/>
      <c r="N1328" s="1"/>
      <c r="O1328" s="1"/>
      <c r="P1328" s="1"/>
      <c r="Q1328" s="1"/>
      <c r="R1328" s="1"/>
      <c r="S1328" s="1"/>
      <c r="T1328" s="1"/>
    </row>
    <row r="1329" spans="2:28" ht="45" customHeight="1" x14ac:dyDescent="0.25">
      <c r="B1329" s="10"/>
      <c r="D1329" s="1"/>
      <c r="E1329" s="1"/>
      <c r="F1329" s="1"/>
      <c r="G1329" s="1"/>
      <c r="H1329" s="1"/>
      <c r="I1329" s="1"/>
      <c r="J1329" s="1"/>
      <c r="K1329" s="33"/>
      <c r="L1329" s="1"/>
      <c r="M1329" s="1"/>
      <c r="N1329" s="1"/>
      <c r="O1329" s="1"/>
      <c r="P1329" s="1"/>
      <c r="Q1329" s="1"/>
      <c r="R1329" s="1"/>
      <c r="S1329" s="1"/>
      <c r="T1329" s="1"/>
    </row>
    <row r="1330" spans="2:28" ht="45" customHeight="1" x14ac:dyDescent="0.25">
      <c r="B1330" s="10"/>
      <c r="D1330" s="1"/>
      <c r="E1330" s="1"/>
      <c r="F1330" s="1"/>
      <c r="G1330" s="1"/>
      <c r="H1330" s="1"/>
      <c r="I1330" s="1"/>
      <c r="J1330" s="1"/>
      <c r="K1330" s="33"/>
      <c r="L1330" s="1"/>
      <c r="M1330" s="1"/>
      <c r="N1330" s="1"/>
      <c r="O1330" s="1"/>
      <c r="P1330" s="1"/>
      <c r="Q1330" s="1"/>
      <c r="R1330" s="1"/>
      <c r="S1330" s="1"/>
      <c r="T1330" s="1"/>
    </row>
    <row r="1331" spans="2:28" ht="45" customHeight="1" x14ac:dyDescent="0.25">
      <c r="B1331" s="10"/>
      <c r="D1331" s="1"/>
      <c r="E1331" s="1"/>
      <c r="F1331" s="1"/>
      <c r="G1331" s="1"/>
      <c r="H1331" s="1"/>
      <c r="I1331" s="1"/>
      <c r="J1331" s="1"/>
      <c r="K1331" s="33"/>
      <c r="L1331" s="1"/>
      <c r="M1331" s="1"/>
      <c r="N1331" s="1"/>
      <c r="O1331" s="1"/>
      <c r="P1331" s="1"/>
      <c r="Q1331" s="1"/>
      <c r="R1331" s="1"/>
      <c r="S1331" s="1"/>
      <c r="T1331" s="1"/>
    </row>
    <row r="1332" spans="2:28" ht="45" customHeight="1" x14ac:dyDescent="0.25">
      <c r="B1332" s="10"/>
      <c r="D1332" s="1"/>
      <c r="E1332" s="1"/>
      <c r="F1332" s="1"/>
      <c r="G1332" s="1"/>
      <c r="H1332" s="1"/>
      <c r="I1332" s="1"/>
      <c r="J1332" s="1"/>
      <c r="K1332" s="33"/>
      <c r="L1332" s="1"/>
      <c r="M1332" s="1"/>
      <c r="N1332" s="1"/>
      <c r="O1332" s="1"/>
      <c r="P1332" s="1"/>
      <c r="Q1332" s="1"/>
      <c r="R1332" s="1"/>
      <c r="S1332" s="1"/>
      <c r="T1332" s="1"/>
    </row>
    <row r="1333" spans="2:28" ht="45" customHeight="1" x14ac:dyDescent="0.25">
      <c r="B1333" s="10"/>
      <c r="D1333" s="1"/>
      <c r="E1333" s="1"/>
      <c r="F1333" s="1"/>
      <c r="G1333" s="1"/>
      <c r="H1333" s="1"/>
      <c r="I1333" s="1"/>
      <c r="J1333" s="1"/>
      <c r="K1333" s="33"/>
      <c r="L1333" s="1"/>
      <c r="M1333" s="1"/>
      <c r="N1333" s="1"/>
      <c r="O1333" s="1"/>
      <c r="P1333" s="1"/>
      <c r="Q1333" s="1"/>
      <c r="R1333" s="1"/>
      <c r="S1333" s="1"/>
      <c r="T1333" s="1"/>
    </row>
    <row r="1334" spans="2:28" ht="45" customHeight="1" x14ac:dyDescent="0.25">
      <c r="B1334" s="10"/>
      <c r="D1334" s="1"/>
      <c r="E1334" s="1"/>
      <c r="F1334" s="1"/>
      <c r="G1334" s="1"/>
      <c r="H1334" s="1"/>
      <c r="I1334" s="1"/>
      <c r="J1334" s="1"/>
      <c r="K1334" s="33"/>
      <c r="L1334" s="1"/>
      <c r="M1334" s="1"/>
      <c r="N1334" s="1"/>
      <c r="O1334" s="1"/>
      <c r="P1334" s="1"/>
      <c r="Q1334" s="1"/>
      <c r="R1334" s="1"/>
      <c r="S1334" s="1"/>
      <c r="T1334" s="1"/>
    </row>
    <row r="1335" spans="2:28" ht="45" customHeight="1" x14ac:dyDescent="0.25">
      <c r="B1335" s="10"/>
      <c r="D1335" s="1"/>
      <c r="E1335" s="1"/>
      <c r="F1335" s="1"/>
      <c r="G1335" s="1"/>
      <c r="H1335" s="1"/>
      <c r="I1335" s="1"/>
      <c r="J1335" s="1"/>
      <c r="K1335" s="33"/>
      <c r="L1335" s="1"/>
      <c r="M1335" s="1"/>
      <c r="N1335" s="1"/>
      <c r="O1335" s="1"/>
      <c r="P1335" s="1"/>
      <c r="Q1335" s="1"/>
      <c r="R1335" s="1"/>
      <c r="S1335" s="1"/>
      <c r="T1335" s="1"/>
    </row>
    <row r="1336" spans="2:28" ht="45" customHeight="1" x14ac:dyDescent="0.25">
      <c r="B1336" s="10"/>
      <c r="D1336" s="1"/>
      <c r="E1336" s="1"/>
      <c r="F1336" s="1"/>
      <c r="G1336" s="1"/>
      <c r="H1336" s="1"/>
      <c r="I1336" s="1"/>
      <c r="J1336" s="1"/>
      <c r="K1336" s="33"/>
      <c r="L1336" s="1"/>
      <c r="M1336" s="1"/>
      <c r="N1336" s="1"/>
      <c r="O1336" s="1"/>
      <c r="P1336" s="1"/>
      <c r="Q1336" s="1"/>
      <c r="R1336" s="1"/>
      <c r="S1336" s="1"/>
      <c r="T1336" s="1"/>
    </row>
    <row r="1337" spans="2:28" ht="45" customHeight="1" x14ac:dyDescent="0.25">
      <c r="B1337" s="10"/>
      <c r="D1337" s="1"/>
      <c r="E1337" s="1"/>
      <c r="F1337" s="1"/>
      <c r="G1337" s="1"/>
      <c r="H1337" s="1"/>
      <c r="I1337" s="1"/>
      <c r="J1337" s="1"/>
      <c r="K1337" s="33"/>
      <c r="L1337" s="1"/>
      <c r="M1337" s="1"/>
      <c r="N1337" s="1"/>
      <c r="O1337" s="1"/>
      <c r="P1337" s="1"/>
      <c r="Q1337" s="1"/>
      <c r="R1337" s="1"/>
      <c r="S1337" s="1"/>
      <c r="T1337" s="1"/>
    </row>
    <row r="1338" spans="2:28" ht="45" customHeight="1" x14ac:dyDescent="0.25">
      <c r="B1338" s="10"/>
      <c r="D1338" s="1"/>
      <c r="E1338" s="1"/>
      <c r="F1338" s="1"/>
      <c r="G1338" s="1"/>
      <c r="H1338" s="1"/>
      <c r="I1338" s="1"/>
      <c r="J1338" s="1"/>
      <c r="K1338" s="33"/>
      <c r="L1338" s="1"/>
      <c r="M1338" s="1"/>
      <c r="N1338" s="1"/>
      <c r="O1338" s="1"/>
      <c r="P1338" s="1"/>
      <c r="Q1338" s="1"/>
      <c r="R1338" s="1"/>
      <c r="S1338" s="1"/>
      <c r="T1338" s="1"/>
    </row>
    <row r="1339" spans="2:28" ht="45" customHeight="1" x14ac:dyDescent="0.25">
      <c r="B1339" s="10"/>
      <c r="D1339" s="1"/>
      <c r="E1339" s="1"/>
      <c r="F1339" s="1"/>
      <c r="G1339" s="1"/>
      <c r="H1339" s="1"/>
      <c r="I1339" s="1"/>
      <c r="J1339" s="1"/>
      <c r="K1339" s="33"/>
      <c r="L1339" s="1"/>
      <c r="M1339" s="1"/>
      <c r="N1339" s="1"/>
      <c r="O1339" s="1"/>
      <c r="P1339" s="1"/>
      <c r="Q1339" s="1"/>
      <c r="R1339" s="1"/>
      <c r="S1339" s="1"/>
      <c r="T1339" s="1"/>
    </row>
    <row r="1340" spans="2:28" ht="45" customHeight="1" x14ac:dyDescent="0.25">
      <c r="B1340" s="10"/>
      <c r="D1340" s="1"/>
      <c r="E1340" s="1"/>
      <c r="F1340" s="1"/>
      <c r="G1340" s="1"/>
      <c r="H1340" s="1"/>
      <c r="I1340" s="1"/>
      <c r="J1340" s="1"/>
      <c r="K1340" s="33"/>
      <c r="L1340" s="1"/>
      <c r="M1340" s="1"/>
      <c r="N1340" s="1"/>
      <c r="O1340" s="1"/>
      <c r="P1340" s="1"/>
      <c r="Q1340" s="1"/>
      <c r="R1340" s="1"/>
      <c r="S1340" s="1"/>
      <c r="T1340" s="1"/>
    </row>
    <row r="1341" spans="2:28" ht="45" customHeight="1" x14ac:dyDescent="0.25">
      <c r="B1341" s="10"/>
      <c r="D1341" s="1"/>
      <c r="E1341" s="1"/>
      <c r="F1341" s="1"/>
      <c r="G1341" s="1"/>
      <c r="H1341" s="1"/>
      <c r="I1341" s="1"/>
      <c r="J1341" s="1"/>
      <c r="K1341" s="33"/>
      <c r="L1341" s="1"/>
      <c r="M1341" s="1"/>
      <c r="N1341" s="1"/>
      <c r="O1341" s="1"/>
      <c r="P1341" s="1"/>
      <c r="Q1341" s="1"/>
      <c r="R1341" s="1"/>
      <c r="S1341" s="1"/>
      <c r="T1341" s="1"/>
    </row>
    <row r="1342" spans="2:28" ht="45" customHeight="1" x14ac:dyDescent="0.25">
      <c r="B1342" s="10"/>
      <c r="D1342" s="1"/>
      <c r="E1342" s="1"/>
      <c r="F1342" s="1"/>
      <c r="G1342" s="1"/>
      <c r="H1342" s="1"/>
      <c r="I1342" s="1"/>
      <c r="J1342" s="1"/>
      <c r="K1342" s="33"/>
      <c r="L1342" s="1"/>
      <c r="M1342" s="1"/>
      <c r="N1342" s="1"/>
      <c r="O1342" s="1"/>
      <c r="P1342" s="1"/>
      <c r="Q1342" s="1"/>
      <c r="R1342" s="1"/>
      <c r="S1342" s="1"/>
      <c r="T1342" s="1"/>
    </row>
    <row r="1343" spans="2:28" ht="45" customHeight="1" x14ac:dyDescent="0.25">
      <c r="B1343" s="10"/>
      <c r="D1343" s="1"/>
      <c r="E1343" s="1"/>
      <c r="F1343" s="1"/>
      <c r="G1343" s="1"/>
      <c r="H1343" s="1"/>
      <c r="I1343" s="1"/>
      <c r="J1343" s="1"/>
      <c r="K1343" s="33"/>
      <c r="L1343" s="1"/>
      <c r="M1343" s="1"/>
      <c r="N1343" s="1"/>
      <c r="O1343" s="1"/>
      <c r="P1343" s="1"/>
      <c r="Q1343" s="1"/>
      <c r="R1343" s="1"/>
      <c r="S1343" s="1"/>
      <c r="T1343" s="1"/>
    </row>
    <row r="1344" spans="2:28" ht="19.899999999999999" customHeight="1" x14ac:dyDescent="0.25">
      <c r="C1344" s="7"/>
      <c r="D1344" s="8"/>
      <c r="E1344" s="8"/>
      <c r="F1344" s="8"/>
      <c r="G1344" s="8"/>
      <c r="H1344" s="8"/>
      <c r="I1344" s="7"/>
      <c r="J1344" s="1"/>
      <c r="K1344" s="33"/>
      <c r="L1344" s="1"/>
      <c r="M1344" s="1"/>
      <c r="N1344" s="1"/>
      <c r="O1344" s="1"/>
      <c r="P1344" s="1"/>
      <c r="Q1344" s="1"/>
      <c r="R1344" s="1"/>
      <c r="S1344" s="1"/>
      <c r="T1344" s="1"/>
      <c r="U1344" s="6"/>
      <c r="V1344" s="1"/>
      <c r="W1344" s="1"/>
      <c r="X1344" s="1"/>
      <c r="Y1344" s="1"/>
      <c r="Z1344" s="1"/>
      <c r="AA1344" s="1"/>
      <c r="AB1344" s="3"/>
    </row>
    <row r="1345" spans="3:28" ht="19.899999999999999" customHeight="1" x14ac:dyDescent="0.25">
      <c r="C1345" s="7"/>
      <c r="D1345" s="8"/>
      <c r="E1345" s="8"/>
      <c r="F1345" s="8"/>
      <c r="G1345" s="8"/>
      <c r="H1345" s="8"/>
      <c r="I1345" s="7"/>
      <c r="J1345" s="1"/>
      <c r="K1345" s="33"/>
      <c r="L1345" s="1"/>
      <c r="M1345" s="1"/>
      <c r="N1345" s="1"/>
      <c r="O1345" s="1"/>
      <c r="P1345" s="1"/>
      <c r="Q1345" s="1"/>
      <c r="R1345" s="1"/>
      <c r="S1345" s="1"/>
      <c r="T1345" s="1"/>
      <c r="U1345" s="6"/>
      <c r="V1345" s="1"/>
      <c r="W1345" s="1"/>
      <c r="X1345" s="1"/>
      <c r="Y1345" s="1"/>
      <c r="Z1345" s="1"/>
      <c r="AA1345" s="1"/>
      <c r="AB1345" s="3"/>
    </row>
    <row r="1346" spans="3:28" ht="19.899999999999999" customHeight="1" x14ac:dyDescent="0.25">
      <c r="C1346" s="7"/>
      <c r="D1346" s="8"/>
      <c r="E1346" s="8"/>
      <c r="F1346" s="8"/>
      <c r="G1346" s="8"/>
      <c r="H1346" s="8"/>
      <c r="I1346" s="7"/>
      <c r="J1346" s="1"/>
      <c r="K1346" s="33"/>
      <c r="L1346" s="1"/>
      <c r="M1346" s="1"/>
      <c r="N1346" s="1"/>
      <c r="O1346" s="1"/>
      <c r="P1346" s="1"/>
      <c r="Q1346" s="1"/>
      <c r="R1346" s="1"/>
      <c r="S1346" s="1"/>
      <c r="T1346" s="1"/>
      <c r="U1346" s="6"/>
      <c r="V1346" s="1"/>
      <c r="W1346" s="1"/>
      <c r="X1346" s="1"/>
      <c r="Y1346" s="1"/>
      <c r="Z1346" s="1"/>
      <c r="AA1346" s="1"/>
      <c r="AB1346" s="3"/>
    </row>
    <row r="1347" spans="3:28" ht="19.899999999999999" customHeight="1" x14ac:dyDescent="0.25">
      <c r="C1347" s="7"/>
      <c r="D1347" s="8"/>
      <c r="E1347" s="8"/>
      <c r="F1347" s="8"/>
      <c r="G1347" s="8"/>
      <c r="H1347" s="8"/>
      <c r="I1347" s="7"/>
      <c r="J1347" s="1"/>
      <c r="K1347" s="33"/>
      <c r="L1347" s="1"/>
      <c r="M1347" s="1"/>
      <c r="N1347" s="1"/>
      <c r="O1347" s="1"/>
      <c r="P1347" s="1"/>
      <c r="Q1347" s="1"/>
      <c r="R1347" s="1"/>
      <c r="S1347" s="1"/>
      <c r="T1347" s="1"/>
      <c r="U1347" s="6"/>
      <c r="V1347" s="1"/>
      <c r="W1347" s="1"/>
      <c r="X1347" s="1"/>
      <c r="Y1347" s="1"/>
      <c r="Z1347" s="1"/>
      <c r="AA1347" s="1"/>
      <c r="AB1347" s="3"/>
    </row>
    <row r="1348" spans="3:28" ht="19.899999999999999" customHeight="1" x14ac:dyDescent="0.25">
      <c r="C1348" s="7"/>
      <c r="D1348" s="8"/>
      <c r="E1348" s="8"/>
      <c r="F1348" s="8"/>
      <c r="G1348" s="8"/>
      <c r="H1348" s="8"/>
      <c r="I1348" s="7"/>
      <c r="J1348" s="1"/>
      <c r="K1348" s="33"/>
      <c r="L1348" s="1"/>
      <c r="M1348" s="1"/>
      <c r="N1348" s="1"/>
      <c r="O1348" s="1"/>
      <c r="P1348" s="1"/>
      <c r="Q1348" s="1"/>
      <c r="R1348" s="1"/>
      <c r="S1348" s="1"/>
      <c r="T1348" s="1"/>
      <c r="U1348" s="6"/>
      <c r="V1348" s="1"/>
      <c r="W1348" s="1"/>
      <c r="X1348" s="1"/>
      <c r="Y1348" s="1"/>
      <c r="Z1348" s="1"/>
      <c r="AA1348" s="1"/>
      <c r="AB1348" s="3"/>
    </row>
    <row r="1349" spans="3:28" ht="19.899999999999999" customHeight="1" x14ac:dyDescent="0.25">
      <c r="C1349" s="7"/>
      <c r="D1349" s="8"/>
      <c r="E1349" s="8"/>
      <c r="F1349" s="8"/>
      <c r="G1349" s="8"/>
      <c r="H1349" s="8"/>
      <c r="I1349" s="7"/>
      <c r="J1349" s="1"/>
      <c r="K1349" s="33"/>
      <c r="L1349" s="1"/>
      <c r="M1349" s="1"/>
      <c r="N1349" s="1"/>
      <c r="O1349" s="1"/>
      <c r="P1349" s="1"/>
      <c r="Q1349" s="1"/>
      <c r="R1349" s="1"/>
      <c r="S1349" s="1"/>
      <c r="T1349" s="1"/>
      <c r="U1349" s="6"/>
      <c r="V1349" s="1"/>
      <c r="W1349" s="1"/>
      <c r="X1349" s="1"/>
      <c r="Y1349" s="1"/>
      <c r="Z1349" s="1"/>
      <c r="AA1349" s="1"/>
      <c r="AB1349" s="3"/>
    </row>
    <row r="1350" spans="3:28" ht="19.899999999999999" customHeight="1" x14ac:dyDescent="0.25">
      <c r="C1350" s="7"/>
      <c r="D1350" s="8"/>
      <c r="E1350" s="8"/>
      <c r="F1350" s="8"/>
      <c r="G1350" s="8"/>
      <c r="H1350" s="8"/>
      <c r="I1350" s="7"/>
      <c r="J1350" s="1"/>
      <c r="K1350" s="33"/>
      <c r="L1350" s="1"/>
      <c r="M1350" s="1"/>
      <c r="N1350" s="1"/>
      <c r="O1350" s="1"/>
      <c r="P1350" s="1"/>
      <c r="Q1350" s="1"/>
      <c r="R1350" s="1"/>
      <c r="S1350" s="1"/>
      <c r="T1350" s="1"/>
      <c r="U1350" s="6"/>
      <c r="V1350" s="1"/>
      <c r="W1350" s="1"/>
      <c r="X1350" s="1"/>
      <c r="Y1350" s="1"/>
      <c r="Z1350" s="1"/>
      <c r="AA1350" s="1"/>
      <c r="AB1350" s="3"/>
    </row>
    <row r="1351" spans="3:28" ht="19.899999999999999" customHeight="1" x14ac:dyDescent="0.25">
      <c r="C1351" s="7"/>
      <c r="D1351" s="8"/>
      <c r="E1351" s="8"/>
      <c r="F1351" s="8"/>
      <c r="G1351" s="8"/>
      <c r="H1351" s="8"/>
      <c r="I1351" s="7"/>
      <c r="J1351" s="1"/>
      <c r="K1351" s="33"/>
      <c r="L1351" s="1"/>
      <c r="M1351" s="1"/>
      <c r="N1351" s="1"/>
      <c r="O1351" s="1"/>
      <c r="P1351" s="1"/>
      <c r="Q1351" s="1"/>
      <c r="R1351" s="1"/>
      <c r="S1351" s="1"/>
      <c r="T1351" s="1"/>
      <c r="U1351" s="6"/>
      <c r="V1351" s="1"/>
      <c r="W1351" s="1"/>
      <c r="X1351" s="1"/>
      <c r="Y1351" s="1"/>
      <c r="Z1351" s="1"/>
      <c r="AA1351" s="1"/>
      <c r="AB1351" s="3"/>
    </row>
    <row r="1352" spans="3:28" ht="19.899999999999999" customHeight="1" x14ac:dyDescent="0.25">
      <c r="C1352" s="7"/>
      <c r="D1352" s="8"/>
      <c r="E1352" s="8"/>
      <c r="F1352" s="8"/>
      <c r="G1352" s="8"/>
      <c r="H1352" s="8"/>
      <c r="I1352" s="7"/>
      <c r="J1352" s="1"/>
      <c r="K1352" s="33"/>
      <c r="L1352" s="1"/>
      <c r="M1352" s="1"/>
      <c r="N1352" s="1"/>
      <c r="O1352" s="1"/>
      <c r="P1352" s="1"/>
      <c r="Q1352" s="1"/>
      <c r="R1352" s="1"/>
      <c r="S1352" s="1"/>
      <c r="T1352" s="1"/>
      <c r="U1352" s="6"/>
      <c r="V1352" s="1"/>
      <c r="W1352" s="1"/>
      <c r="X1352" s="1"/>
      <c r="Y1352" s="1"/>
      <c r="Z1352" s="1"/>
      <c r="AA1352" s="1"/>
      <c r="AB1352" s="3"/>
    </row>
    <row r="1353" spans="3:28" ht="19.899999999999999" customHeight="1" x14ac:dyDescent="0.25">
      <c r="C1353" s="7"/>
      <c r="D1353" s="8"/>
      <c r="E1353" s="8"/>
      <c r="F1353" s="8"/>
      <c r="G1353" s="8"/>
      <c r="H1353" s="8"/>
      <c r="I1353" s="7"/>
      <c r="J1353" s="1"/>
      <c r="K1353" s="33"/>
      <c r="L1353" s="1"/>
      <c r="M1353" s="1"/>
      <c r="N1353" s="1"/>
      <c r="O1353" s="1"/>
      <c r="P1353" s="1"/>
      <c r="Q1353" s="1"/>
      <c r="R1353" s="1"/>
      <c r="S1353" s="1"/>
      <c r="T1353" s="1"/>
      <c r="U1353" s="6"/>
      <c r="V1353" s="1"/>
      <c r="W1353" s="1"/>
      <c r="X1353" s="1"/>
      <c r="Y1353" s="1"/>
      <c r="Z1353" s="1"/>
      <c r="AA1353" s="1"/>
      <c r="AB1353" s="3"/>
    </row>
    <row r="1354" spans="3:28" ht="19.899999999999999" customHeight="1" x14ac:dyDescent="0.25">
      <c r="C1354" s="7"/>
      <c r="D1354" s="8"/>
      <c r="E1354" s="8"/>
      <c r="F1354" s="8"/>
      <c r="G1354" s="8"/>
      <c r="H1354" s="8"/>
      <c r="I1354" s="7"/>
      <c r="J1354" s="1"/>
      <c r="K1354" s="33"/>
      <c r="L1354" s="1"/>
      <c r="M1354" s="1"/>
      <c r="N1354" s="1"/>
      <c r="O1354" s="1"/>
      <c r="P1354" s="1"/>
      <c r="Q1354" s="1"/>
      <c r="R1354" s="1"/>
      <c r="S1354" s="1"/>
      <c r="T1354" s="1"/>
      <c r="U1354" s="6"/>
      <c r="V1354" s="1"/>
      <c r="W1354" s="1"/>
      <c r="X1354" s="1"/>
      <c r="Y1354" s="1"/>
      <c r="Z1354" s="1"/>
      <c r="AA1354" s="1"/>
      <c r="AB1354" s="3"/>
    </row>
    <row r="1355" spans="3:28" ht="19.899999999999999" customHeight="1" x14ac:dyDescent="0.25">
      <c r="C1355" s="7"/>
      <c r="D1355" s="8"/>
      <c r="E1355" s="8"/>
      <c r="F1355" s="8"/>
      <c r="G1355" s="8"/>
      <c r="H1355" s="8"/>
      <c r="I1355" s="7"/>
      <c r="J1355" s="1"/>
      <c r="K1355" s="33"/>
      <c r="L1355" s="1"/>
      <c r="M1355" s="1"/>
      <c r="N1355" s="1"/>
      <c r="O1355" s="1"/>
      <c r="P1355" s="1"/>
      <c r="Q1355" s="1"/>
      <c r="R1355" s="1"/>
      <c r="S1355" s="1"/>
      <c r="T1355" s="1"/>
      <c r="U1355" s="6"/>
      <c r="V1355" s="1"/>
      <c r="W1355" s="1"/>
      <c r="X1355" s="1"/>
      <c r="Y1355" s="1"/>
      <c r="Z1355" s="1"/>
      <c r="AA1355" s="1"/>
      <c r="AB1355" s="3"/>
    </row>
    <row r="1356" spans="3:28" ht="19.899999999999999" customHeight="1" x14ac:dyDescent="0.25">
      <c r="C1356" s="7"/>
      <c r="D1356" s="8"/>
      <c r="E1356" s="8"/>
      <c r="F1356" s="8"/>
      <c r="G1356" s="8"/>
      <c r="H1356" s="8"/>
      <c r="I1356" s="7"/>
      <c r="J1356" s="1"/>
      <c r="K1356" s="33"/>
      <c r="L1356" s="1"/>
      <c r="M1356" s="1"/>
      <c r="N1356" s="1"/>
      <c r="O1356" s="1"/>
      <c r="P1356" s="1"/>
      <c r="Q1356" s="1"/>
      <c r="R1356" s="1"/>
      <c r="S1356" s="1"/>
      <c r="T1356" s="1"/>
      <c r="U1356" s="6"/>
      <c r="V1356" s="1"/>
      <c r="W1356" s="1"/>
      <c r="X1356" s="1"/>
      <c r="Y1356" s="1"/>
      <c r="Z1356" s="1"/>
      <c r="AA1356" s="1"/>
      <c r="AB1356" s="3"/>
    </row>
    <row r="1357" spans="3:28" ht="19.899999999999999" customHeight="1" x14ac:dyDescent="0.25">
      <c r="C1357" s="7"/>
      <c r="D1357" s="8"/>
      <c r="E1357" s="8"/>
      <c r="F1357" s="8"/>
      <c r="G1357" s="8"/>
      <c r="H1357" s="8"/>
      <c r="I1357" s="7"/>
      <c r="J1357" s="1"/>
      <c r="K1357" s="33"/>
      <c r="L1357" s="1"/>
      <c r="M1357" s="1"/>
      <c r="N1357" s="1"/>
      <c r="O1357" s="1"/>
      <c r="P1357" s="1"/>
      <c r="Q1357" s="1"/>
      <c r="R1357" s="1"/>
      <c r="S1357" s="1"/>
      <c r="T1357" s="1"/>
      <c r="U1357" s="6"/>
      <c r="V1357" s="1"/>
      <c r="W1357" s="1"/>
      <c r="X1357" s="1"/>
      <c r="Y1357" s="1"/>
      <c r="Z1357" s="1"/>
      <c r="AA1357" s="1"/>
      <c r="AB1357" s="3"/>
    </row>
  </sheetData>
  <sortState ref="A1034:AE1054">
    <sortCondition ref="B1074:B1171"/>
  </sortState>
  <mergeCells count="218">
    <mergeCell ref="A1197:B1197"/>
    <mergeCell ref="A1244:B1244"/>
    <mergeCell ref="A1229:B1229"/>
    <mergeCell ref="A416:B416"/>
    <mergeCell ref="A418:B418"/>
    <mergeCell ref="A831:B831"/>
    <mergeCell ref="A1231:B1231"/>
    <mergeCell ref="A430:B430"/>
    <mergeCell ref="A842:B842"/>
    <mergeCell ref="A1223:B1223"/>
    <mergeCell ref="A825:B825"/>
    <mergeCell ref="A1208:B1208"/>
    <mergeCell ref="A1188:B1188"/>
    <mergeCell ref="A1226:B1226"/>
    <mergeCell ref="A1218:B1218"/>
    <mergeCell ref="A1220:B1220"/>
    <mergeCell ref="A818:B818"/>
    <mergeCell ref="A1201:B1201"/>
    <mergeCell ref="A1191:B1191"/>
    <mergeCell ref="A1178:B1178"/>
    <mergeCell ref="A1185:B1185"/>
    <mergeCell ref="A785:B785"/>
    <mergeCell ref="A789:B789"/>
    <mergeCell ref="A1172:B1172"/>
    <mergeCell ref="A1069:B1069"/>
    <mergeCell ref="A1062:B1062"/>
    <mergeCell ref="A1066:B1066"/>
    <mergeCell ref="A404:B404"/>
    <mergeCell ref="A814:B814"/>
    <mergeCell ref="A406:B406"/>
    <mergeCell ref="A816:B816"/>
    <mergeCell ref="A411:B411"/>
    <mergeCell ref="A1059:B1059"/>
    <mergeCell ref="A414:B414"/>
    <mergeCell ref="A829:B829"/>
    <mergeCell ref="A1054:B1054"/>
    <mergeCell ref="A408:B408"/>
    <mergeCell ref="A821:B821"/>
    <mergeCell ref="A381:B381"/>
    <mergeCell ref="A796:B796"/>
    <mergeCell ref="A1057:B1057"/>
    <mergeCell ref="A370:B370"/>
    <mergeCell ref="A373:B373"/>
    <mergeCell ref="A782:B782"/>
    <mergeCell ref="A1051:B1051"/>
    <mergeCell ref="A389:B389"/>
    <mergeCell ref="A394:B394"/>
    <mergeCell ref="A804:B804"/>
    <mergeCell ref="A1031:B1031"/>
    <mergeCell ref="A908:B908"/>
    <mergeCell ref="A887:B887"/>
    <mergeCell ref="A867:B867"/>
    <mergeCell ref="A845:B845"/>
    <mergeCell ref="A846:B846"/>
    <mergeCell ref="A874:B874"/>
    <mergeCell ref="A884:B884"/>
    <mergeCell ref="A543:B543"/>
    <mergeCell ref="A898:B898"/>
    <mergeCell ref="A872:B872"/>
    <mergeCell ref="A876:B876"/>
    <mergeCell ref="A540:B540"/>
    <mergeCell ref="A616:B616"/>
    <mergeCell ref="A367:B367"/>
    <mergeCell ref="A777:B777"/>
    <mergeCell ref="A1026:B1026"/>
    <mergeCell ref="A250:B250"/>
    <mergeCell ref="A667:B667"/>
    <mergeCell ref="A1010:B1010"/>
    <mergeCell ref="A1167:B1167"/>
    <mergeCell ref="A769:B769"/>
    <mergeCell ref="A983:B983"/>
    <mergeCell ref="A654:B654"/>
    <mergeCell ref="A974:B974"/>
    <mergeCell ref="A986:B986"/>
    <mergeCell ref="A552:B552"/>
    <mergeCell ref="A945:B945"/>
    <mergeCell ref="A558:B558"/>
    <mergeCell ref="A537:B537"/>
    <mergeCell ref="A918:B918"/>
    <mergeCell ref="A376:B376"/>
    <mergeCell ref="A791:B791"/>
    <mergeCell ref="A518:B518"/>
    <mergeCell ref="A910:B910"/>
    <mergeCell ref="A850:B850"/>
    <mergeCell ref="A902:B902"/>
    <mergeCell ref="A905:B905"/>
    <mergeCell ref="A231:B231"/>
    <mergeCell ref="A649:B649"/>
    <mergeCell ref="A1021:B1021"/>
    <mergeCell ref="A244:B244"/>
    <mergeCell ref="A661:B661"/>
    <mergeCell ref="A247:B247"/>
    <mergeCell ref="A664:B664"/>
    <mergeCell ref="A1015:B1015"/>
    <mergeCell ref="A613:B613"/>
    <mergeCell ref="A1018:B1018"/>
    <mergeCell ref="A239:B239"/>
    <mergeCell ref="A657:B657"/>
    <mergeCell ref="A980:B980"/>
    <mergeCell ref="A622:B622"/>
    <mergeCell ref="A627:B627"/>
    <mergeCell ref="A241:B241"/>
    <mergeCell ref="A659:B659"/>
    <mergeCell ref="A1006:B1006"/>
    <mergeCell ref="A234:B234"/>
    <mergeCell ref="A652:B652"/>
    <mergeCell ref="A236:B236"/>
    <mergeCell ref="A363:B363"/>
    <mergeCell ref="A775:B775"/>
    <mergeCell ref="A978:B978"/>
    <mergeCell ref="A157:B157"/>
    <mergeCell ref="A574:B574"/>
    <mergeCell ref="A962:B962"/>
    <mergeCell ref="A194:B194"/>
    <mergeCell ref="A606:B606"/>
    <mergeCell ref="A968:B968"/>
    <mergeCell ref="A185:B185"/>
    <mergeCell ref="A601:B601"/>
    <mergeCell ref="A188:B188"/>
    <mergeCell ref="A603:B603"/>
    <mergeCell ref="A956:B956"/>
    <mergeCell ref="A555:B555"/>
    <mergeCell ref="A959:B959"/>
    <mergeCell ref="A198:B198"/>
    <mergeCell ref="A611:B611"/>
    <mergeCell ref="A949:B949"/>
    <mergeCell ref="A161:B161"/>
    <mergeCell ref="A577:B577"/>
    <mergeCell ref="A953:B953"/>
    <mergeCell ref="A947:B947"/>
    <mergeCell ref="A164:B164"/>
    <mergeCell ref="A581:B581"/>
    <mergeCell ref="A211:B211"/>
    <mergeCell ref="A205:B205"/>
    <mergeCell ref="A208:B208"/>
    <mergeCell ref="A938:B938"/>
    <mergeCell ref="A535:B535"/>
    <mergeCell ref="A943:B943"/>
    <mergeCell ref="A128:B128"/>
    <mergeCell ref="A545:B545"/>
    <mergeCell ref="A934:B934"/>
    <mergeCell ref="A145:B145"/>
    <mergeCell ref="A564:B564"/>
    <mergeCell ref="A929:B929"/>
    <mergeCell ref="A932:B932"/>
    <mergeCell ref="A880:B880"/>
    <mergeCell ref="A523:B523"/>
    <mergeCell ref="A528:B528"/>
    <mergeCell ref="A151:B151"/>
    <mergeCell ref="A570:B570"/>
    <mergeCell ref="A520:B520"/>
    <mergeCell ref="A916:B916"/>
    <mergeCell ref="A136:B136"/>
    <mergeCell ref="A138:B138"/>
    <mergeCell ref="A140:B140"/>
    <mergeCell ref="A155:B155"/>
    <mergeCell ref="A630:B630"/>
    <mergeCell ref="A549:B549"/>
    <mergeCell ref="A43:B43"/>
    <mergeCell ref="A89:B89"/>
    <mergeCell ref="A507:B507"/>
    <mergeCell ref="A453:B453"/>
    <mergeCell ref="A458:B458"/>
    <mergeCell ref="A497:B497"/>
    <mergeCell ref="A493:B493"/>
    <mergeCell ref="A432:B432"/>
    <mergeCell ref="A433:B433"/>
    <mergeCell ref="A471:B471"/>
    <mergeCell ref="A56:B56"/>
    <mergeCell ref="A474:B474"/>
    <mergeCell ref="A101:B101"/>
    <mergeCell ref="A463:B463"/>
    <mergeCell ref="A104:B104"/>
    <mergeCell ref="A110:B110"/>
    <mergeCell ref="A114:B114"/>
    <mergeCell ref="A106:B106"/>
    <mergeCell ref="A122:B122"/>
    <mergeCell ref="A124:B124"/>
    <mergeCell ref="A126:B126"/>
    <mergeCell ref="A131:B131"/>
    <mergeCell ref="A134:B134"/>
    <mergeCell ref="A200:B200"/>
    <mergeCell ref="D3:S3"/>
    <mergeCell ref="A1:T1"/>
    <mergeCell ref="A3:A6"/>
    <mergeCell ref="B3:B6"/>
    <mergeCell ref="D4:J4"/>
    <mergeCell ref="T4:T5"/>
    <mergeCell ref="Q4:R5"/>
    <mergeCell ref="O4:P5"/>
    <mergeCell ref="M4:N5"/>
    <mergeCell ref="K4:L5"/>
    <mergeCell ref="S4:S5"/>
    <mergeCell ref="C3:C5"/>
    <mergeCell ref="A8:B8"/>
    <mergeCell ref="A9:T9"/>
    <mergeCell ref="A10:B10"/>
    <mergeCell ref="A11:B11"/>
    <mergeCell ref="A37:B37"/>
    <mergeCell ref="A84:B84"/>
    <mergeCell ref="A503:B503"/>
    <mergeCell ref="A86:B86"/>
    <mergeCell ref="A505:B505"/>
    <mergeCell ref="A15:B15"/>
    <mergeCell ref="A437:B437"/>
    <mergeCell ref="A31:B31"/>
    <mergeCell ref="A67:B67"/>
    <mergeCell ref="A485:B485"/>
    <mergeCell ref="A47:B47"/>
    <mergeCell ref="A467:B467"/>
    <mergeCell ref="A71:B71"/>
    <mergeCell ref="A489:B489"/>
    <mergeCell ref="A75:B75"/>
    <mergeCell ref="A495:B495"/>
    <mergeCell ref="A78:B78"/>
    <mergeCell ref="A53:B53"/>
    <mergeCell ref="A40:B40"/>
    <mergeCell ref="A460:B460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36" firstPageNumber="38" fitToHeight="0" orientation="landscape" useFirstPageNumber="1" r:id="rId1"/>
  <headerFooter>
    <oddHeader>&amp;C&amp;P</oddHeader>
  </headerFooter>
  <rowBreaks count="24" manualBreakCount="24">
    <brk id="42" max="19" man="1"/>
    <brk id="91" max="19" man="1"/>
    <brk id="137" max="19" man="1"/>
    <brk id="187" max="19" man="1"/>
    <brk id="235" max="19" man="1"/>
    <brk id="288" max="19" man="1"/>
    <brk id="347" max="19" man="1"/>
    <brk id="398" max="19" man="1"/>
    <brk id="447" max="19" man="1"/>
    <brk id="496" max="19" man="1"/>
    <brk id="544" max="19" man="1"/>
    <brk id="593" max="19" man="1"/>
    <brk id="645" max="19" man="1"/>
    <brk id="696" max="19" man="1"/>
    <brk id="755" max="19" man="1"/>
    <brk id="805" max="19" man="1"/>
    <brk id="854" max="19" man="1"/>
    <brk id="904" max="19" man="1"/>
    <brk id="951" max="19" man="1"/>
    <brk id="1000" max="19" man="1"/>
    <brk id="1050" max="19" man="1"/>
    <brk id="1102" max="19" man="1"/>
    <brk id="1161" max="19" man="1"/>
    <brk id="121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Прод. прилож</vt:lpstr>
      <vt:lpstr>'Прод. прилож'!Заголовки_для_печати</vt:lpstr>
      <vt:lpstr>'Прод. прилож'!Область_печати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Курзова Мария Геннадиевна</cp:lastModifiedBy>
  <cp:lastPrinted>2022-04-27T08:13:07Z</cp:lastPrinted>
  <dcterms:created xsi:type="dcterms:W3CDTF">2012-12-13T11:50:40Z</dcterms:created>
  <dcterms:modified xsi:type="dcterms:W3CDTF">2022-05-12T17:08:18Z</dcterms:modified>
</cp:coreProperties>
</file>