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8915" yWindow="-405" windowWidth="9900" windowHeight="12675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прилож'!$A$1:$U$1107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I746" i="13" l="1"/>
  <c r="G746" i="13"/>
  <c r="F746" i="13"/>
  <c r="E746" i="13"/>
  <c r="I745" i="13"/>
  <c r="G745" i="13"/>
  <c r="F745" i="13"/>
  <c r="E745" i="13"/>
  <c r="I744" i="13"/>
  <c r="G744" i="13"/>
  <c r="F744" i="13"/>
  <c r="E744" i="13"/>
  <c r="I742" i="13"/>
  <c r="G742" i="13"/>
  <c r="F742" i="13"/>
  <c r="E742" i="13"/>
  <c r="V737" i="13"/>
  <c r="F737" i="13"/>
  <c r="F736" i="13" s="1"/>
  <c r="E736" i="13"/>
  <c r="U736" i="13"/>
  <c r="T736" i="13"/>
  <c r="S736" i="13"/>
  <c r="R736" i="13"/>
  <c r="Q736" i="13"/>
  <c r="P736" i="13"/>
  <c r="O736" i="13"/>
  <c r="N736" i="13"/>
  <c r="M736" i="13"/>
  <c r="L736" i="13"/>
  <c r="K736" i="13"/>
  <c r="J736" i="13"/>
  <c r="I736" i="13"/>
  <c r="H736" i="13"/>
  <c r="G736" i="13"/>
  <c r="D332" i="13"/>
  <c r="C332" i="13" s="1"/>
  <c r="U1101" i="13"/>
  <c r="T1101" i="13"/>
  <c r="S1101" i="13"/>
  <c r="Q1101" i="13"/>
  <c r="P1101" i="13"/>
  <c r="O1101" i="13"/>
  <c r="M1101" i="13"/>
  <c r="L1101" i="13"/>
  <c r="K1101" i="13"/>
  <c r="J1101" i="13"/>
  <c r="E1101" i="13"/>
  <c r="D1102" i="13"/>
  <c r="C1102" i="13" s="1"/>
  <c r="D1104" i="13"/>
  <c r="D737" i="13" l="1"/>
  <c r="C1104" i="13"/>
  <c r="V524" i="13"/>
  <c r="J524" i="13"/>
  <c r="H524" i="13"/>
  <c r="F524" i="13"/>
  <c r="V596" i="13"/>
  <c r="J596" i="13"/>
  <c r="I596" i="13"/>
  <c r="H596" i="13"/>
  <c r="G596" i="13"/>
  <c r="F596" i="13"/>
  <c r="U821" i="13"/>
  <c r="T821" i="13"/>
  <c r="S821" i="13"/>
  <c r="R821" i="13"/>
  <c r="Q821" i="13"/>
  <c r="P821" i="13"/>
  <c r="O821" i="13"/>
  <c r="M821" i="13"/>
  <c r="L821" i="13"/>
  <c r="K821" i="13"/>
  <c r="J821" i="13"/>
  <c r="I821" i="13"/>
  <c r="H821" i="13"/>
  <c r="G821" i="13"/>
  <c r="F821" i="13"/>
  <c r="E821" i="13"/>
  <c r="D824" i="13"/>
  <c r="C824" i="13" s="1"/>
  <c r="V351" i="13"/>
  <c r="L351" i="13"/>
  <c r="D351" i="13"/>
  <c r="U856" i="13"/>
  <c r="T856" i="13"/>
  <c r="S856" i="13"/>
  <c r="Q856" i="13"/>
  <c r="P856" i="13"/>
  <c r="O856" i="13"/>
  <c r="M856" i="13"/>
  <c r="L856" i="13"/>
  <c r="K856" i="13"/>
  <c r="J856" i="13"/>
  <c r="E858" i="13"/>
  <c r="D858" i="13" s="1"/>
  <c r="V858" i="13"/>
  <c r="I492" i="13"/>
  <c r="H492" i="13"/>
  <c r="G492" i="13"/>
  <c r="F492" i="13"/>
  <c r="E492" i="13"/>
  <c r="I607" i="13"/>
  <c r="H607" i="13"/>
  <c r="G607" i="13"/>
  <c r="F607" i="13"/>
  <c r="E607" i="13"/>
  <c r="I526" i="13"/>
  <c r="G526" i="13"/>
  <c r="F526" i="13"/>
  <c r="E526" i="13"/>
  <c r="C737" i="13" l="1"/>
  <c r="C736" i="13" s="1"/>
  <c r="V736" i="13" s="1"/>
  <c r="D736" i="13"/>
  <c r="D524" i="13"/>
  <c r="C524" i="13" s="1"/>
  <c r="D596" i="13"/>
  <c r="C596" i="13" s="1"/>
  <c r="C351" i="13"/>
  <c r="C858" i="13"/>
  <c r="I479" i="13" l="1"/>
  <c r="G479" i="13"/>
  <c r="F479" i="13"/>
  <c r="E479" i="13"/>
  <c r="I478" i="13"/>
  <c r="G478" i="13"/>
  <c r="F478" i="13"/>
  <c r="E478" i="13"/>
  <c r="I474" i="13"/>
  <c r="G474" i="13"/>
  <c r="F474" i="13"/>
  <c r="E474" i="13"/>
  <c r="I472" i="13"/>
  <c r="G472" i="13"/>
  <c r="F472" i="13"/>
  <c r="E472" i="13"/>
  <c r="N490" i="13"/>
  <c r="E490" i="13"/>
  <c r="I368" i="13"/>
  <c r="G368" i="13"/>
  <c r="E368" i="13"/>
  <c r="E731" i="13"/>
  <c r="G460" i="13"/>
  <c r="E460" i="13"/>
  <c r="I458" i="13"/>
  <c r="H458" i="13"/>
  <c r="G458" i="13"/>
  <c r="F458" i="13"/>
  <c r="E458" i="13"/>
  <c r="I457" i="13"/>
  <c r="H457" i="13"/>
  <c r="G457" i="13"/>
  <c r="F457" i="13"/>
  <c r="E457" i="13"/>
  <c r="E377" i="13"/>
  <c r="E372" i="13"/>
  <c r="I455" i="13"/>
  <c r="H455" i="13"/>
  <c r="G455" i="13"/>
  <c r="F455" i="13"/>
  <c r="E455" i="13"/>
  <c r="I454" i="13"/>
  <c r="H454" i="13"/>
  <c r="G454" i="13"/>
  <c r="F454" i="13"/>
  <c r="E454" i="13"/>
  <c r="I452" i="13"/>
  <c r="G452" i="13"/>
  <c r="F452" i="13"/>
  <c r="E452" i="13"/>
  <c r="I451" i="13"/>
  <c r="G451" i="13"/>
  <c r="F451" i="13"/>
  <c r="E451" i="13"/>
  <c r="G448" i="13"/>
  <c r="F448" i="13"/>
  <c r="E448" i="13"/>
  <c r="G447" i="13"/>
  <c r="F447" i="13"/>
  <c r="E447" i="13"/>
  <c r="E445" i="13"/>
  <c r="I481" i="13"/>
  <c r="G481" i="13"/>
  <c r="F481" i="13"/>
  <c r="E481" i="13"/>
  <c r="I471" i="13"/>
  <c r="G471" i="13"/>
  <c r="F471" i="13"/>
  <c r="E471" i="13"/>
  <c r="I470" i="13"/>
  <c r="G470" i="13"/>
  <c r="F470" i="13"/>
  <c r="E470" i="13"/>
  <c r="I477" i="13"/>
  <c r="G477" i="13"/>
  <c r="F477" i="13"/>
  <c r="E477" i="13"/>
  <c r="I475" i="13"/>
  <c r="G475" i="13"/>
  <c r="F475" i="13"/>
  <c r="E475" i="13"/>
  <c r="I473" i="13"/>
  <c r="G473" i="13"/>
  <c r="F473" i="13"/>
  <c r="E473" i="13"/>
  <c r="I476" i="13"/>
  <c r="G476" i="13"/>
  <c r="F476" i="13"/>
  <c r="E476" i="13"/>
  <c r="I340" i="13"/>
  <c r="G340" i="13"/>
  <c r="E340" i="13"/>
  <c r="I339" i="13"/>
  <c r="G339" i="13"/>
  <c r="E339" i="13"/>
  <c r="I816" i="13" l="1"/>
  <c r="H816" i="13"/>
  <c r="G816" i="13"/>
  <c r="F816" i="13"/>
  <c r="E816" i="13"/>
  <c r="N815" i="13"/>
  <c r="D815" i="13"/>
  <c r="P478" i="13"/>
  <c r="P472" i="13"/>
  <c r="U1088" i="13"/>
  <c r="T1088" i="13"/>
  <c r="S1088" i="13"/>
  <c r="Q1088" i="13"/>
  <c r="P1088" i="13"/>
  <c r="O1088" i="13"/>
  <c r="M1088" i="13"/>
  <c r="L1088" i="13"/>
  <c r="K1088" i="13"/>
  <c r="J1088" i="13"/>
  <c r="I1107" i="13"/>
  <c r="I1106" i="13"/>
  <c r="I1103" i="13"/>
  <c r="I1101" i="13" s="1"/>
  <c r="I1100" i="13"/>
  <c r="I1099" i="13"/>
  <c r="I1098" i="13"/>
  <c r="I1097" i="13"/>
  <c r="I1096" i="13"/>
  <c r="I1091" i="13"/>
  <c r="I1090" i="13"/>
  <c r="I1089" i="13"/>
  <c r="I1095" i="13"/>
  <c r="I1094" i="13"/>
  <c r="I1093" i="13"/>
  <c r="I1092" i="13"/>
  <c r="I1087" i="13"/>
  <c r="I1082" i="13"/>
  <c r="I1080" i="13"/>
  <c r="I1073" i="13"/>
  <c r="I1069" i="13"/>
  <c r="I1066" i="13"/>
  <c r="I1064" i="13"/>
  <c r="I1062" i="13"/>
  <c r="I1060" i="13"/>
  <c r="I1050" i="13"/>
  <c r="I1049" i="13"/>
  <c r="I1048" i="13"/>
  <c r="I1028" i="13"/>
  <c r="I1008" i="13"/>
  <c r="I998" i="13"/>
  <c r="I995" i="13"/>
  <c r="I972" i="13"/>
  <c r="I966" i="13"/>
  <c r="I965" i="13"/>
  <c r="I940" i="13"/>
  <c r="I937" i="13"/>
  <c r="I917" i="13"/>
  <c r="I909" i="13"/>
  <c r="I893" i="13"/>
  <c r="I884" i="13"/>
  <c r="I883" i="13"/>
  <c r="I881" i="13"/>
  <c r="I880" i="13"/>
  <c r="I878" i="13"/>
  <c r="I877" i="13"/>
  <c r="I876" i="13"/>
  <c r="I875" i="13"/>
  <c r="I874" i="13"/>
  <c r="I872" i="13"/>
  <c r="I871" i="13"/>
  <c r="I869" i="13"/>
  <c r="I867" i="13"/>
  <c r="I863" i="13"/>
  <c r="I864" i="13"/>
  <c r="I862" i="13"/>
  <c r="I860" i="13"/>
  <c r="I859" i="13"/>
  <c r="I857" i="13"/>
  <c r="I855" i="13"/>
  <c r="I854" i="13"/>
  <c r="I853" i="13"/>
  <c r="I851" i="13"/>
  <c r="I848" i="13"/>
  <c r="I847" i="13"/>
  <c r="I846" i="13"/>
  <c r="I845" i="13"/>
  <c r="I844" i="13"/>
  <c r="I843" i="13"/>
  <c r="I842" i="13"/>
  <c r="I836" i="13"/>
  <c r="I832" i="13"/>
  <c r="I828" i="13"/>
  <c r="I820" i="13"/>
  <c r="I800" i="13"/>
  <c r="I799" i="13"/>
  <c r="I798" i="13"/>
  <c r="I793" i="13"/>
  <c r="I792" i="13"/>
  <c r="I786" i="13"/>
  <c r="I785" i="13"/>
  <c r="I780" i="13"/>
  <c r="I779" i="13"/>
  <c r="I774" i="13"/>
  <c r="I768" i="13"/>
  <c r="I758" i="13"/>
  <c r="I755" i="13"/>
  <c r="I753" i="13"/>
  <c r="I752" i="13"/>
  <c r="I751" i="13"/>
  <c r="I750" i="13"/>
  <c r="I749" i="13"/>
  <c r="I748" i="13"/>
  <c r="I743" i="13"/>
  <c r="I741" i="13"/>
  <c r="I731" i="13"/>
  <c r="I729" i="13"/>
  <c r="I718" i="13"/>
  <c r="I721" i="13"/>
  <c r="I719" i="13"/>
  <c r="I716" i="13"/>
  <c r="I710" i="13"/>
  <c r="I709" i="13"/>
  <c r="I707" i="13"/>
  <c r="I705" i="13"/>
  <c r="I704" i="13"/>
  <c r="I703" i="13"/>
  <c r="I698" i="13"/>
  <c r="I674" i="13"/>
  <c r="I669" i="13"/>
  <c r="I668" i="13"/>
  <c r="I667" i="13"/>
  <c r="I666" i="13"/>
  <c r="I665" i="13"/>
  <c r="I661" i="13"/>
  <c r="I660" i="13"/>
  <c r="I659" i="13"/>
  <c r="I655" i="13"/>
  <c r="I641" i="13"/>
  <c r="I639" i="13"/>
  <c r="I634" i="13"/>
  <c r="I1004" i="13"/>
  <c r="I1003" i="13"/>
  <c r="I619" i="13"/>
  <c r="I615" i="13"/>
  <c r="I605" i="13"/>
  <c r="I604" i="13"/>
  <c r="I580" i="13"/>
  <c r="I575" i="13"/>
  <c r="I562" i="13"/>
  <c r="I544" i="13"/>
  <c r="I543" i="13"/>
  <c r="I534" i="13"/>
  <c r="I908" i="13"/>
  <c r="I525" i="13"/>
  <c r="I513" i="13"/>
  <c r="I512" i="13"/>
  <c r="I509" i="13"/>
  <c r="I502" i="13"/>
  <c r="I498" i="13"/>
  <c r="I490" i="13"/>
  <c r="I467" i="13"/>
  <c r="I450" i="13"/>
  <c r="I449" i="13"/>
  <c r="I448" i="13"/>
  <c r="I447" i="13"/>
  <c r="I445" i="13"/>
  <c r="I441" i="13"/>
  <c r="I439" i="13"/>
  <c r="I435" i="13"/>
  <c r="I438" i="13"/>
  <c r="I433" i="13"/>
  <c r="I434" i="13"/>
  <c r="I432" i="13"/>
  <c r="I431" i="13"/>
  <c r="I430" i="13"/>
  <c r="I428" i="13"/>
  <c r="I427" i="13"/>
  <c r="I399" i="13"/>
  <c r="I387" i="13"/>
  <c r="I386" i="13"/>
  <c r="I360" i="13"/>
  <c r="I346" i="13"/>
  <c r="I344" i="13"/>
  <c r="H1106" i="13"/>
  <c r="H1103" i="13"/>
  <c r="H1101" i="13" s="1"/>
  <c r="H1100" i="13"/>
  <c r="H1099" i="13"/>
  <c r="H1098" i="13"/>
  <c r="H1097" i="13"/>
  <c r="H1096" i="13"/>
  <c r="H1091" i="13"/>
  <c r="H1090" i="13"/>
  <c r="H1089" i="13"/>
  <c r="H1095" i="13"/>
  <c r="H1094" i="13"/>
  <c r="H1093" i="13"/>
  <c r="H1092" i="13"/>
  <c r="H1087" i="13"/>
  <c r="H1082" i="13"/>
  <c r="H1080" i="13"/>
  <c r="H1073" i="13"/>
  <c r="H1069" i="13"/>
  <c r="H1066" i="13"/>
  <c r="H1064" i="13"/>
  <c r="H1062" i="13"/>
  <c r="H1060" i="13"/>
  <c r="H1050" i="13"/>
  <c r="H1049" i="13"/>
  <c r="H1048" i="13"/>
  <c r="H1028" i="13"/>
  <c r="H1008" i="13"/>
  <c r="H998" i="13"/>
  <c r="H995" i="13"/>
  <c r="H972" i="13"/>
  <c r="H966" i="13"/>
  <c r="H965" i="13"/>
  <c r="H940" i="13"/>
  <c r="H937" i="13"/>
  <c r="H917" i="13"/>
  <c r="H909" i="13"/>
  <c r="H893" i="13"/>
  <c r="H884" i="13"/>
  <c r="H883" i="13"/>
  <c r="H881" i="13"/>
  <c r="H880" i="13"/>
  <c r="H878" i="13"/>
  <c r="H877" i="13"/>
  <c r="H876" i="13"/>
  <c r="H875" i="13"/>
  <c r="H874" i="13"/>
  <c r="H872" i="13"/>
  <c r="H871" i="13"/>
  <c r="H867" i="13"/>
  <c r="H865" i="13"/>
  <c r="H863" i="13"/>
  <c r="H864" i="13"/>
  <c r="H862" i="13"/>
  <c r="H860" i="13"/>
  <c r="H859" i="13"/>
  <c r="H857" i="13"/>
  <c r="H855" i="13"/>
  <c r="H854" i="13"/>
  <c r="H853" i="13"/>
  <c r="H851" i="13"/>
  <c r="H848" i="13"/>
  <c r="H847" i="13"/>
  <c r="H846" i="13"/>
  <c r="H843" i="13"/>
  <c r="H842" i="13"/>
  <c r="H836" i="13"/>
  <c r="H832" i="13"/>
  <c r="H828" i="13"/>
  <c r="H800" i="13"/>
  <c r="H799" i="13"/>
  <c r="H793" i="13"/>
  <c r="H792" i="13"/>
  <c r="H785" i="13"/>
  <c r="H779" i="13"/>
  <c r="H774" i="13"/>
  <c r="H768" i="13"/>
  <c r="H758" i="13"/>
  <c r="H755" i="13"/>
  <c r="H753" i="13"/>
  <c r="H752" i="13"/>
  <c r="H751" i="13"/>
  <c r="H750" i="13"/>
  <c r="H749" i="13"/>
  <c r="H748" i="13"/>
  <c r="H746" i="13"/>
  <c r="H745" i="13"/>
  <c r="H744" i="13"/>
  <c r="H743" i="13"/>
  <c r="H742" i="13"/>
  <c r="H741" i="13"/>
  <c r="H731" i="13"/>
  <c r="H729" i="13"/>
  <c r="H718" i="13"/>
  <c r="H721" i="13"/>
  <c r="H719" i="13"/>
  <c r="H716" i="13"/>
  <c r="H710" i="13"/>
  <c r="H709" i="13"/>
  <c r="H705" i="13"/>
  <c r="H704" i="13"/>
  <c r="H703" i="13"/>
  <c r="H698" i="13"/>
  <c r="H674" i="13"/>
  <c r="H669" i="13"/>
  <c r="H668" i="13"/>
  <c r="H667" i="13"/>
  <c r="H666" i="13"/>
  <c r="H665" i="13"/>
  <c r="H661" i="13"/>
  <c r="H660" i="13"/>
  <c r="H659" i="13"/>
  <c r="H655" i="13"/>
  <c r="H641" i="13"/>
  <c r="H639" i="13"/>
  <c r="H634" i="13"/>
  <c r="H1004" i="13"/>
  <c r="H1003" i="13"/>
  <c r="H619" i="13"/>
  <c r="H615" i="13"/>
  <c r="H605" i="13"/>
  <c r="H604" i="13"/>
  <c r="H580" i="13"/>
  <c r="H575" i="13"/>
  <c r="H562" i="13"/>
  <c r="H544" i="13"/>
  <c r="H543" i="13"/>
  <c r="H534" i="13"/>
  <c r="H908" i="13"/>
  <c r="H513" i="13"/>
  <c r="H512" i="13"/>
  <c r="F512" i="13"/>
  <c r="G512" i="13"/>
  <c r="E512" i="13"/>
  <c r="H509" i="13"/>
  <c r="H502" i="13"/>
  <c r="H1107" i="13"/>
  <c r="F534" i="13"/>
  <c r="F502" i="13"/>
  <c r="F498" i="13"/>
  <c r="G502" i="13"/>
  <c r="E502" i="13"/>
  <c r="H856" i="13" l="1"/>
  <c r="I856" i="13"/>
  <c r="I1088" i="13"/>
  <c r="H1088" i="13"/>
  <c r="C815" i="13"/>
  <c r="D816" i="13"/>
  <c r="C816" i="13" s="1"/>
  <c r="H498" i="13"/>
  <c r="H490" i="13"/>
  <c r="H481" i="13"/>
  <c r="H479" i="13"/>
  <c r="H478" i="13"/>
  <c r="H477" i="13"/>
  <c r="H475" i="13"/>
  <c r="H474" i="13"/>
  <c r="H473" i="13"/>
  <c r="H472" i="13"/>
  <c r="H476" i="13"/>
  <c r="H471" i="13"/>
  <c r="H470" i="13"/>
  <c r="H461" i="13"/>
  <c r="H450" i="13"/>
  <c r="H449" i="13"/>
  <c r="H448" i="13"/>
  <c r="H447" i="13"/>
  <c r="H445" i="13"/>
  <c r="H441" i="13"/>
  <c r="H439" i="13"/>
  <c r="H437" i="13"/>
  <c r="H436" i="13"/>
  <c r="H435" i="13"/>
  <c r="H433" i="13"/>
  <c r="H434" i="13"/>
  <c r="H432" i="13"/>
  <c r="H431" i="13"/>
  <c r="H430" i="13"/>
  <c r="H429" i="13"/>
  <c r="H428" i="13"/>
  <c r="H427" i="13"/>
  <c r="H399" i="13"/>
  <c r="H387" i="13"/>
  <c r="H386" i="13"/>
  <c r="H377" i="13"/>
  <c r="H368" i="13"/>
  <c r="H360" i="13"/>
  <c r="H346" i="13"/>
  <c r="H344" i="13"/>
  <c r="H340" i="13"/>
  <c r="H339" i="13"/>
  <c r="F1107" i="13"/>
  <c r="F1106" i="13"/>
  <c r="F1103" i="13"/>
  <c r="F1101" i="13" s="1"/>
  <c r="F1100" i="13"/>
  <c r="F1099" i="13"/>
  <c r="F1098" i="13"/>
  <c r="F1097" i="13"/>
  <c r="F1096" i="13"/>
  <c r="F1091" i="13"/>
  <c r="F1090" i="13"/>
  <c r="F1089" i="13"/>
  <c r="F1095" i="13"/>
  <c r="F1094" i="13"/>
  <c r="F1093" i="13"/>
  <c r="F1092" i="13"/>
  <c r="F1087" i="13"/>
  <c r="F1082" i="13"/>
  <c r="F1080" i="13"/>
  <c r="F1073" i="13"/>
  <c r="F1069" i="13"/>
  <c r="F1066" i="13"/>
  <c r="F1064" i="13"/>
  <c r="F1062" i="13"/>
  <c r="F1060" i="13"/>
  <c r="F1050" i="13"/>
  <c r="F1049" i="13"/>
  <c r="F1048" i="13"/>
  <c r="F1028" i="13"/>
  <c r="F1008" i="13"/>
  <c r="F998" i="13"/>
  <c r="F995" i="13"/>
  <c r="F972" i="13"/>
  <c r="F966" i="13"/>
  <c r="F965" i="13"/>
  <c r="F940" i="13"/>
  <c r="F937" i="13"/>
  <c r="F917" i="13"/>
  <c r="F909" i="13"/>
  <c r="F893" i="13"/>
  <c r="F884" i="13"/>
  <c r="F883" i="13"/>
  <c r="F881" i="13"/>
  <c r="F880" i="13"/>
  <c r="F878" i="13"/>
  <c r="F877" i="13"/>
  <c r="F876" i="13"/>
  <c r="F875" i="13"/>
  <c r="F874" i="13"/>
  <c r="F872" i="13"/>
  <c r="F871" i="13"/>
  <c r="F869" i="13"/>
  <c r="F867" i="13"/>
  <c r="F860" i="13"/>
  <c r="F859" i="13"/>
  <c r="F857" i="13"/>
  <c r="F855" i="13"/>
  <c r="F854" i="13"/>
  <c r="F853" i="13"/>
  <c r="F851" i="13"/>
  <c r="F848" i="13"/>
  <c r="F847" i="13"/>
  <c r="F846" i="13"/>
  <c r="F845" i="13"/>
  <c r="F844" i="13"/>
  <c r="F843" i="13"/>
  <c r="F842" i="13"/>
  <c r="F836" i="13"/>
  <c r="F832" i="13"/>
  <c r="F828" i="13"/>
  <c r="F800" i="13"/>
  <c r="F799" i="13"/>
  <c r="F793" i="13"/>
  <c r="F792" i="13"/>
  <c r="F786" i="13"/>
  <c r="F785" i="13"/>
  <c r="F780" i="13"/>
  <c r="F779" i="13"/>
  <c r="F774" i="13"/>
  <c r="F768" i="13"/>
  <c r="F758" i="13"/>
  <c r="F755" i="13"/>
  <c r="F753" i="13"/>
  <c r="F752" i="13"/>
  <c r="F751" i="13"/>
  <c r="F750" i="13"/>
  <c r="F749" i="13"/>
  <c r="F748" i="13"/>
  <c r="F743" i="13"/>
  <c r="F741" i="13"/>
  <c r="F729" i="13"/>
  <c r="F718" i="13"/>
  <c r="F721" i="13"/>
  <c r="F719" i="13"/>
  <c r="F716" i="13"/>
  <c r="F710" i="13"/>
  <c r="F709" i="13"/>
  <c r="F707" i="13"/>
  <c r="F705" i="13"/>
  <c r="F704" i="13"/>
  <c r="F703" i="13"/>
  <c r="F698" i="13"/>
  <c r="F674" i="13"/>
  <c r="F669" i="13"/>
  <c r="F668" i="13"/>
  <c r="F667" i="13"/>
  <c r="F666" i="13"/>
  <c r="F665" i="13"/>
  <c r="F661" i="13"/>
  <c r="F660" i="13"/>
  <c r="F659" i="13"/>
  <c r="F655" i="13"/>
  <c r="F641" i="13"/>
  <c r="F639" i="13"/>
  <c r="F634" i="13"/>
  <c r="F1004" i="13"/>
  <c r="F1003" i="13"/>
  <c r="F619" i="13"/>
  <c r="F615" i="13"/>
  <c r="F605" i="13"/>
  <c r="F604" i="13"/>
  <c r="F580" i="13"/>
  <c r="F575" i="13"/>
  <c r="F562" i="13"/>
  <c r="F544" i="13"/>
  <c r="F543" i="13"/>
  <c r="F908" i="13"/>
  <c r="F525" i="13"/>
  <c r="F513" i="13"/>
  <c r="F509" i="13"/>
  <c r="F450" i="13"/>
  <c r="F449" i="13"/>
  <c r="F445" i="13"/>
  <c r="F441" i="13"/>
  <c r="F439" i="13"/>
  <c r="F437" i="13"/>
  <c r="F436" i="13"/>
  <c r="F435" i="13"/>
  <c r="F438" i="13"/>
  <c r="F433" i="13"/>
  <c r="F434" i="13"/>
  <c r="F432" i="13"/>
  <c r="F431" i="13"/>
  <c r="F430" i="13"/>
  <c r="F428" i="13"/>
  <c r="F387" i="13"/>
  <c r="F360" i="13"/>
  <c r="F346" i="13"/>
  <c r="F344" i="13"/>
  <c r="F856" i="13" l="1"/>
  <c r="F1088" i="13"/>
  <c r="G1103" i="13"/>
  <c r="G1101" i="13" s="1"/>
  <c r="G1106" i="13"/>
  <c r="G1107" i="13"/>
  <c r="G1100" i="13"/>
  <c r="G1099" i="13"/>
  <c r="G1098" i="13"/>
  <c r="G1097" i="13"/>
  <c r="G1096" i="13"/>
  <c r="G1091" i="13"/>
  <c r="G1090" i="13"/>
  <c r="G1089" i="13"/>
  <c r="G1095" i="13"/>
  <c r="G1094" i="13"/>
  <c r="G1093" i="13"/>
  <c r="G1092" i="13"/>
  <c r="G1087" i="13"/>
  <c r="G1082" i="13"/>
  <c r="G1080" i="13"/>
  <c r="G1073" i="13"/>
  <c r="G1069" i="13"/>
  <c r="G1066" i="13"/>
  <c r="G1064" i="13"/>
  <c r="G1050" i="13"/>
  <c r="G1049" i="13"/>
  <c r="G1048" i="13"/>
  <c r="G1028" i="13"/>
  <c r="G1008" i="13"/>
  <c r="G998" i="13"/>
  <c r="G995" i="13"/>
  <c r="G972" i="13"/>
  <c r="G966" i="13"/>
  <c r="G965" i="13"/>
  <c r="G940" i="13"/>
  <c r="G937" i="13"/>
  <c r="G917" i="13"/>
  <c r="G909" i="13"/>
  <c r="G893" i="13"/>
  <c r="G884" i="13"/>
  <c r="G883" i="13"/>
  <c r="G869" i="13"/>
  <c r="G860" i="13"/>
  <c r="G859" i="13"/>
  <c r="G857" i="13"/>
  <c r="G855" i="13"/>
  <c r="G854" i="13"/>
  <c r="G853" i="13"/>
  <c r="G851" i="13"/>
  <c r="G848" i="13"/>
  <c r="G847" i="13"/>
  <c r="G846" i="13"/>
  <c r="G843" i="13"/>
  <c r="G842" i="13"/>
  <c r="G836" i="13"/>
  <c r="G832" i="13"/>
  <c r="G828" i="13"/>
  <c r="G820" i="13"/>
  <c r="G800" i="13"/>
  <c r="G799" i="13"/>
  <c r="G780" i="13"/>
  <c r="G779" i="13"/>
  <c r="G774" i="13"/>
  <c r="G768" i="13"/>
  <c r="G753" i="13"/>
  <c r="G752" i="13"/>
  <c r="G751" i="13"/>
  <c r="G750" i="13"/>
  <c r="G749" i="13"/>
  <c r="G748" i="13"/>
  <c r="G743" i="13"/>
  <c r="G741" i="13"/>
  <c r="G718" i="13"/>
  <c r="G856" i="13" l="1"/>
  <c r="G1088" i="13"/>
  <c r="G721" i="13"/>
  <c r="G719" i="13"/>
  <c r="G716" i="13"/>
  <c r="G710" i="13"/>
  <c r="G709" i="13"/>
  <c r="G707" i="13"/>
  <c r="G705" i="13"/>
  <c r="G704" i="13"/>
  <c r="G703" i="13"/>
  <c r="G674" i="13"/>
  <c r="G669" i="13"/>
  <c r="G668" i="13"/>
  <c r="G667" i="13"/>
  <c r="G666" i="13"/>
  <c r="G661" i="13"/>
  <c r="G655" i="13"/>
  <c r="G634" i="13"/>
  <c r="G1004" i="13"/>
  <c r="G1003" i="13"/>
  <c r="G619" i="13"/>
  <c r="G387" i="13"/>
  <c r="G360" i="13"/>
  <c r="E360" i="13"/>
  <c r="G346" i="13"/>
  <c r="E346" i="13"/>
  <c r="G344" i="13"/>
  <c r="N339" i="13"/>
  <c r="E399" i="13"/>
  <c r="G580" i="13"/>
  <c r="E580" i="13"/>
  <c r="G575" i="13"/>
  <c r="E575" i="13"/>
  <c r="G525" i="13"/>
  <c r="E525" i="13"/>
  <c r="G908" i="13"/>
  <c r="E908" i="13"/>
  <c r="G543" i="13"/>
  <c r="E543" i="13"/>
  <c r="G562" i="13"/>
  <c r="E562" i="13"/>
  <c r="U885" i="13" l="1"/>
  <c r="T885" i="13"/>
  <c r="S885" i="13"/>
  <c r="Q885" i="13"/>
  <c r="P885" i="13"/>
  <c r="O885" i="13"/>
  <c r="M885" i="13"/>
  <c r="K885" i="13"/>
  <c r="I885" i="13"/>
  <c r="H885" i="13"/>
  <c r="G885" i="13"/>
  <c r="F885" i="13"/>
  <c r="V1046" i="13"/>
  <c r="D1046" i="13"/>
  <c r="U784" i="13"/>
  <c r="T784" i="13"/>
  <c r="S784" i="13"/>
  <c r="Q784" i="13"/>
  <c r="P784" i="13"/>
  <c r="O784" i="13"/>
  <c r="M784" i="13"/>
  <c r="L784" i="13"/>
  <c r="K784" i="13"/>
  <c r="J784" i="13"/>
  <c r="U787" i="13"/>
  <c r="T787" i="13"/>
  <c r="S787" i="13"/>
  <c r="Q787" i="13"/>
  <c r="P787" i="13"/>
  <c r="O787" i="13"/>
  <c r="M787" i="13"/>
  <c r="L787" i="13"/>
  <c r="K787" i="13"/>
  <c r="J787" i="13"/>
  <c r="I787" i="13"/>
  <c r="H787" i="13"/>
  <c r="G787" i="13"/>
  <c r="F787" i="13"/>
  <c r="E787" i="13"/>
  <c r="U791" i="13"/>
  <c r="T791" i="13"/>
  <c r="S791" i="13"/>
  <c r="Q791" i="13"/>
  <c r="P791" i="13"/>
  <c r="O791" i="13"/>
  <c r="N791" i="13"/>
  <c r="M791" i="13"/>
  <c r="L791" i="13"/>
  <c r="K791" i="13"/>
  <c r="U794" i="13"/>
  <c r="T794" i="13"/>
  <c r="S794" i="13"/>
  <c r="Q794" i="13"/>
  <c r="P794" i="13"/>
  <c r="O794" i="13"/>
  <c r="M794" i="13"/>
  <c r="L794" i="13"/>
  <c r="K794" i="13"/>
  <c r="J794" i="13"/>
  <c r="I794" i="13"/>
  <c r="H794" i="13"/>
  <c r="G794" i="13"/>
  <c r="F794" i="13"/>
  <c r="E794" i="13"/>
  <c r="U797" i="13"/>
  <c r="T797" i="13"/>
  <c r="S797" i="13"/>
  <c r="Q797" i="13"/>
  <c r="P797" i="13"/>
  <c r="O797" i="13"/>
  <c r="M797" i="13"/>
  <c r="L797" i="13"/>
  <c r="K797" i="13"/>
  <c r="U801" i="13"/>
  <c r="T801" i="13"/>
  <c r="S801" i="13"/>
  <c r="Q801" i="13"/>
  <c r="P801" i="13"/>
  <c r="O801" i="13"/>
  <c r="M801" i="13"/>
  <c r="L801" i="13"/>
  <c r="K801" i="13"/>
  <c r="J801" i="13"/>
  <c r="I801" i="13"/>
  <c r="H801" i="13"/>
  <c r="G801" i="13"/>
  <c r="F801" i="13"/>
  <c r="E801" i="13"/>
  <c r="U803" i="13"/>
  <c r="T803" i="13"/>
  <c r="S803" i="13"/>
  <c r="Q803" i="13"/>
  <c r="P803" i="13"/>
  <c r="O803" i="13"/>
  <c r="N803" i="13"/>
  <c r="M803" i="13"/>
  <c r="L803" i="13"/>
  <c r="K803" i="13"/>
  <c r="J803" i="13"/>
  <c r="I803" i="13"/>
  <c r="H803" i="13"/>
  <c r="G803" i="13"/>
  <c r="F803" i="13"/>
  <c r="E803" i="13"/>
  <c r="U806" i="13"/>
  <c r="T806" i="13"/>
  <c r="S806" i="13"/>
  <c r="Q806" i="13"/>
  <c r="P806" i="13"/>
  <c r="O806" i="13"/>
  <c r="M806" i="13"/>
  <c r="L806" i="13"/>
  <c r="K806" i="13"/>
  <c r="J806" i="13"/>
  <c r="I806" i="13"/>
  <c r="H806" i="13"/>
  <c r="G806" i="13"/>
  <c r="F806" i="13"/>
  <c r="E806" i="13"/>
  <c r="U811" i="13"/>
  <c r="T811" i="13"/>
  <c r="S811" i="13"/>
  <c r="Q811" i="13"/>
  <c r="P811" i="13"/>
  <c r="O811" i="13"/>
  <c r="M811" i="13"/>
  <c r="L811" i="13"/>
  <c r="K811" i="13"/>
  <c r="J811" i="13"/>
  <c r="I811" i="13"/>
  <c r="H811" i="13"/>
  <c r="G811" i="13"/>
  <c r="F811" i="13"/>
  <c r="E811" i="13"/>
  <c r="U813" i="13"/>
  <c r="T813" i="13"/>
  <c r="S813" i="13"/>
  <c r="Q813" i="13"/>
  <c r="P813" i="13"/>
  <c r="O813" i="13"/>
  <c r="M813" i="13"/>
  <c r="L813" i="13"/>
  <c r="K813" i="13"/>
  <c r="J813" i="13"/>
  <c r="I813" i="13"/>
  <c r="H813" i="13"/>
  <c r="G813" i="13"/>
  <c r="F813" i="13"/>
  <c r="E813" i="13"/>
  <c r="U819" i="13"/>
  <c r="T819" i="13"/>
  <c r="S819" i="13"/>
  <c r="R819" i="13"/>
  <c r="Q819" i="13"/>
  <c r="P819" i="13"/>
  <c r="O819" i="13"/>
  <c r="N819" i="13"/>
  <c r="M819" i="13"/>
  <c r="L819" i="13"/>
  <c r="K819" i="13"/>
  <c r="J819" i="13"/>
  <c r="H819" i="13"/>
  <c r="F819" i="13"/>
  <c r="U825" i="13"/>
  <c r="T825" i="13"/>
  <c r="S825" i="13"/>
  <c r="R825" i="13"/>
  <c r="Q825" i="13"/>
  <c r="P825" i="13"/>
  <c r="O825" i="13"/>
  <c r="M825" i="13"/>
  <c r="L825" i="13"/>
  <c r="K825" i="13"/>
  <c r="J825" i="13"/>
  <c r="I825" i="13"/>
  <c r="H825" i="13"/>
  <c r="G825" i="13"/>
  <c r="F825" i="13"/>
  <c r="E825" i="13"/>
  <c r="U827" i="13"/>
  <c r="T827" i="13"/>
  <c r="S827" i="13"/>
  <c r="Q827" i="13"/>
  <c r="P827" i="13"/>
  <c r="O827" i="13"/>
  <c r="M827" i="13"/>
  <c r="L827" i="13"/>
  <c r="K827" i="13"/>
  <c r="J827" i="13"/>
  <c r="U829" i="13"/>
  <c r="T829" i="13"/>
  <c r="S829" i="13"/>
  <c r="R829" i="13"/>
  <c r="Q829" i="13"/>
  <c r="P829" i="13"/>
  <c r="O829" i="13"/>
  <c r="M829" i="13"/>
  <c r="L829" i="13"/>
  <c r="K829" i="13"/>
  <c r="J829" i="13"/>
  <c r="I829" i="13"/>
  <c r="H829" i="13"/>
  <c r="G829" i="13"/>
  <c r="F829" i="13"/>
  <c r="E829" i="13"/>
  <c r="U831" i="13"/>
  <c r="T831" i="13"/>
  <c r="S831" i="13"/>
  <c r="Q831" i="13"/>
  <c r="P831" i="13"/>
  <c r="O831" i="13"/>
  <c r="M831" i="13"/>
  <c r="L831" i="13"/>
  <c r="K831" i="13"/>
  <c r="J831" i="13"/>
  <c r="U833" i="13"/>
  <c r="T833" i="13"/>
  <c r="S833" i="13"/>
  <c r="Q833" i="13"/>
  <c r="P833" i="13"/>
  <c r="O833" i="13"/>
  <c r="M833" i="13"/>
  <c r="L833" i="13"/>
  <c r="K833" i="13"/>
  <c r="J833" i="13"/>
  <c r="U838" i="13"/>
  <c r="T838" i="13"/>
  <c r="S838" i="13"/>
  <c r="R838" i="13"/>
  <c r="Q838" i="13"/>
  <c r="P838" i="13"/>
  <c r="O838" i="13"/>
  <c r="M838" i="13"/>
  <c r="L838" i="13"/>
  <c r="K838" i="13"/>
  <c r="J838" i="13"/>
  <c r="I838" i="13"/>
  <c r="H838" i="13"/>
  <c r="G838" i="13"/>
  <c r="F838" i="13"/>
  <c r="E838" i="13"/>
  <c r="U840" i="13"/>
  <c r="T840" i="13"/>
  <c r="Q840" i="13"/>
  <c r="O840" i="13"/>
  <c r="M840" i="13"/>
  <c r="L840" i="13"/>
  <c r="K840" i="13"/>
  <c r="U861" i="13"/>
  <c r="T861" i="13"/>
  <c r="S861" i="13"/>
  <c r="Q861" i="13"/>
  <c r="P861" i="13"/>
  <c r="O861" i="13"/>
  <c r="M861" i="13"/>
  <c r="L861" i="13"/>
  <c r="K861" i="13"/>
  <c r="F861" i="13"/>
  <c r="U866" i="13"/>
  <c r="T866" i="13"/>
  <c r="S866" i="13"/>
  <c r="Q866" i="13"/>
  <c r="P866" i="13"/>
  <c r="O866" i="13"/>
  <c r="M866" i="13"/>
  <c r="L866" i="13"/>
  <c r="K866" i="13"/>
  <c r="U868" i="13"/>
  <c r="T868" i="13"/>
  <c r="S868" i="13"/>
  <c r="Q868" i="13"/>
  <c r="P868" i="13"/>
  <c r="O868" i="13"/>
  <c r="M868" i="13"/>
  <c r="L868" i="13"/>
  <c r="K868" i="13"/>
  <c r="U879" i="13"/>
  <c r="T879" i="13"/>
  <c r="S879" i="13"/>
  <c r="Q879" i="13"/>
  <c r="P879" i="13"/>
  <c r="O879" i="13"/>
  <c r="M879" i="13"/>
  <c r="L879" i="13"/>
  <c r="K879" i="13"/>
  <c r="U882" i="13"/>
  <c r="T882" i="13"/>
  <c r="S882" i="13"/>
  <c r="Q882" i="13"/>
  <c r="P882" i="13"/>
  <c r="O882" i="13"/>
  <c r="M882" i="13"/>
  <c r="L882" i="13"/>
  <c r="K882" i="13"/>
  <c r="J882" i="13"/>
  <c r="U1059" i="13"/>
  <c r="T1059" i="13"/>
  <c r="S1059" i="13"/>
  <c r="Q1059" i="13"/>
  <c r="P1059" i="13"/>
  <c r="O1059" i="13"/>
  <c r="N1059" i="13"/>
  <c r="M1059" i="13"/>
  <c r="L1059" i="13"/>
  <c r="K1059" i="13"/>
  <c r="U1061" i="13"/>
  <c r="T1061" i="13"/>
  <c r="S1061" i="13"/>
  <c r="Q1061" i="13"/>
  <c r="P1061" i="13"/>
  <c r="O1061" i="13"/>
  <c r="M1061" i="13"/>
  <c r="L1061" i="13"/>
  <c r="K1061" i="13"/>
  <c r="U1063" i="13"/>
  <c r="T1063" i="13"/>
  <c r="S1063" i="13"/>
  <c r="R1063" i="13"/>
  <c r="Q1063" i="13"/>
  <c r="P1063" i="13"/>
  <c r="O1063" i="13"/>
  <c r="N1063" i="13"/>
  <c r="M1063" i="13"/>
  <c r="L1063" i="13"/>
  <c r="K1063" i="13"/>
  <c r="J1063" i="13"/>
  <c r="U1065" i="13"/>
  <c r="T1065" i="13"/>
  <c r="S1065" i="13"/>
  <c r="Q1065" i="13"/>
  <c r="P1065" i="13"/>
  <c r="O1065" i="13"/>
  <c r="M1065" i="13"/>
  <c r="L1065" i="13"/>
  <c r="K1065" i="13"/>
  <c r="J1065" i="13"/>
  <c r="U1067" i="13"/>
  <c r="T1067" i="13"/>
  <c r="S1067" i="13"/>
  <c r="Q1067" i="13"/>
  <c r="P1067" i="13"/>
  <c r="O1067" i="13"/>
  <c r="M1067" i="13"/>
  <c r="L1067" i="13"/>
  <c r="K1067" i="13"/>
  <c r="J1067" i="13"/>
  <c r="U1071" i="13"/>
  <c r="T1071" i="13"/>
  <c r="S1071" i="13"/>
  <c r="Q1071" i="13"/>
  <c r="P1071" i="13"/>
  <c r="O1071" i="13"/>
  <c r="M1071" i="13"/>
  <c r="L1071" i="13"/>
  <c r="K1071" i="13"/>
  <c r="J1071" i="13"/>
  <c r="U1074" i="13"/>
  <c r="T1074" i="13"/>
  <c r="S1074" i="13"/>
  <c r="Q1074" i="13"/>
  <c r="P1074" i="13"/>
  <c r="O1074" i="13"/>
  <c r="M1074" i="13"/>
  <c r="L1074" i="13"/>
  <c r="K1074" i="13"/>
  <c r="J1074" i="13"/>
  <c r="I1074" i="13"/>
  <c r="H1074" i="13"/>
  <c r="G1074" i="13"/>
  <c r="F1074" i="13"/>
  <c r="U1077" i="13"/>
  <c r="T1077" i="13"/>
  <c r="S1077" i="13"/>
  <c r="Q1077" i="13"/>
  <c r="P1077" i="13"/>
  <c r="O1077" i="13"/>
  <c r="M1077" i="13"/>
  <c r="L1077" i="13"/>
  <c r="K1077" i="13"/>
  <c r="J1077" i="13"/>
  <c r="I1077" i="13"/>
  <c r="H1077" i="13"/>
  <c r="G1077" i="13"/>
  <c r="F1077" i="13"/>
  <c r="E1077" i="13"/>
  <c r="U1079" i="13"/>
  <c r="T1079" i="13"/>
  <c r="S1079" i="13"/>
  <c r="R1079" i="13"/>
  <c r="Q1079" i="13"/>
  <c r="P1079" i="13"/>
  <c r="O1079" i="13"/>
  <c r="N1079" i="13"/>
  <c r="M1079" i="13"/>
  <c r="L1079" i="13"/>
  <c r="K1079" i="13"/>
  <c r="J1079" i="13"/>
  <c r="U1081" i="13"/>
  <c r="T1081" i="13"/>
  <c r="S1081" i="13"/>
  <c r="Q1081" i="13"/>
  <c r="P1081" i="13"/>
  <c r="O1081" i="13"/>
  <c r="M1081" i="13"/>
  <c r="L1081" i="13"/>
  <c r="K1081" i="13"/>
  <c r="J1081" i="13"/>
  <c r="U1083" i="13"/>
  <c r="T1083" i="13"/>
  <c r="S1083" i="13"/>
  <c r="Q1083" i="13"/>
  <c r="P1083" i="13"/>
  <c r="O1083" i="13"/>
  <c r="M1083" i="13"/>
  <c r="L1083" i="13"/>
  <c r="K1083" i="13"/>
  <c r="J1083" i="13"/>
  <c r="I1083" i="13"/>
  <c r="H1083" i="13"/>
  <c r="G1083" i="13"/>
  <c r="F1083" i="13"/>
  <c r="E1083" i="13"/>
  <c r="U1086" i="13"/>
  <c r="T1086" i="13"/>
  <c r="S1086" i="13"/>
  <c r="Q1086" i="13"/>
  <c r="P1086" i="13"/>
  <c r="O1086" i="13"/>
  <c r="N1086" i="13"/>
  <c r="M1086" i="13"/>
  <c r="L1086" i="13"/>
  <c r="K1086" i="13"/>
  <c r="J1086" i="13"/>
  <c r="U761" i="13"/>
  <c r="T761" i="13"/>
  <c r="S761" i="13"/>
  <c r="Q761" i="13"/>
  <c r="P761" i="13"/>
  <c r="O761" i="13"/>
  <c r="M761" i="13"/>
  <c r="L761" i="13"/>
  <c r="K761" i="13"/>
  <c r="J761" i="13"/>
  <c r="I761" i="13"/>
  <c r="H761" i="13"/>
  <c r="G761" i="13"/>
  <c r="F761" i="13"/>
  <c r="E761" i="13"/>
  <c r="U338" i="13"/>
  <c r="T338" i="13"/>
  <c r="S338" i="13"/>
  <c r="Q338" i="13"/>
  <c r="P338" i="13"/>
  <c r="O338" i="13"/>
  <c r="M338" i="13"/>
  <c r="L338" i="13"/>
  <c r="K338" i="13"/>
  <c r="U341" i="13"/>
  <c r="T341" i="13"/>
  <c r="S341" i="13"/>
  <c r="Q341" i="13"/>
  <c r="P341" i="13"/>
  <c r="O341" i="13"/>
  <c r="M341" i="13"/>
  <c r="K341" i="13"/>
  <c r="U361" i="13"/>
  <c r="T361" i="13"/>
  <c r="S361" i="13"/>
  <c r="R361" i="13"/>
  <c r="Q361" i="13"/>
  <c r="P361" i="13"/>
  <c r="O361" i="13"/>
  <c r="M361" i="13"/>
  <c r="L361" i="13"/>
  <c r="K361" i="13"/>
  <c r="J361" i="13"/>
  <c r="I361" i="13"/>
  <c r="H361" i="13"/>
  <c r="G361" i="13"/>
  <c r="F361" i="13"/>
  <c r="E361" i="13"/>
  <c r="U363" i="13"/>
  <c r="T363" i="13"/>
  <c r="S363" i="13"/>
  <c r="R363" i="13"/>
  <c r="Q363" i="13"/>
  <c r="P363" i="13"/>
  <c r="O363" i="13"/>
  <c r="M363" i="13"/>
  <c r="L363" i="13"/>
  <c r="K363" i="13"/>
  <c r="J363" i="13"/>
  <c r="I363" i="13"/>
  <c r="H363" i="13"/>
  <c r="G363" i="13"/>
  <c r="F363" i="13"/>
  <c r="E363" i="13"/>
  <c r="U367" i="13"/>
  <c r="T367" i="13"/>
  <c r="S367" i="13"/>
  <c r="Q367" i="13"/>
  <c r="P367" i="13"/>
  <c r="O367" i="13"/>
  <c r="M367" i="13"/>
  <c r="L367" i="13"/>
  <c r="K367" i="13"/>
  <c r="U371" i="13"/>
  <c r="T371" i="13"/>
  <c r="S371" i="13"/>
  <c r="Q371" i="13"/>
  <c r="P371" i="13"/>
  <c r="O371" i="13"/>
  <c r="N371" i="13"/>
  <c r="M371" i="13"/>
  <c r="L371" i="13"/>
  <c r="K371" i="13"/>
  <c r="I371" i="13"/>
  <c r="H371" i="13"/>
  <c r="G371" i="13"/>
  <c r="F371" i="13"/>
  <c r="U373" i="13"/>
  <c r="T373" i="13"/>
  <c r="S373" i="13"/>
  <c r="Q373" i="13"/>
  <c r="P373" i="13"/>
  <c r="O373" i="13"/>
  <c r="M373" i="13"/>
  <c r="L373" i="13"/>
  <c r="K373" i="13"/>
  <c r="J373" i="13"/>
  <c r="I373" i="13"/>
  <c r="H373" i="13"/>
  <c r="G373" i="13"/>
  <c r="F373" i="13"/>
  <c r="E373" i="13"/>
  <c r="U376" i="13"/>
  <c r="T376" i="13"/>
  <c r="S376" i="13"/>
  <c r="R376" i="13"/>
  <c r="Q376" i="13"/>
  <c r="P376" i="13"/>
  <c r="O376" i="13"/>
  <c r="M376" i="13"/>
  <c r="L376" i="13"/>
  <c r="K376" i="13"/>
  <c r="I376" i="13"/>
  <c r="G376" i="13"/>
  <c r="F376" i="13"/>
  <c r="U378" i="13"/>
  <c r="T378" i="13"/>
  <c r="S378" i="13"/>
  <c r="R378" i="13"/>
  <c r="Q378" i="13"/>
  <c r="P378" i="13"/>
  <c r="O378" i="13"/>
  <c r="M378" i="13"/>
  <c r="L378" i="13"/>
  <c r="K378" i="13"/>
  <c r="J378" i="13"/>
  <c r="I378" i="13"/>
  <c r="H378" i="13"/>
  <c r="G378" i="13"/>
  <c r="F378" i="13"/>
  <c r="E378" i="13"/>
  <c r="U383" i="13"/>
  <c r="T383" i="13"/>
  <c r="S383" i="13"/>
  <c r="Q383" i="13"/>
  <c r="P383" i="13"/>
  <c r="O383" i="13"/>
  <c r="M383" i="13"/>
  <c r="L383" i="13"/>
  <c r="K383" i="13"/>
  <c r="J383" i="13"/>
  <c r="U393" i="13"/>
  <c r="T393" i="13"/>
  <c r="S393" i="13"/>
  <c r="R393" i="13"/>
  <c r="Q393" i="13"/>
  <c r="P393" i="13"/>
  <c r="O393" i="13"/>
  <c r="N393" i="13"/>
  <c r="M393" i="13"/>
  <c r="L393" i="13"/>
  <c r="K393" i="13"/>
  <c r="J393" i="13"/>
  <c r="I393" i="13"/>
  <c r="H393" i="13"/>
  <c r="G393" i="13"/>
  <c r="F393" i="13"/>
  <c r="E393" i="13"/>
  <c r="U395" i="13"/>
  <c r="T395" i="13"/>
  <c r="S395" i="13"/>
  <c r="R395" i="13"/>
  <c r="Q395" i="13"/>
  <c r="P395" i="13"/>
  <c r="O395" i="13"/>
  <c r="M395" i="13"/>
  <c r="L395" i="13"/>
  <c r="K395" i="13"/>
  <c r="J395" i="13"/>
  <c r="I395" i="13"/>
  <c r="H395" i="13"/>
  <c r="G395" i="13"/>
  <c r="F395" i="13"/>
  <c r="E395" i="13"/>
  <c r="U398" i="13"/>
  <c r="T398" i="13"/>
  <c r="S398" i="13"/>
  <c r="Q398" i="13"/>
  <c r="P398" i="13"/>
  <c r="O398" i="13"/>
  <c r="M398" i="13"/>
  <c r="L398" i="13"/>
  <c r="K398" i="13"/>
  <c r="J398" i="13"/>
  <c r="U400" i="13"/>
  <c r="T400" i="13"/>
  <c r="S400" i="13"/>
  <c r="R400" i="13"/>
  <c r="Q400" i="13"/>
  <c r="P400" i="13"/>
  <c r="O400" i="13"/>
  <c r="M400" i="13"/>
  <c r="L400" i="13"/>
  <c r="K400" i="13"/>
  <c r="J400" i="13"/>
  <c r="I400" i="13"/>
  <c r="H400" i="13"/>
  <c r="G400" i="13"/>
  <c r="F400" i="13"/>
  <c r="E400" i="13"/>
  <c r="U403" i="13"/>
  <c r="T403" i="13"/>
  <c r="S403" i="13"/>
  <c r="R403" i="13"/>
  <c r="Q403" i="13"/>
  <c r="P403" i="13"/>
  <c r="O403" i="13"/>
  <c r="M403" i="13"/>
  <c r="L403" i="13"/>
  <c r="K403" i="13"/>
  <c r="J403" i="13"/>
  <c r="I403" i="13"/>
  <c r="H403" i="13"/>
  <c r="G403" i="13"/>
  <c r="F403" i="13"/>
  <c r="E403" i="13"/>
  <c r="U405" i="13"/>
  <c r="T405" i="13"/>
  <c r="S405" i="13"/>
  <c r="R405" i="13"/>
  <c r="Q405" i="13"/>
  <c r="P405" i="13"/>
  <c r="O405" i="13"/>
  <c r="M405" i="13"/>
  <c r="L405" i="13"/>
  <c r="K405" i="13"/>
  <c r="J405" i="13"/>
  <c r="I405" i="13"/>
  <c r="H405" i="13"/>
  <c r="G405" i="13"/>
  <c r="F405" i="13"/>
  <c r="E405" i="13"/>
  <c r="U409" i="13"/>
  <c r="T409" i="13"/>
  <c r="S409" i="13"/>
  <c r="R409" i="13"/>
  <c r="Q409" i="13"/>
  <c r="P409" i="13"/>
  <c r="O409" i="13"/>
  <c r="M409" i="13"/>
  <c r="L409" i="13"/>
  <c r="K409" i="13"/>
  <c r="J409" i="13"/>
  <c r="I409" i="13"/>
  <c r="H409" i="13"/>
  <c r="G409" i="13"/>
  <c r="F409" i="13"/>
  <c r="E409" i="13"/>
  <c r="U412" i="13"/>
  <c r="T412" i="13"/>
  <c r="S412" i="13"/>
  <c r="R412" i="13"/>
  <c r="Q412" i="13"/>
  <c r="P412" i="13"/>
  <c r="O412" i="13"/>
  <c r="M412" i="13"/>
  <c r="L412" i="13"/>
  <c r="K412" i="13"/>
  <c r="J412" i="13"/>
  <c r="I412" i="13"/>
  <c r="H412" i="13"/>
  <c r="G412" i="13"/>
  <c r="F412" i="13"/>
  <c r="E412" i="13"/>
  <c r="U415" i="13"/>
  <c r="T415" i="13"/>
  <c r="S415" i="13"/>
  <c r="Q415" i="13"/>
  <c r="P415" i="13"/>
  <c r="O415" i="13"/>
  <c r="M415" i="13"/>
  <c r="L415" i="13"/>
  <c r="K415" i="13"/>
  <c r="J415" i="13"/>
  <c r="I415" i="13"/>
  <c r="H415" i="13"/>
  <c r="G415" i="13"/>
  <c r="F415" i="13"/>
  <c r="E415" i="13"/>
  <c r="U422" i="13"/>
  <c r="T422" i="13"/>
  <c r="S422" i="13"/>
  <c r="R422" i="13"/>
  <c r="Q422" i="13"/>
  <c r="P422" i="13"/>
  <c r="O422" i="13"/>
  <c r="M422" i="13"/>
  <c r="L422" i="13"/>
  <c r="K422" i="13"/>
  <c r="J422" i="13"/>
  <c r="I422" i="13"/>
  <c r="H422" i="13"/>
  <c r="G422" i="13"/>
  <c r="F422" i="13"/>
  <c r="E422" i="13"/>
  <c r="U424" i="13"/>
  <c r="T424" i="13"/>
  <c r="Q424" i="13"/>
  <c r="O424" i="13"/>
  <c r="M424" i="13"/>
  <c r="L424" i="13"/>
  <c r="K424" i="13"/>
  <c r="U444" i="13"/>
  <c r="T444" i="13"/>
  <c r="S444" i="13"/>
  <c r="Q444" i="13"/>
  <c r="P444" i="13"/>
  <c r="O444" i="13"/>
  <c r="M444" i="13"/>
  <c r="L444" i="13"/>
  <c r="K444" i="13"/>
  <c r="U446" i="13"/>
  <c r="T446" i="13"/>
  <c r="S446" i="13"/>
  <c r="Q446" i="13"/>
  <c r="P446" i="13"/>
  <c r="O446" i="13"/>
  <c r="M446" i="13"/>
  <c r="L446" i="13"/>
  <c r="K446" i="13"/>
  <c r="U456" i="13"/>
  <c r="T456" i="13"/>
  <c r="S456" i="13"/>
  <c r="Q456" i="13"/>
  <c r="P456" i="13"/>
  <c r="O456" i="13"/>
  <c r="M456" i="13"/>
  <c r="L456" i="13"/>
  <c r="K456" i="13"/>
  <c r="U464" i="13"/>
  <c r="T464" i="13"/>
  <c r="S464" i="13"/>
  <c r="Q464" i="13"/>
  <c r="P464" i="13"/>
  <c r="O464" i="13"/>
  <c r="M464" i="13"/>
  <c r="L464" i="13"/>
  <c r="K464" i="13"/>
  <c r="J464" i="13"/>
  <c r="I464" i="13"/>
  <c r="H464" i="13"/>
  <c r="G464" i="13"/>
  <c r="F464" i="13"/>
  <c r="E464" i="13"/>
  <c r="U466" i="13"/>
  <c r="T466" i="13"/>
  <c r="S466" i="13"/>
  <c r="Q466" i="13"/>
  <c r="P466" i="13"/>
  <c r="O466" i="13"/>
  <c r="M466" i="13"/>
  <c r="L466" i="13"/>
  <c r="K466" i="13"/>
  <c r="U468" i="13"/>
  <c r="T468" i="13"/>
  <c r="S468" i="13"/>
  <c r="Q468" i="13"/>
  <c r="P468" i="13"/>
  <c r="O468" i="13"/>
  <c r="M468" i="13"/>
  <c r="L468" i="13"/>
  <c r="K468" i="13"/>
  <c r="U484" i="13"/>
  <c r="T484" i="13"/>
  <c r="S484" i="13"/>
  <c r="Q484" i="13"/>
  <c r="P484" i="13"/>
  <c r="O484" i="13"/>
  <c r="N484" i="13"/>
  <c r="M484" i="13"/>
  <c r="L484" i="13"/>
  <c r="K484" i="13"/>
  <c r="J484" i="13"/>
  <c r="I484" i="13"/>
  <c r="H484" i="13"/>
  <c r="G484" i="13"/>
  <c r="F484" i="13"/>
  <c r="E484" i="13"/>
  <c r="U486" i="13"/>
  <c r="T486" i="13"/>
  <c r="S486" i="13"/>
  <c r="Q486" i="13"/>
  <c r="P486" i="13"/>
  <c r="O486" i="13"/>
  <c r="M486" i="13"/>
  <c r="L486" i="13"/>
  <c r="K486" i="13"/>
  <c r="J486" i="13"/>
  <c r="I486" i="13"/>
  <c r="H486" i="13"/>
  <c r="G486" i="13"/>
  <c r="F486" i="13"/>
  <c r="E486" i="13"/>
  <c r="U489" i="13"/>
  <c r="T489" i="13"/>
  <c r="S489" i="13"/>
  <c r="Q489" i="13"/>
  <c r="P489" i="13"/>
  <c r="O489" i="13"/>
  <c r="M489" i="13"/>
  <c r="L489" i="13"/>
  <c r="K489" i="13"/>
  <c r="U491" i="13"/>
  <c r="T491" i="13"/>
  <c r="S491" i="13"/>
  <c r="Q491" i="13"/>
  <c r="P491" i="13"/>
  <c r="O491" i="13"/>
  <c r="M491" i="13"/>
  <c r="K491" i="13"/>
  <c r="U702" i="13"/>
  <c r="T702" i="13"/>
  <c r="S702" i="13"/>
  <c r="Q702" i="13"/>
  <c r="P702" i="13"/>
  <c r="O702" i="13"/>
  <c r="M702" i="13"/>
  <c r="L702" i="13"/>
  <c r="K702" i="13"/>
  <c r="J702" i="13"/>
  <c r="U706" i="13"/>
  <c r="T706" i="13"/>
  <c r="S706" i="13"/>
  <c r="Q706" i="13"/>
  <c r="P706" i="13"/>
  <c r="O706" i="13"/>
  <c r="M706" i="13"/>
  <c r="L706" i="13"/>
  <c r="K706" i="13"/>
  <c r="J706" i="13"/>
  <c r="H706" i="13"/>
  <c r="U708" i="13"/>
  <c r="T708" i="13"/>
  <c r="S708" i="13"/>
  <c r="Q708" i="13"/>
  <c r="P708" i="13"/>
  <c r="O708" i="13"/>
  <c r="M708" i="13"/>
  <c r="L708" i="13"/>
  <c r="K708" i="13"/>
  <c r="J708" i="13"/>
  <c r="U711" i="13"/>
  <c r="T711" i="13"/>
  <c r="S711" i="13"/>
  <c r="Q711" i="13"/>
  <c r="P711" i="13"/>
  <c r="O711" i="13"/>
  <c r="M711" i="13"/>
  <c r="L711" i="13"/>
  <c r="K711" i="13"/>
  <c r="J711" i="13"/>
  <c r="U722" i="13"/>
  <c r="T722" i="13"/>
  <c r="S722" i="13"/>
  <c r="Q722" i="13"/>
  <c r="P722" i="13"/>
  <c r="O722" i="13"/>
  <c r="M722" i="13"/>
  <c r="L722" i="13"/>
  <c r="K722" i="13"/>
  <c r="J722" i="13"/>
  <c r="I722" i="13"/>
  <c r="H722" i="13"/>
  <c r="G722" i="13"/>
  <c r="F722" i="13"/>
  <c r="U724" i="13"/>
  <c r="T724" i="13"/>
  <c r="S724" i="13"/>
  <c r="Q724" i="13"/>
  <c r="P724" i="13"/>
  <c r="O724" i="13"/>
  <c r="M724" i="13"/>
  <c r="L724" i="13"/>
  <c r="K724" i="13"/>
  <c r="J724" i="13"/>
  <c r="I724" i="13"/>
  <c r="H724" i="13"/>
  <c r="G724" i="13"/>
  <c r="F724" i="13"/>
  <c r="U728" i="13"/>
  <c r="T728" i="13"/>
  <c r="S728" i="13"/>
  <c r="Q728" i="13"/>
  <c r="P728" i="13"/>
  <c r="O728" i="13"/>
  <c r="M728" i="13"/>
  <c r="L728" i="13"/>
  <c r="K728" i="13"/>
  <c r="J728" i="13"/>
  <c r="U730" i="13"/>
  <c r="T730" i="13"/>
  <c r="S730" i="13"/>
  <c r="Q730" i="13"/>
  <c r="P730" i="13"/>
  <c r="O730" i="13"/>
  <c r="M730" i="13"/>
  <c r="L730" i="13"/>
  <c r="K730" i="13"/>
  <c r="J730" i="13"/>
  <c r="U734" i="13"/>
  <c r="T734" i="13"/>
  <c r="S734" i="13"/>
  <c r="Q734" i="13"/>
  <c r="P734" i="13"/>
  <c r="O734" i="13"/>
  <c r="M734" i="13"/>
  <c r="L734" i="13"/>
  <c r="K734" i="13"/>
  <c r="J734" i="13"/>
  <c r="I734" i="13"/>
  <c r="H734" i="13"/>
  <c r="G734" i="13"/>
  <c r="F734" i="13"/>
  <c r="E734" i="13"/>
  <c r="U738" i="13"/>
  <c r="T738" i="13"/>
  <c r="S738" i="13"/>
  <c r="Q738" i="13"/>
  <c r="P738" i="13"/>
  <c r="O738" i="13"/>
  <c r="M738" i="13"/>
  <c r="L738" i="13"/>
  <c r="K738" i="13"/>
  <c r="J738" i="13"/>
  <c r="I738" i="13"/>
  <c r="H738" i="13"/>
  <c r="G738" i="13"/>
  <c r="F738" i="13"/>
  <c r="E738" i="13"/>
  <c r="U740" i="13"/>
  <c r="T740" i="13"/>
  <c r="S740" i="13"/>
  <c r="Q740" i="13"/>
  <c r="P740" i="13"/>
  <c r="O740" i="13"/>
  <c r="M740" i="13"/>
  <c r="L740" i="13"/>
  <c r="K740" i="13"/>
  <c r="J740" i="13"/>
  <c r="U754" i="13"/>
  <c r="T754" i="13"/>
  <c r="S754" i="13"/>
  <c r="Q754" i="13"/>
  <c r="P754" i="13"/>
  <c r="O754" i="13"/>
  <c r="M754" i="13"/>
  <c r="L754" i="13"/>
  <c r="K754" i="13"/>
  <c r="J754" i="13"/>
  <c r="U757" i="13"/>
  <c r="T757" i="13"/>
  <c r="S757" i="13"/>
  <c r="R757" i="13"/>
  <c r="Q757" i="13"/>
  <c r="P757" i="13"/>
  <c r="O757" i="13"/>
  <c r="M757" i="13"/>
  <c r="L757" i="13"/>
  <c r="K757" i="13"/>
  <c r="J757" i="13"/>
  <c r="E757" i="13"/>
  <c r="U285" i="13"/>
  <c r="T285" i="13"/>
  <c r="S285" i="13"/>
  <c r="R285" i="13"/>
  <c r="Q285" i="13"/>
  <c r="P285" i="13"/>
  <c r="O285" i="13"/>
  <c r="N285" i="13"/>
  <c r="M285" i="13"/>
  <c r="L285" i="13"/>
  <c r="K285" i="13"/>
  <c r="H285" i="13"/>
  <c r="U135" i="13"/>
  <c r="T135" i="13"/>
  <c r="S135" i="13"/>
  <c r="Q135" i="13"/>
  <c r="O135" i="13"/>
  <c r="M135" i="13"/>
  <c r="K135" i="13"/>
  <c r="U133" i="13"/>
  <c r="T133" i="13"/>
  <c r="S133" i="13"/>
  <c r="R133" i="13"/>
  <c r="Q133" i="13"/>
  <c r="P133" i="13"/>
  <c r="O133" i="13"/>
  <c r="N133" i="13"/>
  <c r="M133" i="13"/>
  <c r="L133" i="13"/>
  <c r="K133" i="13"/>
  <c r="I133" i="13"/>
  <c r="G133" i="13"/>
  <c r="E133" i="13"/>
  <c r="U131" i="13"/>
  <c r="T131" i="13"/>
  <c r="S131" i="13"/>
  <c r="Q131" i="13"/>
  <c r="P131" i="13"/>
  <c r="O131" i="13"/>
  <c r="M131" i="13"/>
  <c r="L131" i="13"/>
  <c r="K131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U119" i="13"/>
  <c r="T119" i="13"/>
  <c r="S119" i="13"/>
  <c r="Q119" i="13"/>
  <c r="P119" i="13"/>
  <c r="O119" i="13"/>
  <c r="M119" i="13"/>
  <c r="L119" i="13"/>
  <c r="K119" i="13"/>
  <c r="U111" i="13"/>
  <c r="T111" i="13"/>
  <c r="S111" i="13"/>
  <c r="R111" i="13"/>
  <c r="Q111" i="13"/>
  <c r="P111" i="13"/>
  <c r="O111" i="13"/>
  <c r="M111" i="13"/>
  <c r="L111" i="13"/>
  <c r="K111" i="13"/>
  <c r="U104" i="13"/>
  <c r="T104" i="13"/>
  <c r="S104" i="13"/>
  <c r="R104" i="13"/>
  <c r="Q104" i="13"/>
  <c r="P104" i="13"/>
  <c r="O104" i="13"/>
  <c r="N104" i="13"/>
  <c r="M104" i="13"/>
  <c r="L104" i="13"/>
  <c r="K104" i="13"/>
  <c r="E104" i="13"/>
  <c r="U101" i="13"/>
  <c r="T101" i="13"/>
  <c r="S101" i="13"/>
  <c r="R101" i="13"/>
  <c r="Q101" i="13"/>
  <c r="P101" i="13"/>
  <c r="O101" i="13"/>
  <c r="N101" i="13"/>
  <c r="M101" i="13"/>
  <c r="L101" i="13"/>
  <c r="K101" i="13"/>
  <c r="I101" i="13"/>
  <c r="G101" i="13"/>
  <c r="F101" i="13"/>
  <c r="E101" i="13"/>
  <c r="U81" i="13"/>
  <c r="T81" i="13"/>
  <c r="Q81" i="13"/>
  <c r="O81" i="13"/>
  <c r="M81" i="13"/>
  <c r="L81" i="13"/>
  <c r="K81" i="13"/>
  <c r="U79" i="13"/>
  <c r="T79" i="13"/>
  <c r="S79" i="13"/>
  <c r="R79" i="13"/>
  <c r="Q79" i="13"/>
  <c r="P79" i="13"/>
  <c r="O79" i="13"/>
  <c r="M79" i="13"/>
  <c r="L79" i="13"/>
  <c r="K79" i="13"/>
  <c r="J79" i="13"/>
  <c r="I79" i="13"/>
  <c r="H79" i="13"/>
  <c r="G79" i="13"/>
  <c r="F79" i="13"/>
  <c r="E79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U72" i="13"/>
  <c r="T72" i="13"/>
  <c r="S72" i="13"/>
  <c r="R72" i="13"/>
  <c r="Q72" i="13"/>
  <c r="P72" i="13"/>
  <c r="O72" i="13"/>
  <c r="N72" i="13"/>
  <c r="M72" i="13"/>
  <c r="L72" i="13"/>
  <c r="K72" i="13"/>
  <c r="I72" i="13"/>
  <c r="G72" i="13"/>
  <c r="F72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U67" i="13"/>
  <c r="T67" i="13"/>
  <c r="S67" i="13"/>
  <c r="R67" i="13"/>
  <c r="Q67" i="13"/>
  <c r="P67" i="13"/>
  <c r="O67" i="13"/>
  <c r="M67" i="13"/>
  <c r="L67" i="13"/>
  <c r="K67" i="13"/>
  <c r="J67" i="13"/>
  <c r="I67" i="13"/>
  <c r="H67" i="13"/>
  <c r="G67" i="13"/>
  <c r="F67" i="13"/>
  <c r="E67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U59" i="13"/>
  <c r="T59" i="13"/>
  <c r="S59" i="13"/>
  <c r="Q59" i="13"/>
  <c r="P59" i="13"/>
  <c r="O59" i="13"/>
  <c r="M59" i="13"/>
  <c r="L59" i="13"/>
  <c r="K59" i="13"/>
  <c r="J59" i="13"/>
  <c r="I59" i="13"/>
  <c r="H59" i="13"/>
  <c r="G59" i="13"/>
  <c r="F59" i="13"/>
  <c r="E59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U54" i="13"/>
  <c r="T54" i="13"/>
  <c r="S54" i="13"/>
  <c r="Q54" i="13"/>
  <c r="P54" i="13"/>
  <c r="O54" i="13"/>
  <c r="M54" i="13"/>
  <c r="L54" i="13"/>
  <c r="K54" i="13"/>
  <c r="J54" i="13"/>
  <c r="I54" i="13"/>
  <c r="H54" i="13"/>
  <c r="G54" i="13"/>
  <c r="F54" i="13"/>
  <c r="E54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U47" i="13"/>
  <c r="T47" i="13"/>
  <c r="S47" i="13"/>
  <c r="R47" i="13"/>
  <c r="Q47" i="13"/>
  <c r="P47" i="13"/>
  <c r="O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U35" i="13"/>
  <c r="T35" i="13"/>
  <c r="S35" i="13"/>
  <c r="Q35" i="13"/>
  <c r="O35" i="13"/>
  <c r="N35" i="13"/>
  <c r="M35" i="13"/>
  <c r="L35" i="13"/>
  <c r="K35" i="13"/>
  <c r="J35" i="13"/>
  <c r="I35" i="13"/>
  <c r="H35" i="13"/>
  <c r="G35" i="13"/>
  <c r="F35" i="13"/>
  <c r="E35" i="13"/>
  <c r="U33" i="13"/>
  <c r="T33" i="13"/>
  <c r="S33" i="13"/>
  <c r="R33" i="13"/>
  <c r="Q33" i="13"/>
  <c r="P33" i="13"/>
  <c r="O33" i="13"/>
  <c r="N33" i="13"/>
  <c r="M33" i="13"/>
  <c r="L33" i="13"/>
  <c r="K33" i="13"/>
  <c r="E33" i="13"/>
  <c r="U31" i="13"/>
  <c r="T31" i="13"/>
  <c r="S31" i="13"/>
  <c r="R31" i="13"/>
  <c r="Q31" i="13"/>
  <c r="P31" i="13"/>
  <c r="O31" i="13"/>
  <c r="M31" i="13"/>
  <c r="L31" i="13"/>
  <c r="K31" i="13"/>
  <c r="J31" i="13"/>
  <c r="I31" i="13"/>
  <c r="H31" i="13"/>
  <c r="G31" i="13"/>
  <c r="F31" i="13"/>
  <c r="E31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U14" i="13"/>
  <c r="T14" i="13"/>
  <c r="S14" i="13"/>
  <c r="R14" i="13"/>
  <c r="Q14" i="13"/>
  <c r="P14" i="13"/>
  <c r="O14" i="13"/>
  <c r="M14" i="13"/>
  <c r="L14" i="13"/>
  <c r="K14" i="13"/>
  <c r="U11" i="13"/>
  <c r="T11" i="13"/>
  <c r="S11" i="13"/>
  <c r="Q11" i="13"/>
  <c r="P11" i="13"/>
  <c r="O11" i="13"/>
  <c r="M11" i="13"/>
  <c r="L11" i="13"/>
  <c r="K11" i="13"/>
  <c r="U290" i="13"/>
  <c r="T290" i="13"/>
  <c r="S290" i="13"/>
  <c r="R290" i="13"/>
  <c r="Q290" i="13"/>
  <c r="P290" i="13"/>
  <c r="O290" i="13"/>
  <c r="N290" i="13"/>
  <c r="M290" i="13"/>
  <c r="L290" i="13"/>
  <c r="K290" i="13"/>
  <c r="J290" i="13"/>
  <c r="I290" i="13"/>
  <c r="H290" i="13"/>
  <c r="G290" i="13"/>
  <c r="F290" i="13"/>
  <c r="E290" i="13"/>
  <c r="U292" i="13"/>
  <c r="T292" i="13"/>
  <c r="S292" i="13"/>
  <c r="Q292" i="13"/>
  <c r="P292" i="13"/>
  <c r="O292" i="13"/>
  <c r="M292" i="13"/>
  <c r="L292" i="13"/>
  <c r="K292" i="13"/>
  <c r="U295" i="13"/>
  <c r="T295" i="13"/>
  <c r="S295" i="13"/>
  <c r="R295" i="13"/>
  <c r="Q295" i="13"/>
  <c r="P295" i="13"/>
  <c r="O295" i="13"/>
  <c r="N295" i="13"/>
  <c r="M295" i="13"/>
  <c r="L295" i="13"/>
  <c r="K295" i="13"/>
  <c r="J295" i="13"/>
  <c r="I295" i="13"/>
  <c r="H295" i="13"/>
  <c r="G295" i="13"/>
  <c r="F295" i="13"/>
  <c r="E295" i="13"/>
  <c r="U299" i="13"/>
  <c r="T299" i="13"/>
  <c r="S299" i="13"/>
  <c r="Q299" i="13"/>
  <c r="P299" i="13"/>
  <c r="O299" i="13"/>
  <c r="M299" i="13"/>
  <c r="L299" i="13"/>
  <c r="K299" i="13"/>
  <c r="U303" i="13"/>
  <c r="T303" i="13"/>
  <c r="S303" i="13"/>
  <c r="R303" i="13"/>
  <c r="Q303" i="13"/>
  <c r="P303" i="13"/>
  <c r="O303" i="13"/>
  <c r="N303" i="13"/>
  <c r="M303" i="13"/>
  <c r="L303" i="13"/>
  <c r="K303" i="13"/>
  <c r="J303" i="13"/>
  <c r="I303" i="13"/>
  <c r="H303" i="13"/>
  <c r="G303" i="13"/>
  <c r="F303" i="13"/>
  <c r="E303" i="13"/>
  <c r="U305" i="13"/>
  <c r="T305" i="13"/>
  <c r="S305" i="13"/>
  <c r="Q305" i="13"/>
  <c r="P305" i="13"/>
  <c r="O305" i="13"/>
  <c r="M305" i="13"/>
  <c r="L305" i="13"/>
  <c r="K305" i="13"/>
  <c r="J305" i="13"/>
  <c r="I305" i="13"/>
  <c r="H305" i="13"/>
  <c r="G305" i="13"/>
  <c r="F305" i="13"/>
  <c r="U307" i="13"/>
  <c r="T307" i="13"/>
  <c r="S307" i="13"/>
  <c r="R307" i="13"/>
  <c r="Q307" i="13"/>
  <c r="P307" i="13"/>
  <c r="O307" i="13"/>
  <c r="N307" i="13"/>
  <c r="M307" i="13"/>
  <c r="L307" i="13"/>
  <c r="K307" i="13"/>
  <c r="J307" i="13"/>
  <c r="I307" i="13"/>
  <c r="H307" i="13"/>
  <c r="G307" i="13"/>
  <c r="F307" i="13"/>
  <c r="E307" i="13"/>
  <c r="U310" i="13"/>
  <c r="T310" i="13"/>
  <c r="S310" i="13"/>
  <c r="R310" i="13"/>
  <c r="Q310" i="13"/>
  <c r="P310" i="13"/>
  <c r="O310" i="13"/>
  <c r="N310" i="13"/>
  <c r="M310" i="13"/>
  <c r="L310" i="13"/>
  <c r="K310" i="13"/>
  <c r="J310" i="13"/>
  <c r="I310" i="13"/>
  <c r="H310" i="13"/>
  <c r="G310" i="13"/>
  <c r="F310" i="13"/>
  <c r="E310" i="13"/>
  <c r="U312" i="13"/>
  <c r="T312" i="13"/>
  <c r="S312" i="13"/>
  <c r="R312" i="13"/>
  <c r="Q312" i="13"/>
  <c r="P312" i="13"/>
  <c r="O312" i="13"/>
  <c r="M312" i="13"/>
  <c r="L312" i="13"/>
  <c r="K312" i="13"/>
  <c r="J312" i="13"/>
  <c r="I312" i="13"/>
  <c r="H312" i="13"/>
  <c r="G312" i="13"/>
  <c r="F312" i="13"/>
  <c r="E312" i="13"/>
  <c r="U314" i="13"/>
  <c r="T314" i="13"/>
  <c r="S314" i="13"/>
  <c r="R314" i="13"/>
  <c r="Q314" i="13"/>
  <c r="P314" i="13"/>
  <c r="O314" i="13"/>
  <c r="N314" i="13"/>
  <c r="M314" i="13"/>
  <c r="L314" i="13"/>
  <c r="K314" i="13"/>
  <c r="J314" i="13"/>
  <c r="I314" i="13"/>
  <c r="H314" i="13"/>
  <c r="G314" i="13"/>
  <c r="U317" i="13"/>
  <c r="T317" i="13"/>
  <c r="S317" i="13"/>
  <c r="R317" i="13"/>
  <c r="Q317" i="13"/>
  <c r="P317" i="13"/>
  <c r="O317" i="13"/>
  <c r="N317" i="13"/>
  <c r="M317" i="13"/>
  <c r="L317" i="13"/>
  <c r="K317" i="13"/>
  <c r="U319" i="13"/>
  <c r="T319" i="13"/>
  <c r="S319" i="13"/>
  <c r="R319" i="13"/>
  <c r="Q319" i="13"/>
  <c r="P319" i="13"/>
  <c r="O319" i="13"/>
  <c r="M319" i="13"/>
  <c r="L319" i="13"/>
  <c r="K319" i="13"/>
  <c r="J319" i="13"/>
  <c r="I319" i="13"/>
  <c r="H319" i="13"/>
  <c r="G319" i="13"/>
  <c r="F319" i="13"/>
  <c r="E319" i="13"/>
  <c r="U321" i="13"/>
  <c r="T321" i="13"/>
  <c r="S321" i="13"/>
  <c r="Q321" i="13"/>
  <c r="P321" i="13"/>
  <c r="O321" i="13"/>
  <c r="M321" i="13"/>
  <c r="L321" i="13"/>
  <c r="K321" i="13"/>
  <c r="J321" i="13"/>
  <c r="I321" i="13"/>
  <c r="H321" i="13"/>
  <c r="G321" i="13"/>
  <c r="F321" i="13"/>
  <c r="E321" i="13"/>
  <c r="C1046" i="13" l="1"/>
  <c r="O10" i="13"/>
  <c r="T10" i="13"/>
  <c r="K10" i="13"/>
  <c r="Q10" i="13"/>
  <c r="U10" i="13"/>
  <c r="M10" i="13"/>
  <c r="V544" i="13"/>
  <c r="J544" i="13"/>
  <c r="G544" i="13"/>
  <c r="E544" i="13"/>
  <c r="N428" i="13"/>
  <c r="D544" i="13" l="1"/>
  <c r="C544" i="13" s="1"/>
  <c r="N1103" i="13"/>
  <c r="N1101" i="13" s="1"/>
  <c r="R1103" i="13"/>
  <c r="R1101" i="13" s="1"/>
  <c r="N758" i="13"/>
  <c r="I757" i="13"/>
  <c r="H757" i="13"/>
  <c r="G758" i="13"/>
  <c r="G757" i="13" s="1"/>
  <c r="F757" i="13"/>
  <c r="V1103" i="13" l="1"/>
  <c r="V758" i="13"/>
  <c r="N757" i="13"/>
  <c r="D758" i="13"/>
  <c r="D1103" i="13"/>
  <c r="D1101" i="13" s="1"/>
  <c r="N756" i="13"/>
  <c r="V756" i="13" s="1"/>
  <c r="D756" i="13"/>
  <c r="D16" i="13"/>
  <c r="C16" i="13" s="1"/>
  <c r="V16" i="13"/>
  <c r="N68" i="13"/>
  <c r="N67" i="13" s="1"/>
  <c r="C758" i="13" l="1"/>
  <c r="C757" i="13" s="1"/>
  <c r="V757" i="13" s="1"/>
  <c r="D757" i="13"/>
  <c r="C1103" i="13"/>
  <c r="C1101" i="13" s="1"/>
  <c r="C756" i="13"/>
  <c r="N56" i="13"/>
  <c r="V56" i="13" s="1"/>
  <c r="R36" i="13"/>
  <c r="R35" i="13" s="1"/>
  <c r="P36" i="13"/>
  <c r="P35" i="13" s="1"/>
  <c r="N23" i="13"/>
  <c r="V23" i="13" s="1"/>
  <c r="N22" i="13"/>
  <c r="V22" i="13" s="1"/>
  <c r="N13" i="13"/>
  <c r="V13" i="13" s="1"/>
  <c r="N12" i="13"/>
  <c r="R13" i="13"/>
  <c r="R12" i="13"/>
  <c r="V334" i="13"/>
  <c r="V332" i="13"/>
  <c r="V329" i="13"/>
  <c r="V328" i="13"/>
  <c r="V327" i="13"/>
  <c r="V330" i="13"/>
  <c r="V326" i="13"/>
  <c r="V325" i="13"/>
  <c r="V324" i="13"/>
  <c r="V323" i="13"/>
  <c r="V322" i="13"/>
  <c r="V318" i="13"/>
  <c r="V316" i="13"/>
  <c r="V311" i="13"/>
  <c r="V309" i="13"/>
  <c r="V308" i="13"/>
  <c r="V304" i="13"/>
  <c r="V298" i="13"/>
  <c r="V297" i="13"/>
  <c r="V296" i="13"/>
  <c r="V291" i="13"/>
  <c r="V289" i="13"/>
  <c r="V288" i="13"/>
  <c r="V287" i="13"/>
  <c r="V286" i="13"/>
  <c r="V284" i="13"/>
  <c r="V283" i="13"/>
  <c r="V282" i="13"/>
  <c r="V280" i="13"/>
  <c r="V279" i="13"/>
  <c r="V278" i="13"/>
  <c r="V277" i="13"/>
  <c r="V275" i="13"/>
  <c r="V273" i="13"/>
  <c r="V272" i="13"/>
  <c r="V270" i="13"/>
  <c r="V269" i="13"/>
  <c r="V268" i="13"/>
  <c r="V265" i="13"/>
  <c r="V264" i="13"/>
  <c r="V263" i="13"/>
  <c r="V660" i="13"/>
  <c r="V659" i="13"/>
  <c r="V262" i="13"/>
  <c r="V261" i="13"/>
  <c r="V260" i="13"/>
  <c r="V259" i="13"/>
  <c r="V258" i="13"/>
  <c r="V257" i="13"/>
  <c r="V256" i="13"/>
  <c r="V255" i="13"/>
  <c r="V252" i="13"/>
  <c r="V251" i="13"/>
  <c r="V250" i="13"/>
  <c r="V249" i="13"/>
  <c r="V248" i="13"/>
  <c r="V247" i="13"/>
  <c r="V246" i="13"/>
  <c r="V245" i="13"/>
  <c r="V243" i="13"/>
  <c r="V242" i="13"/>
  <c r="V241" i="13"/>
  <c r="V240" i="13"/>
  <c r="V239" i="13"/>
  <c r="V238" i="13"/>
  <c r="V237" i="13"/>
  <c r="V615" i="13"/>
  <c r="V236" i="13"/>
  <c r="V235" i="13"/>
  <c r="V234" i="13"/>
  <c r="V233" i="13"/>
  <c r="V231" i="13"/>
  <c r="V230" i="13"/>
  <c r="V229" i="13"/>
  <c r="V228" i="13"/>
  <c r="V605" i="13"/>
  <c r="V604" i="13"/>
  <c r="V227" i="13"/>
  <c r="V226" i="13"/>
  <c r="V225" i="13"/>
  <c r="V224" i="13"/>
  <c r="V223" i="13"/>
  <c r="V222" i="13"/>
  <c r="V221" i="13"/>
  <c r="V220" i="13"/>
  <c r="V219" i="13"/>
  <c r="V218" i="13"/>
  <c r="V217" i="13"/>
  <c r="V216" i="13"/>
  <c r="V215" i="13"/>
  <c r="V214" i="13"/>
  <c r="V213" i="13"/>
  <c r="V212" i="13"/>
  <c r="V211" i="13"/>
  <c r="V210" i="13"/>
  <c r="V209" i="13"/>
  <c r="V208" i="13"/>
  <c r="V207" i="13"/>
  <c r="V206" i="13"/>
  <c r="V205" i="13"/>
  <c r="V204" i="13"/>
  <c r="V203" i="13"/>
  <c r="V202" i="13"/>
  <c r="V201" i="13"/>
  <c r="V200" i="13"/>
  <c r="V199" i="13"/>
  <c r="V198" i="13"/>
  <c r="V197" i="13"/>
  <c r="V196" i="13"/>
  <c r="V195" i="13"/>
  <c r="V194" i="13"/>
  <c r="V193" i="13"/>
  <c r="V192" i="13"/>
  <c r="V191" i="13"/>
  <c r="V190" i="13"/>
  <c r="V189" i="13"/>
  <c r="V188" i="13"/>
  <c r="V187" i="13"/>
  <c r="V186" i="13"/>
  <c r="V185" i="13"/>
  <c r="V184" i="13"/>
  <c r="V181" i="13"/>
  <c r="V180" i="13"/>
  <c r="V179" i="13"/>
  <c r="V178" i="13"/>
  <c r="V177" i="13"/>
  <c r="V176" i="13"/>
  <c r="V175" i="13"/>
  <c r="V173" i="13"/>
  <c r="V172" i="13"/>
  <c r="V171" i="13"/>
  <c r="V170" i="13"/>
  <c r="V169" i="13"/>
  <c r="V168" i="13"/>
  <c r="V167" i="13"/>
  <c r="V166" i="13"/>
  <c r="V165" i="13"/>
  <c r="V164" i="13"/>
  <c r="V159" i="13"/>
  <c r="V158" i="13"/>
  <c r="V157" i="13"/>
  <c r="V156" i="13"/>
  <c r="V155" i="13"/>
  <c r="V154" i="13"/>
  <c r="V153" i="13"/>
  <c r="V152" i="13"/>
  <c r="V151" i="13"/>
  <c r="V150" i="13"/>
  <c r="V149" i="13"/>
  <c r="V148" i="13"/>
  <c r="V147" i="13"/>
  <c r="V146" i="13"/>
  <c r="V145" i="13"/>
  <c r="V144" i="13"/>
  <c r="V143" i="13"/>
  <c r="V142" i="13"/>
  <c r="V141" i="13"/>
  <c r="V140" i="13"/>
  <c r="V139" i="13"/>
  <c r="V137" i="13"/>
  <c r="V136" i="13"/>
  <c r="V134" i="13"/>
  <c r="V128" i="13"/>
  <c r="V127" i="13"/>
  <c r="V126" i="13"/>
  <c r="V125" i="13"/>
  <c r="V124" i="13"/>
  <c r="V123" i="13"/>
  <c r="V118" i="13"/>
  <c r="V116" i="13"/>
  <c r="V112" i="13"/>
  <c r="V115" i="13"/>
  <c r="V113" i="13"/>
  <c r="V110" i="13"/>
  <c r="V109" i="13"/>
  <c r="V108" i="13"/>
  <c r="V107" i="13"/>
  <c r="V106" i="13"/>
  <c r="V105" i="13"/>
  <c r="V103" i="13"/>
  <c r="V102" i="13"/>
  <c r="V100" i="13"/>
  <c r="V95" i="13"/>
  <c r="V89" i="13"/>
  <c r="V83" i="13"/>
  <c r="V76" i="13"/>
  <c r="V75" i="13"/>
  <c r="V71" i="13"/>
  <c r="V69" i="13"/>
  <c r="V68" i="13"/>
  <c r="V66" i="13"/>
  <c r="V62" i="13"/>
  <c r="V60" i="13"/>
  <c r="V58" i="13"/>
  <c r="V53" i="13"/>
  <c r="V48" i="13"/>
  <c r="V382" i="13"/>
  <c r="V46" i="13"/>
  <c r="V45" i="13"/>
  <c r="V44" i="13"/>
  <c r="V42" i="13"/>
  <c r="V41" i="13"/>
  <c r="V39" i="13"/>
  <c r="V38" i="13"/>
  <c r="V36" i="13"/>
  <c r="V34" i="13"/>
  <c r="V25" i="13"/>
  <c r="V24" i="13"/>
  <c r="V21" i="13"/>
  <c r="V18" i="13"/>
  <c r="V17" i="13"/>
  <c r="V20" i="13"/>
  <c r="V15" i="13"/>
  <c r="V1101" i="13" l="1"/>
  <c r="V12" i="13"/>
  <c r="N11" i="13"/>
  <c r="R11" i="13"/>
  <c r="N802" i="13"/>
  <c r="N1050" i="13"/>
  <c r="V1050" i="13" s="1"/>
  <c r="N1049" i="13"/>
  <c r="V1049" i="13" s="1"/>
  <c r="N1048" i="13"/>
  <c r="V1048" i="13" s="1"/>
  <c r="N1047" i="13"/>
  <c r="V1047" i="13" s="1"/>
  <c r="N1002" i="13"/>
  <c r="V1002" i="13" s="1"/>
  <c r="N989" i="13"/>
  <c r="V989" i="13" s="1"/>
  <c r="N979" i="13"/>
  <c r="V979" i="13" s="1"/>
  <c r="N916" i="13"/>
  <c r="V916" i="13" s="1"/>
  <c r="N875" i="13"/>
  <c r="V875" i="13" s="1"/>
  <c r="N874" i="13"/>
  <c r="V874" i="13" s="1"/>
  <c r="N850" i="13"/>
  <c r="V850" i="13" s="1"/>
  <c r="N809" i="13"/>
  <c r="V809" i="13" s="1"/>
  <c r="N777" i="13"/>
  <c r="V777" i="13" s="1"/>
  <c r="N773" i="13"/>
  <c r="V773" i="13" s="1"/>
  <c r="N771" i="13"/>
  <c r="V771" i="13" s="1"/>
  <c r="N765" i="13"/>
  <c r="V765" i="13" s="1"/>
  <c r="N687" i="13"/>
  <c r="V687" i="13" s="1"/>
  <c r="N619" i="13"/>
  <c r="V619" i="13" s="1"/>
  <c r="N614" i="13"/>
  <c r="V614" i="13" s="1"/>
  <c r="N483" i="13"/>
  <c r="V483" i="13" s="1"/>
  <c r="N482" i="13"/>
  <c r="V482" i="13" s="1"/>
  <c r="N481" i="13"/>
  <c r="V481" i="13" s="1"/>
  <c r="N478" i="13"/>
  <c r="V478" i="13" s="1"/>
  <c r="N473" i="13"/>
  <c r="V473" i="13" s="1"/>
  <c r="N476" i="13"/>
  <c r="V476" i="13" s="1"/>
  <c r="N462" i="13"/>
  <c r="V462" i="13" s="1"/>
  <c r="N425" i="13"/>
  <c r="N408" i="13"/>
  <c r="V408" i="13" s="1"/>
  <c r="N407" i="13"/>
  <c r="V407" i="13" s="1"/>
  <c r="N406" i="13"/>
  <c r="N379" i="13"/>
  <c r="N378" i="13" s="1"/>
  <c r="N360" i="13"/>
  <c r="V360" i="13" s="1"/>
  <c r="N357" i="13"/>
  <c r="V357" i="13" s="1"/>
  <c r="N356" i="13"/>
  <c r="V356" i="13" s="1"/>
  <c r="N355" i="13"/>
  <c r="V355" i="13" s="1"/>
  <c r="N352" i="13"/>
  <c r="V352" i="13" s="1"/>
  <c r="N350" i="13"/>
  <c r="V350" i="13" s="1"/>
  <c r="N344" i="13"/>
  <c r="V344" i="13" s="1"/>
  <c r="N340" i="13"/>
  <c r="V340" i="13" s="1"/>
  <c r="N343" i="13"/>
  <c r="V343" i="13" s="1"/>
  <c r="N342" i="13"/>
  <c r="N349" i="13"/>
  <c r="V349" i="13" s="1"/>
  <c r="N348" i="13"/>
  <c r="V348" i="13" s="1"/>
  <c r="N347" i="13"/>
  <c r="V347" i="13" s="1"/>
  <c r="N346" i="13"/>
  <c r="V346" i="13" s="1"/>
  <c r="N345" i="13"/>
  <c r="V345" i="13" s="1"/>
  <c r="N353" i="13"/>
  <c r="V353" i="13" s="1"/>
  <c r="N354" i="13"/>
  <c r="V354" i="13" s="1"/>
  <c r="N362" i="13"/>
  <c r="N366" i="13"/>
  <c r="V366" i="13" s="1"/>
  <c r="N365" i="13"/>
  <c r="N370" i="13"/>
  <c r="V370" i="13" s="1"/>
  <c r="N369" i="13"/>
  <c r="V369" i="13" s="1"/>
  <c r="N368" i="13"/>
  <c r="N375" i="13"/>
  <c r="V375" i="13" s="1"/>
  <c r="N374" i="13"/>
  <c r="N377" i="13"/>
  <c r="N385" i="13"/>
  <c r="V385" i="13" s="1"/>
  <c r="N384" i="13"/>
  <c r="N390" i="13"/>
  <c r="V390" i="13" s="1"/>
  <c r="N389" i="13"/>
  <c r="V389" i="13" s="1"/>
  <c r="N388" i="13"/>
  <c r="V388" i="13" s="1"/>
  <c r="N392" i="13"/>
  <c r="V392" i="13" s="1"/>
  <c r="N397" i="13"/>
  <c r="V397" i="13" s="1"/>
  <c r="N396" i="13"/>
  <c r="N399" i="13"/>
  <c r="N402" i="13"/>
  <c r="V402" i="13" s="1"/>
  <c r="N404" i="13"/>
  <c r="N411" i="13"/>
  <c r="V411" i="13" s="1"/>
  <c r="N410" i="13"/>
  <c r="N414" i="13"/>
  <c r="V414" i="13" s="1"/>
  <c r="N413" i="13"/>
  <c r="N418" i="13"/>
  <c r="V418" i="13" s="1"/>
  <c r="N417" i="13"/>
  <c r="V417" i="13" s="1"/>
  <c r="N416" i="13"/>
  <c r="N420" i="13"/>
  <c r="V420" i="13" s="1"/>
  <c r="N423" i="13"/>
  <c r="N434" i="13"/>
  <c r="V434" i="13" s="1"/>
  <c r="N432" i="13"/>
  <c r="V432" i="13" s="1"/>
  <c r="N431" i="13"/>
  <c r="V431" i="13" s="1"/>
  <c r="N430" i="13"/>
  <c r="V430" i="13" s="1"/>
  <c r="N429" i="13"/>
  <c r="V429" i="13" s="1"/>
  <c r="V428" i="13"/>
  <c r="N427" i="13"/>
  <c r="V427" i="13" s="1"/>
  <c r="N438" i="13"/>
  <c r="V438" i="13" s="1"/>
  <c r="N443" i="13"/>
  <c r="V443" i="13" s="1"/>
  <c r="N442" i="13"/>
  <c r="V442" i="13" s="1"/>
  <c r="N441" i="13"/>
  <c r="V441" i="13" s="1"/>
  <c r="N440" i="13"/>
  <c r="V440" i="13" s="1"/>
  <c r="N439" i="13"/>
  <c r="V439" i="13" s="1"/>
  <c r="N437" i="13"/>
  <c r="V437" i="13" s="1"/>
  <c r="N436" i="13"/>
  <c r="V436" i="13" s="1"/>
  <c r="N445" i="13"/>
  <c r="N453" i="13"/>
  <c r="V453" i="13" s="1"/>
  <c r="N452" i="13"/>
  <c r="V452" i="13" s="1"/>
  <c r="N451" i="13"/>
  <c r="V451" i="13" s="1"/>
  <c r="N450" i="13"/>
  <c r="V450" i="13" s="1"/>
  <c r="N449" i="13"/>
  <c r="V449" i="13" s="1"/>
  <c r="N448" i="13"/>
  <c r="V448" i="13" s="1"/>
  <c r="N447" i="13"/>
  <c r="N459" i="13"/>
  <c r="V459" i="13" s="1"/>
  <c r="N460" i="13"/>
  <c r="V460" i="13" s="1"/>
  <c r="N461" i="13"/>
  <c r="V461" i="13" s="1"/>
  <c r="N463" i="13"/>
  <c r="V463" i="13" s="1"/>
  <c r="N465" i="13"/>
  <c r="N467" i="13"/>
  <c r="N471" i="13"/>
  <c r="V471" i="13" s="1"/>
  <c r="N470" i="13"/>
  <c r="N475" i="13"/>
  <c r="V475" i="13" s="1"/>
  <c r="N474" i="13"/>
  <c r="V474" i="13" s="1"/>
  <c r="N480" i="13"/>
  <c r="V480" i="13" s="1"/>
  <c r="N479" i="13"/>
  <c r="V479" i="13" s="1"/>
  <c r="N488" i="13"/>
  <c r="V488" i="13" s="1"/>
  <c r="N487" i="13"/>
  <c r="N501" i="13"/>
  <c r="V501" i="13" s="1"/>
  <c r="N500" i="13"/>
  <c r="V500" i="13" s="1"/>
  <c r="N498" i="13"/>
  <c r="V498" i="13" s="1"/>
  <c r="N499" i="13"/>
  <c r="V499" i="13" s="1"/>
  <c r="N497" i="13"/>
  <c r="V497" i="13" s="1"/>
  <c r="N496" i="13"/>
  <c r="V496" i="13" s="1"/>
  <c r="N495" i="13"/>
  <c r="V495" i="13" s="1"/>
  <c r="N494" i="13"/>
  <c r="V494" i="13" s="1"/>
  <c r="N493" i="13"/>
  <c r="N510" i="13"/>
  <c r="V510" i="13" s="1"/>
  <c r="N509" i="13"/>
  <c r="V509" i="13" s="1"/>
  <c r="N508" i="13"/>
  <c r="V508" i="13" s="1"/>
  <c r="N507" i="13"/>
  <c r="V507" i="13" s="1"/>
  <c r="N506" i="13"/>
  <c r="V506" i="13" s="1"/>
  <c r="N505" i="13"/>
  <c r="V505" i="13" s="1"/>
  <c r="N504" i="13"/>
  <c r="V504" i="13" s="1"/>
  <c r="N503" i="13"/>
  <c r="V503" i="13" s="1"/>
  <c r="N523" i="13"/>
  <c r="V523" i="13" s="1"/>
  <c r="N522" i="13"/>
  <c r="V522" i="13" s="1"/>
  <c r="N521" i="13"/>
  <c r="V521" i="13" s="1"/>
  <c r="N520" i="13"/>
  <c r="V520" i="13" s="1"/>
  <c r="N519" i="13"/>
  <c r="V519" i="13" s="1"/>
  <c r="N518" i="13"/>
  <c r="V518" i="13" s="1"/>
  <c r="N517" i="13"/>
  <c r="V517" i="13" s="1"/>
  <c r="N516" i="13"/>
  <c r="V516" i="13" s="1"/>
  <c r="N515" i="13"/>
  <c r="V515" i="13" s="1"/>
  <c r="N514" i="13"/>
  <c r="V514" i="13" s="1"/>
  <c r="N532" i="13"/>
  <c r="V532" i="13" s="1"/>
  <c r="N531" i="13"/>
  <c r="V531" i="13" s="1"/>
  <c r="N530" i="13"/>
  <c r="V530" i="13" s="1"/>
  <c r="N529" i="13"/>
  <c r="V529" i="13" s="1"/>
  <c r="N528" i="13"/>
  <c r="V528" i="13" s="1"/>
  <c r="N527" i="13"/>
  <c r="V527" i="13" s="1"/>
  <c r="N542" i="13"/>
  <c r="V542" i="13" s="1"/>
  <c r="N541" i="13"/>
  <c r="V541" i="13" s="1"/>
  <c r="N540" i="13"/>
  <c r="V540" i="13" s="1"/>
  <c r="N539" i="13"/>
  <c r="V539" i="13" s="1"/>
  <c r="N538" i="13"/>
  <c r="V538" i="13" s="1"/>
  <c r="N537" i="13"/>
  <c r="V537" i="13" s="1"/>
  <c r="N536" i="13"/>
  <c r="V536" i="13" s="1"/>
  <c r="N535" i="13"/>
  <c r="V535" i="13" s="1"/>
  <c r="N534" i="13"/>
  <c r="V534" i="13" s="1"/>
  <c r="N546" i="13"/>
  <c r="V546" i="13" s="1"/>
  <c r="N545" i="13"/>
  <c r="V545" i="13" s="1"/>
  <c r="N562" i="13"/>
  <c r="V562" i="13" s="1"/>
  <c r="N561" i="13"/>
  <c r="V561" i="13" s="1"/>
  <c r="N560" i="13"/>
  <c r="V560" i="13" s="1"/>
  <c r="N559" i="13"/>
  <c r="V559" i="13" s="1"/>
  <c r="N558" i="13"/>
  <c r="V558" i="13" s="1"/>
  <c r="N557" i="13"/>
  <c r="V557" i="13" s="1"/>
  <c r="N556" i="13"/>
  <c r="V556" i="13" s="1"/>
  <c r="N555" i="13"/>
  <c r="V555" i="13" s="1"/>
  <c r="N554" i="13"/>
  <c r="V554" i="13" s="1"/>
  <c r="N553" i="13"/>
  <c r="V553" i="13" s="1"/>
  <c r="N552" i="13"/>
  <c r="V552" i="13" s="1"/>
  <c r="N551" i="13"/>
  <c r="V551" i="13" s="1"/>
  <c r="N550" i="13"/>
  <c r="V550" i="13" s="1"/>
  <c r="N549" i="13"/>
  <c r="V549" i="13" s="1"/>
  <c r="N548" i="13"/>
  <c r="V548" i="13" s="1"/>
  <c r="N574" i="13"/>
  <c r="V574" i="13" s="1"/>
  <c r="N573" i="13"/>
  <c r="V573" i="13" s="1"/>
  <c r="N568" i="13"/>
  <c r="V568" i="13" s="1"/>
  <c r="N567" i="13"/>
  <c r="V567" i="13" s="1"/>
  <c r="N566" i="13"/>
  <c r="V566" i="13" s="1"/>
  <c r="N572" i="13"/>
  <c r="V572" i="13" s="1"/>
  <c r="N571" i="13"/>
  <c r="V571" i="13" s="1"/>
  <c r="N570" i="13"/>
  <c r="V570" i="13" s="1"/>
  <c r="N569" i="13"/>
  <c r="V569" i="13" s="1"/>
  <c r="N565" i="13"/>
  <c r="V565" i="13" s="1"/>
  <c r="N564" i="13"/>
  <c r="V564" i="13" s="1"/>
  <c r="N563" i="13"/>
  <c r="V563" i="13" s="1"/>
  <c r="N547" i="13"/>
  <c r="V547" i="13" s="1"/>
  <c r="N585" i="13"/>
  <c r="V585" i="13" s="1"/>
  <c r="N584" i="13"/>
  <c r="V584" i="13" s="1"/>
  <c r="N583" i="13"/>
  <c r="V583" i="13" s="1"/>
  <c r="N582" i="13"/>
  <c r="V582" i="13" s="1"/>
  <c r="N581" i="13"/>
  <c r="V581" i="13" s="1"/>
  <c r="N580" i="13"/>
  <c r="V580" i="13" s="1"/>
  <c r="N579" i="13"/>
  <c r="V579" i="13" s="1"/>
  <c r="N578" i="13"/>
  <c r="V578" i="13" s="1"/>
  <c r="N577" i="13"/>
  <c r="V577" i="13" s="1"/>
  <c r="N576" i="13"/>
  <c r="V576" i="13" s="1"/>
  <c r="N601" i="13"/>
  <c r="V601" i="13" s="1"/>
  <c r="N600" i="13"/>
  <c r="V600" i="13" s="1"/>
  <c r="N599" i="13"/>
  <c r="V599" i="13" s="1"/>
  <c r="N598" i="13"/>
  <c r="V598" i="13" s="1"/>
  <c r="N597" i="13"/>
  <c r="V597" i="13" s="1"/>
  <c r="N595" i="13"/>
  <c r="V595" i="13" s="1"/>
  <c r="N594" i="13"/>
  <c r="V594" i="13" s="1"/>
  <c r="N593" i="13"/>
  <c r="V593" i="13" s="1"/>
  <c r="N592" i="13"/>
  <c r="V592" i="13" s="1"/>
  <c r="N591" i="13"/>
  <c r="V591" i="13" s="1"/>
  <c r="N590" i="13"/>
  <c r="V590" i="13" s="1"/>
  <c r="N589" i="13"/>
  <c r="V589" i="13" s="1"/>
  <c r="N588" i="13"/>
  <c r="V588" i="13" s="1"/>
  <c r="N587" i="13"/>
  <c r="V587" i="13" s="1"/>
  <c r="N586" i="13"/>
  <c r="V586" i="13" s="1"/>
  <c r="N613" i="13"/>
  <c r="V613" i="13" s="1"/>
  <c r="N612" i="13"/>
  <c r="V612" i="13" s="1"/>
  <c r="N611" i="13"/>
  <c r="V611" i="13" s="1"/>
  <c r="N610" i="13"/>
  <c r="V610" i="13" s="1"/>
  <c r="N609" i="13"/>
  <c r="V609" i="13" s="1"/>
  <c r="N608" i="13"/>
  <c r="V608" i="13" s="1"/>
  <c r="N607" i="13"/>
  <c r="V607" i="13" s="1"/>
  <c r="N606" i="13"/>
  <c r="V606" i="13" s="1"/>
  <c r="N603" i="13"/>
  <c r="V603" i="13" s="1"/>
  <c r="N602" i="13"/>
  <c r="V602" i="13" s="1"/>
  <c r="N618" i="13"/>
  <c r="V618" i="13" s="1"/>
  <c r="N617" i="13"/>
  <c r="V617" i="13" s="1"/>
  <c r="N616" i="13"/>
  <c r="V616" i="13" s="1"/>
  <c r="N627" i="13"/>
  <c r="V627" i="13" s="1"/>
  <c r="N626" i="13"/>
  <c r="V626" i="13" s="1"/>
  <c r="N625" i="13"/>
  <c r="V625" i="13" s="1"/>
  <c r="N622" i="13"/>
  <c r="V622" i="13" s="1"/>
  <c r="N624" i="13"/>
  <c r="V624" i="13" s="1"/>
  <c r="N623" i="13"/>
  <c r="V623" i="13" s="1"/>
  <c r="N621" i="13"/>
  <c r="V621" i="13" s="1"/>
  <c r="N620" i="13"/>
  <c r="V620" i="13" s="1"/>
  <c r="N630" i="13"/>
  <c r="V630" i="13" s="1"/>
  <c r="N629" i="13"/>
  <c r="V629" i="13" s="1"/>
  <c r="N638" i="13"/>
  <c r="V638" i="13" s="1"/>
  <c r="N637" i="13"/>
  <c r="V637" i="13" s="1"/>
  <c r="N636" i="13"/>
  <c r="V636" i="13" s="1"/>
  <c r="N635" i="13"/>
  <c r="V635" i="13" s="1"/>
  <c r="N634" i="13"/>
  <c r="V634" i="13" s="1"/>
  <c r="N633" i="13"/>
  <c r="V633" i="13" s="1"/>
  <c r="V632" i="13"/>
  <c r="N631" i="13"/>
  <c r="V631" i="13" s="1"/>
  <c r="N640" i="13"/>
  <c r="V640" i="13" s="1"/>
  <c r="N658" i="13"/>
  <c r="V658" i="13" s="1"/>
  <c r="N657" i="13"/>
  <c r="V657" i="13" s="1"/>
  <c r="N656" i="13"/>
  <c r="V656" i="13" s="1"/>
  <c r="N655" i="13"/>
  <c r="V655" i="13" s="1"/>
  <c r="N654" i="13"/>
  <c r="V654" i="13" s="1"/>
  <c r="N653" i="13"/>
  <c r="V653" i="13" s="1"/>
  <c r="N649" i="13"/>
  <c r="V649" i="13" s="1"/>
  <c r="N652" i="13"/>
  <c r="V652" i="13" s="1"/>
  <c r="N651" i="13"/>
  <c r="V651" i="13" s="1"/>
  <c r="N650" i="13"/>
  <c r="V650" i="13" s="1"/>
  <c r="N648" i="13"/>
  <c r="V648" i="13" s="1"/>
  <c r="N647" i="13"/>
  <c r="V647" i="13" s="1"/>
  <c r="N646" i="13"/>
  <c r="V646" i="13" s="1"/>
  <c r="N645" i="13"/>
  <c r="V645" i="13" s="1"/>
  <c r="N644" i="13"/>
  <c r="V644" i="13" s="1"/>
  <c r="N643" i="13"/>
  <c r="V643" i="13" s="1"/>
  <c r="N642" i="13"/>
  <c r="V642" i="13" s="1"/>
  <c r="N665" i="13"/>
  <c r="V665" i="13" s="1"/>
  <c r="N664" i="13"/>
  <c r="V664" i="13" s="1"/>
  <c r="N662" i="13"/>
  <c r="V662" i="13" s="1"/>
  <c r="N663" i="13"/>
  <c r="V663" i="13" s="1"/>
  <c r="N670" i="13"/>
  <c r="V670" i="13" s="1"/>
  <c r="N686" i="13"/>
  <c r="V686" i="13" s="1"/>
  <c r="N685" i="13"/>
  <c r="V685" i="13" s="1"/>
  <c r="N684" i="13"/>
  <c r="V684" i="13" s="1"/>
  <c r="N683" i="13"/>
  <c r="V683" i="13" s="1"/>
  <c r="N682" i="13"/>
  <c r="V682" i="13" s="1"/>
  <c r="N676" i="13"/>
  <c r="V676" i="13" s="1"/>
  <c r="N679" i="13"/>
  <c r="V679" i="13" s="1"/>
  <c r="N678" i="13"/>
  <c r="V678" i="13" s="1"/>
  <c r="N677" i="13"/>
  <c r="V677" i="13" s="1"/>
  <c r="N675" i="13"/>
  <c r="V675" i="13" s="1"/>
  <c r="N674" i="13"/>
  <c r="V674" i="13" s="1"/>
  <c r="N673" i="13"/>
  <c r="V673" i="13" s="1"/>
  <c r="N672" i="13"/>
  <c r="V672" i="13" s="1"/>
  <c r="N671" i="13"/>
  <c r="V671" i="13" s="1"/>
  <c r="N701" i="13"/>
  <c r="V701" i="13" s="1"/>
  <c r="N700" i="13"/>
  <c r="V700" i="13" s="1"/>
  <c r="N699" i="13"/>
  <c r="V699" i="13" s="1"/>
  <c r="N698" i="13"/>
  <c r="V698" i="13" s="1"/>
  <c r="N697" i="13"/>
  <c r="V697" i="13" s="1"/>
  <c r="N696" i="13"/>
  <c r="V696" i="13" s="1"/>
  <c r="N695" i="13"/>
  <c r="V695" i="13" s="1"/>
  <c r="N681" i="13"/>
  <c r="V681" i="13" s="1"/>
  <c r="N680" i="13"/>
  <c r="V680" i="13" s="1"/>
  <c r="N694" i="13"/>
  <c r="V694" i="13" s="1"/>
  <c r="N693" i="13"/>
  <c r="V693" i="13" s="1"/>
  <c r="N692" i="13"/>
  <c r="V692" i="13" s="1"/>
  <c r="N691" i="13"/>
  <c r="V691" i="13" s="1"/>
  <c r="N690" i="13"/>
  <c r="V690" i="13" s="1"/>
  <c r="N689" i="13"/>
  <c r="V689" i="13" s="1"/>
  <c r="N688" i="13"/>
  <c r="V688" i="13" s="1"/>
  <c r="N705" i="13"/>
  <c r="V705" i="13" s="1"/>
  <c r="N704" i="13"/>
  <c r="V704" i="13" s="1"/>
  <c r="N703" i="13"/>
  <c r="N710" i="13"/>
  <c r="V710" i="13" s="1"/>
  <c r="N709" i="13"/>
  <c r="N717" i="13"/>
  <c r="V717" i="13" s="1"/>
  <c r="N716" i="13"/>
  <c r="V716" i="13" s="1"/>
  <c r="N715" i="13"/>
  <c r="V715" i="13" s="1"/>
  <c r="N714" i="13"/>
  <c r="V714" i="13" s="1"/>
  <c r="N713" i="13"/>
  <c r="V713" i="13" s="1"/>
  <c r="N712" i="13"/>
  <c r="N720" i="13"/>
  <c r="V720" i="13" s="1"/>
  <c r="N723" i="13"/>
  <c r="N727" i="13"/>
  <c r="V727" i="13" s="1"/>
  <c r="N726" i="13"/>
  <c r="V726" i="13" s="1"/>
  <c r="N725" i="13"/>
  <c r="N729" i="13"/>
  <c r="N732" i="13"/>
  <c r="V732" i="13" s="1"/>
  <c r="N731" i="13"/>
  <c r="N733" i="13"/>
  <c r="V733" i="13" s="1"/>
  <c r="N735" i="13"/>
  <c r="N739" i="13"/>
  <c r="N747" i="13"/>
  <c r="V747" i="13" s="1"/>
  <c r="N746" i="13"/>
  <c r="V746" i="13" s="1"/>
  <c r="N745" i="13"/>
  <c r="V745" i="13" s="1"/>
  <c r="N744" i="13"/>
  <c r="V744" i="13" s="1"/>
  <c r="N743" i="13"/>
  <c r="V743" i="13" s="1"/>
  <c r="N742" i="13"/>
  <c r="V742" i="13" s="1"/>
  <c r="N741" i="13"/>
  <c r="N753" i="13"/>
  <c r="V753" i="13" s="1"/>
  <c r="N752" i="13"/>
  <c r="V752" i="13" s="1"/>
  <c r="N751" i="13"/>
  <c r="V751" i="13" s="1"/>
  <c r="N750" i="13"/>
  <c r="V750" i="13" s="1"/>
  <c r="N749" i="13"/>
  <c r="V749" i="13" s="1"/>
  <c r="N755" i="13"/>
  <c r="N763" i="13"/>
  <c r="V763" i="13" s="1"/>
  <c r="N762" i="13"/>
  <c r="N767" i="13"/>
  <c r="V767" i="13" s="1"/>
  <c r="N769" i="13"/>
  <c r="V769" i="13" s="1"/>
  <c r="N772" i="13"/>
  <c r="V772" i="13" s="1"/>
  <c r="N776" i="13"/>
  <c r="V776" i="13" s="1"/>
  <c r="N775" i="13"/>
  <c r="V775" i="13" s="1"/>
  <c r="N774" i="13"/>
  <c r="V774" i="13" s="1"/>
  <c r="N783" i="13"/>
  <c r="V783" i="13" s="1"/>
  <c r="N782" i="13"/>
  <c r="V782" i="13" s="1"/>
  <c r="N781" i="13"/>
  <c r="V781" i="13" s="1"/>
  <c r="N778" i="13"/>
  <c r="V778" i="13" s="1"/>
  <c r="N780" i="13"/>
  <c r="V780" i="13" s="1"/>
  <c r="N786" i="13"/>
  <c r="V786" i="13" s="1"/>
  <c r="N785" i="13"/>
  <c r="N790" i="13"/>
  <c r="V790" i="13" s="1"/>
  <c r="N789" i="13"/>
  <c r="N796" i="13"/>
  <c r="V796" i="13" s="1"/>
  <c r="N795" i="13"/>
  <c r="N800" i="13"/>
  <c r="V800" i="13" s="1"/>
  <c r="N799" i="13"/>
  <c r="V799" i="13" s="1"/>
  <c r="N798" i="13"/>
  <c r="N808" i="13"/>
  <c r="V808" i="13" s="1"/>
  <c r="N807" i="13"/>
  <c r="N810" i="13"/>
  <c r="V810" i="13" s="1"/>
  <c r="N812" i="13"/>
  <c r="N823" i="13"/>
  <c r="V823" i="13" s="1"/>
  <c r="N822" i="13"/>
  <c r="N826" i="13"/>
  <c r="N828" i="13"/>
  <c r="N830" i="13"/>
  <c r="N832" i="13"/>
  <c r="N835" i="13"/>
  <c r="V835" i="13" s="1"/>
  <c r="N834" i="13"/>
  <c r="N837" i="13"/>
  <c r="V837" i="13" s="1"/>
  <c r="N839" i="13"/>
  <c r="N848" i="13"/>
  <c r="V848" i="13" s="1"/>
  <c r="N847" i="13"/>
  <c r="V847" i="13" s="1"/>
  <c r="N846" i="13"/>
  <c r="V846" i="13" s="1"/>
  <c r="N845" i="13"/>
  <c r="V845" i="13" s="1"/>
  <c r="N844" i="13"/>
  <c r="V844" i="13" s="1"/>
  <c r="N843" i="13"/>
  <c r="V843" i="13" s="1"/>
  <c r="N842" i="13"/>
  <c r="V842" i="13" s="1"/>
  <c r="N841" i="13"/>
  <c r="N855" i="13"/>
  <c r="V855" i="13" s="1"/>
  <c r="N854" i="13"/>
  <c r="V854" i="13" s="1"/>
  <c r="N853" i="13"/>
  <c r="V853" i="13" s="1"/>
  <c r="N852" i="13"/>
  <c r="V852" i="13" s="1"/>
  <c r="N851" i="13"/>
  <c r="V851" i="13" s="1"/>
  <c r="N860" i="13"/>
  <c r="V860" i="13" s="1"/>
  <c r="N859" i="13"/>
  <c r="V859" i="13" s="1"/>
  <c r="N857" i="13"/>
  <c r="N865" i="13"/>
  <c r="V865" i="13" s="1"/>
  <c r="N863" i="13"/>
  <c r="V863" i="13" s="1"/>
  <c r="N864" i="13"/>
  <c r="V864" i="13" s="1"/>
  <c r="N862" i="13"/>
  <c r="N867" i="13"/>
  <c r="N872" i="13"/>
  <c r="V872" i="13" s="1"/>
  <c r="N873" i="13"/>
  <c r="V873" i="13" s="1"/>
  <c r="N877" i="13"/>
  <c r="V877" i="13" s="1"/>
  <c r="N876" i="13"/>
  <c r="V876" i="13" s="1"/>
  <c r="N881" i="13"/>
  <c r="V881" i="13" s="1"/>
  <c r="N880" i="13"/>
  <c r="N884" i="13"/>
  <c r="V884" i="13" s="1"/>
  <c r="N883" i="13"/>
  <c r="N886" i="13"/>
  <c r="N892" i="13"/>
  <c r="V892" i="13" s="1"/>
  <c r="N891" i="13"/>
  <c r="V891" i="13" s="1"/>
  <c r="N890" i="13"/>
  <c r="V890" i="13" s="1"/>
  <c r="N889" i="13"/>
  <c r="V889" i="13" s="1"/>
  <c r="N888" i="13"/>
  <c r="V888" i="13" s="1"/>
  <c r="N897" i="13"/>
  <c r="V897" i="13" s="1"/>
  <c r="N896" i="13"/>
  <c r="V896" i="13" s="1"/>
  <c r="N895" i="13"/>
  <c r="V895" i="13" s="1"/>
  <c r="N894" i="13"/>
  <c r="V894" i="13" s="1"/>
  <c r="N907" i="13"/>
  <c r="V907" i="13" s="1"/>
  <c r="N906" i="13"/>
  <c r="V906" i="13" s="1"/>
  <c r="N905" i="13"/>
  <c r="V905" i="13" s="1"/>
  <c r="N904" i="13"/>
  <c r="V904" i="13" s="1"/>
  <c r="N903" i="13"/>
  <c r="V903" i="13" s="1"/>
  <c r="N902" i="13"/>
  <c r="V902" i="13" s="1"/>
  <c r="N901" i="13"/>
  <c r="V901" i="13" s="1"/>
  <c r="N900" i="13"/>
  <c r="V900" i="13" s="1"/>
  <c r="N899" i="13"/>
  <c r="V899" i="13" s="1"/>
  <c r="N898" i="13"/>
  <c r="V898" i="13" s="1"/>
  <c r="N915" i="13"/>
  <c r="V915" i="13" s="1"/>
  <c r="N914" i="13"/>
  <c r="V914" i="13" s="1"/>
  <c r="N913" i="13"/>
  <c r="V913" i="13" s="1"/>
  <c r="N912" i="13"/>
  <c r="V912" i="13" s="1"/>
  <c r="N911" i="13"/>
  <c r="V911" i="13" s="1"/>
  <c r="N910" i="13"/>
  <c r="V910" i="13" s="1"/>
  <c r="N909" i="13"/>
  <c r="V909" i="13" s="1"/>
  <c r="N919" i="13"/>
  <c r="V919" i="13" s="1"/>
  <c r="N918" i="13"/>
  <c r="V918" i="13" s="1"/>
  <c r="N929" i="13"/>
  <c r="V929" i="13" s="1"/>
  <c r="N917" i="13"/>
  <c r="V917" i="13" s="1"/>
  <c r="N933" i="13"/>
  <c r="V933" i="13" s="1"/>
  <c r="N932" i="13"/>
  <c r="V932" i="13" s="1"/>
  <c r="N931" i="13"/>
  <c r="V931" i="13" s="1"/>
  <c r="N930" i="13"/>
  <c r="V930" i="13" s="1"/>
  <c r="N928" i="13"/>
  <c r="V928" i="13" s="1"/>
  <c r="N927" i="13"/>
  <c r="V927" i="13" s="1"/>
  <c r="N926" i="13"/>
  <c r="V926" i="13" s="1"/>
  <c r="N925" i="13"/>
  <c r="V925" i="13" s="1"/>
  <c r="N924" i="13"/>
  <c r="V924" i="13" s="1"/>
  <c r="N923" i="13"/>
  <c r="V923" i="13" s="1"/>
  <c r="N922" i="13"/>
  <c r="V922" i="13" s="1"/>
  <c r="N921" i="13"/>
  <c r="V921" i="13" s="1"/>
  <c r="N920" i="13"/>
  <c r="V920" i="13" s="1"/>
  <c r="N938" i="13"/>
  <c r="V938" i="13" s="1"/>
  <c r="N937" i="13"/>
  <c r="V937" i="13" s="1"/>
  <c r="N936" i="13"/>
  <c r="V936" i="13" s="1"/>
  <c r="N935" i="13"/>
  <c r="V935" i="13" s="1"/>
  <c r="N947" i="13"/>
  <c r="V947" i="13" s="1"/>
  <c r="N946" i="13"/>
  <c r="V946" i="13" s="1"/>
  <c r="N945" i="13"/>
  <c r="V945" i="13" s="1"/>
  <c r="N944" i="13"/>
  <c r="V944" i="13" s="1"/>
  <c r="N943" i="13"/>
  <c r="V943" i="13" s="1"/>
  <c r="N942" i="13"/>
  <c r="V942" i="13" s="1"/>
  <c r="N941" i="13"/>
  <c r="V941" i="13" s="1"/>
  <c r="N940" i="13"/>
  <c r="V940" i="13" s="1"/>
  <c r="N939" i="13"/>
  <c r="V939" i="13" s="1"/>
  <c r="N954" i="13"/>
  <c r="V954" i="13" s="1"/>
  <c r="N961" i="13"/>
  <c r="V961" i="13" s="1"/>
  <c r="N955" i="13"/>
  <c r="V955" i="13" s="1"/>
  <c r="N953" i="13"/>
  <c r="V953" i="13" s="1"/>
  <c r="N952" i="13"/>
  <c r="V952" i="13" s="1"/>
  <c r="N951" i="13"/>
  <c r="V951" i="13" s="1"/>
  <c r="N949" i="13"/>
  <c r="V949" i="13" s="1"/>
  <c r="N950" i="13"/>
  <c r="V950" i="13" s="1"/>
  <c r="N948" i="13"/>
  <c r="V948" i="13" s="1"/>
  <c r="N964" i="13"/>
  <c r="V964" i="13" s="1"/>
  <c r="N960" i="13"/>
  <c r="V960" i="13" s="1"/>
  <c r="N959" i="13"/>
  <c r="V959" i="13" s="1"/>
  <c r="N958" i="13"/>
  <c r="V958" i="13" s="1"/>
  <c r="N957" i="13"/>
  <c r="V957" i="13" s="1"/>
  <c r="N963" i="13"/>
  <c r="V963" i="13" s="1"/>
  <c r="N962" i="13"/>
  <c r="V962" i="13" s="1"/>
  <c r="N956" i="13"/>
  <c r="V956" i="13" s="1"/>
  <c r="N971" i="13"/>
  <c r="V971" i="13" s="1"/>
  <c r="N970" i="13"/>
  <c r="V970" i="13" s="1"/>
  <c r="N969" i="13"/>
  <c r="V969" i="13" s="1"/>
  <c r="N968" i="13"/>
  <c r="V968" i="13" s="1"/>
  <c r="N967" i="13"/>
  <c r="V967" i="13" s="1"/>
  <c r="N978" i="13"/>
  <c r="V978" i="13" s="1"/>
  <c r="N977" i="13"/>
  <c r="V977" i="13" s="1"/>
  <c r="N976" i="13"/>
  <c r="V976" i="13" s="1"/>
  <c r="N975" i="13"/>
  <c r="V975" i="13" s="1"/>
  <c r="N974" i="13"/>
  <c r="V974" i="13" s="1"/>
  <c r="N973" i="13"/>
  <c r="V973" i="13" s="1"/>
  <c r="N972" i="13"/>
  <c r="V972" i="13" s="1"/>
  <c r="N981" i="13"/>
  <c r="V981" i="13" s="1"/>
  <c r="N988" i="13"/>
  <c r="V988" i="13" s="1"/>
  <c r="N987" i="13"/>
  <c r="V987" i="13" s="1"/>
  <c r="N986" i="13"/>
  <c r="V986" i="13" s="1"/>
  <c r="N985" i="13"/>
  <c r="V985" i="13" s="1"/>
  <c r="N984" i="13"/>
  <c r="V984" i="13" s="1"/>
  <c r="N983" i="13"/>
  <c r="V983" i="13" s="1"/>
  <c r="N982" i="13"/>
  <c r="V982" i="13" s="1"/>
  <c r="N994" i="13"/>
  <c r="V994" i="13" s="1"/>
  <c r="N997" i="13"/>
  <c r="V997" i="13" s="1"/>
  <c r="N996" i="13"/>
  <c r="V996" i="13" s="1"/>
  <c r="N995" i="13"/>
  <c r="V995" i="13" s="1"/>
  <c r="N993" i="13"/>
  <c r="V993" i="13" s="1"/>
  <c r="N992" i="13"/>
  <c r="V992" i="13" s="1"/>
  <c r="N991" i="13"/>
  <c r="V991" i="13" s="1"/>
  <c r="N990" i="13"/>
  <c r="V990" i="13" s="1"/>
  <c r="N1000" i="13"/>
  <c r="V1000" i="13" s="1"/>
  <c r="N998" i="13"/>
  <c r="V998" i="13" s="1"/>
  <c r="N1001" i="13"/>
  <c r="V1001" i="13" s="1"/>
  <c r="N1007" i="13"/>
  <c r="V1007" i="13" s="1"/>
  <c r="N1006" i="13"/>
  <c r="V1006" i="13" s="1"/>
  <c r="N1005" i="13"/>
  <c r="V1005" i="13" s="1"/>
  <c r="N1008" i="13"/>
  <c r="V1008" i="13" s="1"/>
  <c r="N1016" i="13"/>
  <c r="V1016" i="13" s="1"/>
  <c r="N1015" i="13"/>
  <c r="V1015" i="13" s="1"/>
  <c r="N1014" i="13"/>
  <c r="V1014" i="13" s="1"/>
  <c r="N1013" i="13"/>
  <c r="V1013" i="13" s="1"/>
  <c r="N1012" i="13"/>
  <c r="V1012" i="13" s="1"/>
  <c r="N1011" i="13"/>
  <c r="V1011" i="13" s="1"/>
  <c r="N1010" i="13"/>
  <c r="V1010" i="13" s="1"/>
  <c r="N1009" i="13"/>
  <c r="V1009" i="13" s="1"/>
  <c r="N1026" i="13"/>
  <c r="V1026" i="13" s="1"/>
  <c r="N1025" i="13"/>
  <c r="V1025" i="13" s="1"/>
  <c r="N1027" i="13"/>
  <c r="V1027" i="13" s="1"/>
  <c r="N1024" i="13"/>
  <c r="V1024" i="13" s="1"/>
  <c r="N1023" i="13"/>
  <c r="V1023" i="13" s="1"/>
  <c r="N1018" i="13"/>
  <c r="V1018" i="13" s="1"/>
  <c r="N1017" i="13"/>
  <c r="V1017" i="13" s="1"/>
  <c r="N1022" i="13"/>
  <c r="V1022" i="13" s="1"/>
  <c r="N1021" i="13"/>
  <c r="V1021" i="13" s="1"/>
  <c r="N1020" i="13"/>
  <c r="V1020" i="13" s="1"/>
  <c r="N1019" i="13"/>
  <c r="V1019" i="13" s="1"/>
  <c r="N1030" i="13"/>
  <c r="V1030" i="13" s="1"/>
  <c r="N1034" i="13"/>
  <c r="V1034" i="13" s="1"/>
  <c r="N1033" i="13"/>
  <c r="V1033" i="13" s="1"/>
  <c r="N1029" i="13"/>
  <c r="V1029" i="13" s="1"/>
  <c r="N1044" i="13"/>
  <c r="V1044" i="13" s="1"/>
  <c r="N1043" i="13"/>
  <c r="V1043" i="13" s="1"/>
  <c r="N1042" i="13"/>
  <c r="V1042" i="13" s="1"/>
  <c r="N1041" i="13"/>
  <c r="V1041" i="13" s="1"/>
  <c r="N1040" i="13"/>
  <c r="V1040" i="13" s="1"/>
  <c r="N1039" i="13"/>
  <c r="V1039" i="13" s="1"/>
  <c r="N1038" i="13"/>
  <c r="V1038" i="13" s="1"/>
  <c r="N1037" i="13"/>
  <c r="V1037" i="13" s="1"/>
  <c r="N1036" i="13"/>
  <c r="V1036" i="13" s="1"/>
  <c r="N1035" i="13"/>
  <c r="V1035" i="13" s="1"/>
  <c r="N1058" i="13"/>
  <c r="V1058" i="13" s="1"/>
  <c r="N1057" i="13"/>
  <c r="V1057" i="13" s="1"/>
  <c r="N1056" i="13"/>
  <c r="V1056" i="13" s="1"/>
  <c r="N1055" i="13"/>
  <c r="V1055" i="13" s="1"/>
  <c r="N1054" i="13"/>
  <c r="V1054" i="13" s="1"/>
  <c r="N1053" i="13"/>
  <c r="V1053" i="13" s="1"/>
  <c r="N1052" i="13"/>
  <c r="V1052" i="13" s="1"/>
  <c r="N1051" i="13"/>
  <c r="V1051" i="13" s="1"/>
  <c r="N1062" i="13"/>
  <c r="N1066" i="13"/>
  <c r="N1070" i="13"/>
  <c r="V1070" i="13" s="1"/>
  <c r="N1069" i="13"/>
  <c r="V1069" i="13" s="1"/>
  <c r="N1068" i="13"/>
  <c r="N718" i="13"/>
  <c r="V718" i="13" s="1"/>
  <c r="N1073" i="13"/>
  <c r="V1073" i="13" s="1"/>
  <c r="N1072" i="13"/>
  <c r="N1076" i="13"/>
  <c r="V1076" i="13" s="1"/>
  <c r="N1075" i="13"/>
  <c r="N1078" i="13"/>
  <c r="N1082" i="13"/>
  <c r="N1085" i="13"/>
  <c r="V1085" i="13" s="1"/>
  <c r="N1084" i="13"/>
  <c r="N1094" i="13"/>
  <c r="V1094" i="13" s="1"/>
  <c r="N1093" i="13"/>
  <c r="V1093" i="13" s="1"/>
  <c r="N1092" i="13"/>
  <c r="N1100" i="13"/>
  <c r="V1100" i="13" s="1"/>
  <c r="N1099" i="13"/>
  <c r="V1099" i="13" s="1"/>
  <c r="N1098" i="13"/>
  <c r="V1098" i="13" s="1"/>
  <c r="N1097" i="13"/>
  <c r="V1097" i="13" s="1"/>
  <c r="N1096" i="13"/>
  <c r="V1096" i="13" s="1"/>
  <c r="N1091" i="13"/>
  <c r="V1091" i="13" s="1"/>
  <c r="N1090" i="13"/>
  <c r="V1090" i="13" s="1"/>
  <c r="N1089" i="13"/>
  <c r="N1106" i="13"/>
  <c r="V1106" i="13" s="1"/>
  <c r="N1107" i="13"/>
  <c r="V1107" i="13" s="1"/>
  <c r="V1095" i="13"/>
  <c r="V1087" i="13"/>
  <c r="V1080" i="13"/>
  <c r="V1064" i="13"/>
  <c r="V1060" i="13"/>
  <c r="V1045" i="13"/>
  <c r="V1032" i="13"/>
  <c r="V1031" i="13"/>
  <c r="V1028" i="13"/>
  <c r="V999" i="13"/>
  <c r="V966" i="13"/>
  <c r="V965" i="13"/>
  <c r="V934" i="13"/>
  <c r="V893" i="13"/>
  <c r="V887" i="13"/>
  <c r="V878" i="13"/>
  <c r="V871" i="13"/>
  <c r="V869" i="13"/>
  <c r="V849" i="13"/>
  <c r="V836" i="13"/>
  <c r="V820" i="13"/>
  <c r="V805" i="13"/>
  <c r="V804" i="13"/>
  <c r="V793" i="13"/>
  <c r="V792" i="13"/>
  <c r="V788" i="13"/>
  <c r="V779" i="13"/>
  <c r="V770" i="13"/>
  <c r="V768" i="13"/>
  <c r="V766" i="13"/>
  <c r="V748" i="13"/>
  <c r="V721" i="13"/>
  <c r="V719" i="13"/>
  <c r="V669" i="13"/>
  <c r="V668" i="13"/>
  <c r="V667" i="13"/>
  <c r="V666" i="13"/>
  <c r="V661" i="13"/>
  <c r="V641" i="13"/>
  <c r="V639" i="13"/>
  <c r="V1004" i="13"/>
  <c r="V1003" i="13"/>
  <c r="V628" i="13"/>
  <c r="V575" i="13"/>
  <c r="V543" i="13"/>
  <c r="V533" i="13"/>
  <c r="V908" i="13"/>
  <c r="V526" i="13"/>
  <c r="V525" i="13"/>
  <c r="V513" i="13"/>
  <c r="V512" i="13"/>
  <c r="V502" i="13"/>
  <c r="V492" i="13"/>
  <c r="V485" i="13"/>
  <c r="V477" i="13"/>
  <c r="V472" i="13"/>
  <c r="V469" i="13"/>
  <c r="V455" i="13"/>
  <c r="V454" i="13"/>
  <c r="V426" i="13"/>
  <c r="V421" i="13"/>
  <c r="V419" i="13"/>
  <c r="V394" i="13"/>
  <c r="V387" i="13"/>
  <c r="V381" i="13"/>
  <c r="V380" i="13"/>
  <c r="V372" i="13"/>
  <c r="V364" i="13"/>
  <c r="V359" i="13"/>
  <c r="V358" i="13"/>
  <c r="R1107" i="13"/>
  <c r="R1106" i="13"/>
  <c r="R1100" i="13"/>
  <c r="R1099" i="13"/>
  <c r="R1098" i="13"/>
  <c r="R1097" i="13"/>
  <c r="R1096" i="13"/>
  <c r="R1091" i="13"/>
  <c r="R1090" i="13"/>
  <c r="R1089" i="13"/>
  <c r="R1095" i="13"/>
  <c r="R1094" i="13"/>
  <c r="R1093" i="13"/>
  <c r="R1092" i="13"/>
  <c r="R1087" i="13"/>
  <c r="R1086" i="13" s="1"/>
  <c r="R1084" i="13"/>
  <c r="R1083" i="13" s="1"/>
  <c r="R1082" i="13"/>
  <c r="R1081" i="13" s="1"/>
  <c r="R1078" i="13"/>
  <c r="R1077" i="13" s="1"/>
  <c r="R1076" i="13"/>
  <c r="R1075" i="13"/>
  <c r="R718" i="13"/>
  <c r="R1073" i="13"/>
  <c r="R1072" i="13"/>
  <c r="R1070" i="13"/>
  <c r="R1069" i="13"/>
  <c r="R1068" i="13"/>
  <c r="R1066" i="13"/>
  <c r="R1065" i="13" s="1"/>
  <c r="R1062" i="13"/>
  <c r="R1061" i="13" s="1"/>
  <c r="R1060" i="13"/>
  <c r="R1059" i="13" s="1"/>
  <c r="R1058" i="13"/>
  <c r="R1057" i="13"/>
  <c r="R1056" i="13"/>
  <c r="R1055" i="13"/>
  <c r="R1054" i="13"/>
  <c r="R1053" i="13"/>
  <c r="R1052" i="13"/>
  <c r="R1051" i="13"/>
  <c r="R1050" i="13"/>
  <c r="R1049" i="13"/>
  <c r="R1048" i="13"/>
  <c r="R1047" i="13"/>
  <c r="R1045" i="13"/>
  <c r="R1044" i="13"/>
  <c r="R1043" i="13"/>
  <c r="R1042" i="13"/>
  <c r="R1041" i="13"/>
  <c r="R1040" i="13"/>
  <c r="R1039" i="13"/>
  <c r="R1038" i="13"/>
  <c r="R1037" i="13"/>
  <c r="R1036" i="13"/>
  <c r="R1035" i="13"/>
  <c r="R1032" i="13"/>
  <c r="R1031" i="13"/>
  <c r="R1030" i="13"/>
  <c r="R1034" i="13"/>
  <c r="R1033" i="13"/>
  <c r="R1029" i="13"/>
  <c r="R1028" i="13"/>
  <c r="R1026" i="13"/>
  <c r="R1025" i="13"/>
  <c r="R1027" i="13"/>
  <c r="R1024" i="13"/>
  <c r="R1023" i="13"/>
  <c r="R1018" i="13"/>
  <c r="R1017" i="13"/>
  <c r="R1022" i="13"/>
  <c r="R1021" i="13"/>
  <c r="R1020" i="13"/>
  <c r="R1019" i="13"/>
  <c r="R1016" i="13"/>
  <c r="R1015" i="13"/>
  <c r="R1014" i="13"/>
  <c r="R1013" i="13"/>
  <c r="R1012" i="13"/>
  <c r="R1011" i="13"/>
  <c r="R1010" i="13"/>
  <c r="R1009" i="13"/>
  <c r="R1008" i="13"/>
  <c r="R1007" i="13"/>
  <c r="R1006" i="13"/>
  <c r="R1005" i="13"/>
  <c r="R1002" i="13"/>
  <c r="R1001" i="13"/>
  <c r="R1000" i="13"/>
  <c r="R998" i="13"/>
  <c r="R999" i="13"/>
  <c r="R994" i="13"/>
  <c r="R997" i="13"/>
  <c r="R996" i="13"/>
  <c r="R995" i="13"/>
  <c r="R993" i="13"/>
  <c r="R992" i="13"/>
  <c r="R991" i="13"/>
  <c r="R990" i="13"/>
  <c r="R989" i="13"/>
  <c r="R988" i="13"/>
  <c r="R987" i="13"/>
  <c r="R986" i="13"/>
  <c r="R985" i="13"/>
  <c r="R984" i="13"/>
  <c r="R983" i="13"/>
  <c r="R982" i="13"/>
  <c r="R981" i="13"/>
  <c r="R979" i="13"/>
  <c r="R978" i="13"/>
  <c r="R977" i="13"/>
  <c r="R976" i="13"/>
  <c r="R975" i="13"/>
  <c r="R974" i="13"/>
  <c r="R973" i="13"/>
  <c r="R972" i="13"/>
  <c r="R971" i="13"/>
  <c r="R970" i="13"/>
  <c r="R969" i="13"/>
  <c r="R968" i="13"/>
  <c r="R967" i="13"/>
  <c r="R966" i="13"/>
  <c r="R965" i="13"/>
  <c r="R964" i="13"/>
  <c r="R960" i="13"/>
  <c r="R959" i="13"/>
  <c r="R958" i="13"/>
  <c r="R957" i="13"/>
  <c r="R963" i="13"/>
  <c r="R962" i="13"/>
  <c r="R956" i="13"/>
  <c r="R954" i="13"/>
  <c r="R961" i="13"/>
  <c r="R955" i="13"/>
  <c r="R953" i="13"/>
  <c r="R952" i="13"/>
  <c r="R951" i="13"/>
  <c r="R949" i="13"/>
  <c r="R950" i="13"/>
  <c r="R948" i="13"/>
  <c r="R947" i="13"/>
  <c r="R946" i="13"/>
  <c r="R945" i="13"/>
  <c r="R944" i="13"/>
  <c r="R943" i="13"/>
  <c r="R942" i="13"/>
  <c r="R941" i="13"/>
  <c r="R940" i="13"/>
  <c r="R939" i="13"/>
  <c r="R938" i="13"/>
  <c r="R937" i="13"/>
  <c r="R936" i="13"/>
  <c r="R935" i="13"/>
  <c r="R934" i="13"/>
  <c r="R933" i="13"/>
  <c r="R932" i="13"/>
  <c r="R931" i="13"/>
  <c r="R930" i="13"/>
  <c r="R928" i="13"/>
  <c r="R927" i="13"/>
  <c r="R926" i="13"/>
  <c r="R925" i="13"/>
  <c r="R924" i="13"/>
  <c r="R923" i="13"/>
  <c r="R922" i="13"/>
  <c r="R921" i="13"/>
  <c r="R920" i="13"/>
  <c r="R919" i="13"/>
  <c r="R918" i="13"/>
  <c r="R929" i="13"/>
  <c r="R917" i="13"/>
  <c r="R916" i="13"/>
  <c r="R915" i="13"/>
  <c r="R914" i="13"/>
  <c r="R913" i="13"/>
  <c r="R912" i="13"/>
  <c r="R911" i="13"/>
  <c r="R910" i="13"/>
  <c r="R909" i="13"/>
  <c r="R907" i="13"/>
  <c r="R906" i="13"/>
  <c r="R905" i="13"/>
  <c r="R904" i="13"/>
  <c r="R903" i="13"/>
  <c r="R902" i="13"/>
  <c r="R901" i="13"/>
  <c r="R900" i="13"/>
  <c r="R899" i="13"/>
  <c r="R898" i="13"/>
  <c r="R897" i="13"/>
  <c r="R896" i="13"/>
  <c r="R895" i="13"/>
  <c r="R894" i="13"/>
  <c r="R893" i="13"/>
  <c r="R892" i="13"/>
  <c r="R891" i="13"/>
  <c r="R890" i="13"/>
  <c r="R889" i="13"/>
  <c r="R888" i="13"/>
  <c r="R887" i="13"/>
  <c r="R886" i="13"/>
  <c r="R884" i="13"/>
  <c r="R883" i="13"/>
  <c r="R881" i="13"/>
  <c r="R880" i="13"/>
  <c r="R878" i="13"/>
  <c r="R877" i="13"/>
  <c r="R876" i="13"/>
  <c r="R875" i="13"/>
  <c r="R874" i="13"/>
  <c r="R873" i="13"/>
  <c r="R872" i="13"/>
  <c r="R871" i="13"/>
  <c r="R870" i="13"/>
  <c r="R869" i="13"/>
  <c r="R867" i="13"/>
  <c r="R866" i="13" s="1"/>
  <c r="R865" i="13"/>
  <c r="R863" i="13"/>
  <c r="R864" i="13"/>
  <c r="R862" i="13"/>
  <c r="R860" i="13"/>
  <c r="R859" i="13"/>
  <c r="R857" i="13"/>
  <c r="R855" i="13"/>
  <c r="R854" i="13"/>
  <c r="R853" i="13"/>
  <c r="R852" i="13"/>
  <c r="R851" i="13"/>
  <c r="R850" i="13"/>
  <c r="R849" i="13"/>
  <c r="R848" i="13"/>
  <c r="R847" i="13"/>
  <c r="R846" i="13"/>
  <c r="R845" i="13"/>
  <c r="R844" i="13"/>
  <c r="R843" i="13"/>
  <c r="R842" i="13"/>
  <c r="R841" i="13"/>
  <c r="R834" i="13"/>
  <c r="R833" i="13" s="1"/>
  <c r="R832" i="13"/>
  <c r="R831" i="13" s="1"/>
  <c r="R828" i="13"/>
  <c r="R827" i="13" s="1"/>
  <c r="R818" i="13"/>
  <c r="R817" i="13"/>
  <c r="R814" i="13"/>
  <c r="R812" i="13"/>
  <c r="R811" i="13" s="1"/>
  <c r="R810" i="13"/>
  <c r="R809" i="13"/>
  <c r="R808" i="13"/>
  <c r="R807" i="13"/>
  <c r="R805" i="13"/>
  <c r="R804" i="13"/>
  <c r="R802" i="13"/>
  <c r="R801" i="13" s="1"/>
  <c r="R800" i="13"/>
  <c r="R799" i="13"/>
  <c r="R798" i="13"/>
  <c r="R796" i="13"/>
  <c r="R795" i="13"/>
  <c r="R793" i="13"/>
  <c r="R792" i="13"/>
  <c r="R790" i="13"/>
  <c r="R789" i="13"/>
  <c r="R788" i="13"/>
  <c r="R786" i="13"/>
  <c r="R785" i="13"/>
  <c r="R783" i="13"/>
  <c r="R782" i="13"/>
  <c r="R781" i="13"/>
  <c r="R778" i="13"/>
  <c r="R780" i="13"/>
  <c r="R779" i="13"/>
  <c r="R777" i="13"/>
  <c r="R776" i="13"/>
  <c r="R775" i="13"/>
  <c r="R774" i="13"/>
  <c r="R773" i="13"/>
  <c r="R772" i="13"/>
  <c r="R771" i="13"/>
  <c r="R770" i="13"/>
  <c r="R769" i="13"/>
  <c r="R768" i="13"/>
  <c r="R767" i="13"/>
  <c r="R766" i="13"/>
  <c r="R765" i="13"/>
  <c r="R763" i="13"/>
  <c r="R762" i="13"/>
  <c r="R755" i="13"/>
  <c r="R754" i="13" s="1"/>
  <c r="R753" i="13"/>
  <c r="R752" i="13"/>
  <c r="R751" i="13"/>
  <c r="R750" i="13"/>
  <c r="R749" i="13"/>
  <c r="R748" i="13"/>
  <c r="R747" i="13"/>
  <c r="R746" i="13"/>
  <c r="R745" i="13"/>
  <c r="R744" i="13"/>
  <c r="R743" i="13"/>
  <c r="R742" i="13"/>
  <c r="R741" i="13"/>
  <c r="R739" i="13"/>
  <c r="R738" i="13" s="1"/>
  <c r="R735" i="13"/>
  <c r="R734" i="13" s="1"/>
  <c r="R733" i="13"/>
  <c r="R732" i="13"/>
  <c r="R731" i="13"/>
  <c r="R729" i="13"/>
  <c r="R728" i="13" s="1"/>
  <c r="R727" i="13"/>
  <c r="R726" i="13"/>
  <c r="R725" i="13"/>
  <c r="R723" i="13"/>
  <c r="R722" i="13" s="1"/>
  <c r="R721" i="13"/>
  <c r="R720" i="13"/>
  <c r="R719" i="13"/>
  <c r="R717" i="13"/>
  <c r="R716" i="13"/>
  <c r="R715" i="13"/>
  <c r="R714" i="13"/>
  <c r="R713" i="13"/>
  <c r="R712" i="13"/>
  <c r="R710" i="13"/>
  <c r="R709" i="13"/>
  <c r="R707" i="13"/>
  <c r="R706" i="13" s="1"/>
  <c r="R705" i="13"/>
  <c r="R704" i="13"/>
  <c r="R703" i="13"/>
  <c r="R701" i="13"/>
  <c r="R700" i="13"/>
  <c r="R699" i="13"/>
  <c r="R698" i="13"/>
  <c r="R697" i="13"/>
  <c r="R696" i="13"/>
  <c r="R695" i="13"/>
  <c r="R681" i="13"/>
  <c r="R680" i="13"/>
  <c r="R694" i="13"/>
  <c r="R693" i="13"/>
  <c r="R692" i="13"/>
  <c r="R691" i="13"/>
  <c r="R690" i="13"/>
  <c r="R689" i="13"/>
  <c r="R688" i="13"/>
  <c r="R687" i="13"/>
  <c r="R686" i="13"/>
  <c r="R685" i="13"/>
  <c r="R684" i="13"/>
  <c r="R683" i="13"/>
  <c r="R682" i="13"/>
  <c r="R676" i="13"/>
  <c r="R679" i="13"/>
  <c r="R678" i="13"/>
  <c r="R677" i="13"/>
  <c r="R675" i="13"/>
  <c r="R674" i="13"/>
  <c r="R673" i="13"/>
  <c r="R672" i="13"/>
  <c r="R671" i="13"/>
  <c r="R670" i="13"/>
  <c r="R669" i="13"/>
  <c r="R668" i="13"/>
  <c r="R667" i="13"/>
  <c r="R666" i="13"/>
  <c r="R665" i="13"/>
  <c r="R664" i="13"/>
  <c r="R662" i="13"/>
  <c r="R663" i="13"/>
  <c r="R661" i="13"/>
  <c r="R658" i="13"/>
  <c r="R657" i="13"/>
  <c r="R656" i="13"/>
  <c r="R655" i="13"/>
  <c r="R654" i="13"/>
  <c r="R653" i="13"/>
  <c r="R649" i="13"/>
  <c r="R652" i="13"/>
  <c r="R651" i="13"/>
  <c r="R650" i="13"/>
  <c r="R648" i="13"/>
  <c r="R647" i="13"/>
  <c r="R646" i="13"/>
  <c r="R645" i="13"/>
  <c r="R644" i="13"/>
  <c r="R643" i="13"/>
  <c r="R642" i="13"/>
  <c r="R641" i="13"/>
  <c r="R640" i="13"/>
  <c r="R639" i="13"/>
  <c r="R638" i="13"/>
  <c r="R637" i="13"/>
  <c r="R636" i="13"/>
  <c r="R635" i="13"/>
  <c r="R634" i="13"/>
  <c r="R633" i="13"/>
  <c r="R632" i="13"/>
  <c r="R631" i="13"/>
  <c r="R1004" i="13"/>
  <c r="R1003" i="13"/>
  <c r="R630" i="13"/>
  <c r="R629" i="13"/>
  <c r="R628" i="13"/>
  <c r="R627" i="13"/>
  <c r="R626" i="13"/>
  <c r="R625" i="13"/>
  <c r="R622" i="13"/>
  <c r="R624" i="13"/>
  <c r="R623" i="13"/>
  <c r="R621" i="13"/>
  <c r="R620" i="13"/>
  <c r="R619" i="13"/>
  <c r="R618" i="13"/>
  <c r="R617" i="13"/>
  <c r="R616" i="13"/>
  <c r="R614" i="13"/>
  <c r="R613" i="13"/>
  <c r="R612" i="13"/>
  <c r="R611" i="13"/>
  <c r="R610" i="13"/>
  <c r="R609" i="13"/>
  <c r="R608" i="13"/>
  <c r="R607" i="13"/>
  <c r="R606" i="13"/>
  <c r="R603" i="13"/>
  <c r="R602" i="13"/>
  <c r="R601" i="13"/>
  <c r="R600" i="13"/>
  <c r="R599" i="13"/>
  <c r="R598" i="13"/>
  <c r="R597" i="13"/>
  <c r="R595" i="13"/>
  <c r="R594" i="13"/>
  <c r="R593" i="13"/>
  <c r="R592" i="13"/>
  <c r="R591" i="13"/>
  <c r="R590" i="13"/>
  <c r="R589" i="13"/>
  <c r="R588" i="13"/>
  <c r="R587" i="13"/>
  <c r="R586" i="13"/>
  <c r="R585" i="13"/>
  <c r="R584" i="13"/>
  <c r="R583" i="13"/>
  <c r="R582" i="13"/>
  <c r="R581" i="13"/>
  <c r="R580" i="13"/>
  <c r="R579" i="13"/>
  <c r="R578" i="13"/>
  <c r="R577" i="13"/>
  <c r="R576" i="13"/>
  <c r="R575" i="13"/>
  <c r="R574" i="13"/>
  <c r="R573" i="13"/>
  <c r="R568" i="13"/>
  <c r="R567" i="13"/>
  <c r="R566" i="13"/>
  <c r="R572" i="13"/>
  <c r="R571" i="13"/>
  <c r="R570" i="13"/>
  <c r="R569" i="13"/>
  <c r="R565" i="13"/>
  <c r="R564" i="13"/>
  <c r="R563" i="13"/>
  <c r="R547" i="13"/>
  <c r="R562" i="13"/>
  <c r="R561" i="13"/>
  <c r="R560" i="13"/>
  <c r="R559" i="13"/>
  <c r="R558" i="13"/>
  <c r="R557" i="13"/>
  <c r="R556" i="13"/>
  <c r="R555" i="13"/>
  <c r="R554" i="13"/>
  <c r="R553" i="13"/>
  <c r="R552" i="13"/>
  <c r="R551" i="13"/>
  <c r="R550" i="13"/>
  <c r="R549" i="13"/>
  <c r="R548" i="13"/>
  <c r="R546" i="13"/>
  <c r="R545" i="13"/>
  <c r="R543" i="13"/>
  <c r="R542" i="13"/>
  <c r="R541" i="13"/>
  <c r="R540" i="13"/>
  <c r="R539" i="13"/>
  <c r="R538" i="13"/>
  <c r="R537" i="13"/>
  <c r="R536" i="13"/>
  <c r="R535" i="13"/>
  <c r="R534" i="13"/>
  <c r="R533" i="13"/>
  <c r="R532" i="13"/>
  <c r="R531" i="13"/>
  <c r="R530" i="13"/>
  <c r="R529" i="13"/>
  <c r="R528" i="13"/>
  <c r="R527" i="13"/>
  <c r="R908" i="13"/>
  <c r="R526" i="13"/>
  <c r="R525" i="13"/>
  <c r="R523" i="13"/>
  <c r="R522" i="13"/>
  <c r="R521" i="13"/>
  <c r="R520" i="13"/>
  <c r="R519" i="13"/>
  <c r="R518" i="13"/>
  <c r="R517" i="13"/>
  <c r="R516" i="13"/>
  <c r="R515" i="13"/>
  <c r="R514" i="13"/>
  <c r="R513" i="13"/>
  <c r="R512" i="13"/>
  <c r="R510" i="13"/>
  <c r="R509" i="13"/>
  <c r="R508" i="13"/>
  <c r="R507" i="13"/>
  <c r="R506" i="13"/>
  <c r="R505" i="13"/>
  <c r="R504" i="13"/>
  <c r="R503" i="13"/>
  <c r="R502" i="13"/>
  <c r="R501" i="13"/>
  <c r="R500" i="13"/>
  <c r="R498" i="13"/>
  <c r="R499" i="13"/>
  <c r="R497" i="13"/>
  <c r="R496" i="13"/>
  <c r="R495" i="13"/>
  <c r="R494" i="13"/>
  <c r="R493" i="13"/>
  <c r="R492" i="13"/>
  <c r="R490" i="13"/>
  <c r="R489" i="13" s="1"/>
  <c r="R488" i="13"/>
  <c r="R487" i="13"/>
  <c r="R485" i="13"/>
  <c r="R484" i="13" s="1"/>
  <c r="R483" i="13"/>
  <c r="R482" i="13"/>
  <c r="R481" i="13"/>
  <c r="R480" i="13"/>
  <c r="R479" i="13"/>
  <c r="R478" i="13"/>
  <c r="R477" i="13"/>
  <c r="R475" i="13"/>
  <c r="R474" i="13"/>
  <c r="R473" i="13"/>
  <c r="R472" i="13"/>
  <c r="R476" i="13"/>
  <c r="R471" i="13"/>
  <c r="R470" i="13"/>
  <c r="R469" i="13"/>
  <c r="R467" i="13"/>
  <c r="R466" i="13" s="1"/>
  <c r="R465" i="13"/>
  <c r="R464" i="13" s="1"/>
  <c r="R463" i="13"/>
  <c r="R462" i="13"/>
  <c r="R461" i="13"/>
  <c r="R460" i="13"/>
  <c r="R459" i="13"/>
  <c r="R458" i="13"/>
  <c r="R457" i="13"/>
  <c r="R455" i="13"/>
  <c r="R454" i="13"/>
  <c r="R453" i="13"/>
  <c r="R452" i="13"/>
  <c r="R451" i="13"/>
  <c r="R450" i="13"/>
  <c r="R449" i="13"/>
  <c r="R448" i="13"/>
  <c r="R447" i="13"/>
  <c r="R445" i="13"/>
  <c r="R444" i="13" s="1"/>
  <c r="R443" i="13"/>
  <c r="R442" i="13"/>
  <c r="R441" i="13"/>
  <c r="R440" i="13"/>
  <c r="R439" i="13"/>
  <c r="R437" i="13"/>
  <c r="R436" i="13"/>
  <c r="R435" i="13"/>
  <c r="R438" i="13"/>
  <c r="R434" i="13"/>
  <c r="R432" i="13"/>
  <c r="R431" i="13"/>
  <c r="R430" i="13"/>
  <c r="R429" i="13"/>
  <c r="R427" i="13"/>
  <c r="R426" i="13"/>
  <c r="R425" i="13"/>
  <c r="R421" i="13"/>
  <c r="R415" i="13" s="1"/>
  <c r="R399" i="13"/>
  <c r="R398" i="13" s="1"/>
  <c r="R387" i="13"/>
  <c r="R375" i="13"/>
  <c r="R373" i="13" s="1"/>
  <c r="R372" i="13"/>
  <c r="R371" i="13" s="1"/>
  <c r="R368" i="13"/>
  <c r="R367" i="13" s="1"/>
  <c r="R359" i="13"/>
  <c r="R356" i="13"/>
  <c r="R355" i="13"/>
  <c r="R346" i="13"/>
  <c r="R344" i="13"/>
  <c r="R340" i="13"/>
  <c r="R339" i="13"/>
  <c r="D934" i="13"/>
  <c r="N821" i="13" l="1"/>
  <c r="N856" i="13"/>
  <c r="R856" i="13"/>
  <c r="V1089" i="13"/>
  <c r="N1088" i="13"/>
  <c r="R1088" i="13"/>
  <c r="R885" i="13"/>
  <c r="R446" i="13"/>
  <c r="R711" i="13"/>
  <c r="R787" i="13"/>
  <c r="R840" i="13"/>
  <c r="R1067" i="13"/>
  <c r="R338" i="13"/>
  <c r="R761" i="13"/>
  <c r="R794" i="13"/>
  <c r="R879" i="13"/>
  <c r="V465" i="13"/>
  <c r="N464" i="13"/>
  <c r="V445" i="13"/>
  <c r="N444" i="13"/>
  <c r="V423" i="13"/>
  <c r="N422" i="13"/>
  <c r="V396" i="13"/>
  <c r="N395" i="13"/>
  <c r="V377" i="13"/>
  <c r="N376" i="13"/>
  <c r="V362" i="13"/>
  <c r="N361" i="13"/>
  <c r="V342" i="13"/>
  <c r="N341" i="13"/>
  <c r="V406" i="13"/>
  <c r="N405" i="13"/>
  <c r="V1092" i="13"/>
  <c r="V1068" i="13"/>
  <c r="N1067" i="13"/>
  <c r="V1062" i="13"/>
  <c r="N1061" i="13"/>
  <c r="V862" i="13"/>
  <c r="N861" i="13"/>
  <c r="V857" i="13"/>
  <c r="V841" i="13"/>
  <c r="N840" i="13"/>
  <c r="V839" i="13"/>
  <c r="N838" i="13"/>
  <c r="V832" i="13"/>
  <c r="N831" i="13"/>
  <c r="V822" i="13"/>
  <c r="V807" i="13"/>
  <c r="N806" i="13"/>
  <c r="V755" i="13"/>
  <c r="N754" i="13"/>
  <c r="V731" i="13"/>
  <c r="N730" i="13"/>
  <c r="V703" i="13"/>
  <c r="N702" i="13"/>
  <c r="V487" i="13"/>
  <c r="N486" i="13"/>
  <c r="V467" i="13"/>
  <c r="N466" i="13"/>
  <c r="V410" i="13"/>
  <c r="N409" i="13"/>
  <c r="V399" i="13"/>
  <c r="N398" i="13"/>
  <c r="V368" i="13"/>
  <c r="N367" i="13"/>
  <c r="V339" i="13"/>
  <c r="N338" i="13"/>
  <c r="V425" i="13"/>
  <c r="V490" i="13"/>
  <c r="N489" i="13"/>
  <c r="V802" i="13"/>
  <c r="N801" i="13"/>
  <c r="R341" i="13"/>
  <c r="R740" i="13"/>
  <c r="R791" i="13"/>
  <c r="R797" i="13"/>
  <c r="R803" i="13"/>
  <c r="R868" i="13"/>
  <c r="R882" i="13"/>
  <c r="R1071" i="13"/>
  <c r="N711" i="13"/>
  <c r="V1082" i="13"/>
  <c r="N1081" i="13"/>
  <c r="V830" i="13"/>
  <c r="N829" i="13"/>
  <c r="V795" i="13"/>
  <c r="N794" i="13"/>
  <c r="V1084" i="13"/>
  <c r="N1083" i="13"/>
  <c r="V1075" i="13"/>
  <c r="N1074" i="13"/>
  <c r="V1066" i="13"/>
  <c r="N1065" i="13"/>
  <c r="V883" i="13"/>
  <c r="N882" i="13"/>
  <c r="V867" i="13"/>
  <c r="N866" i="13"/>
  <c r="V826" i="13"/>
  <c r="N825" i="13"/>
  <c r="V789" i="13"/>
  <c r="N787" i="13"/>
  <c r="V725" i="13"/>
  <c r="N724" i="13"/>
  <c r="V493" i="13"/>
  <c r="V416" i="13"/>
  <c r="N415" i="13"/>
  <c r="V384" i="13"/>
  <c r="V365" i="13"/>
  <c r="N363" i="13"/>
  <c r="R468" i="13"/>
  <c r="R486" i="13"/>
  <c r="R702" i="13"/>
  <c r="R708" i="13"/>
  <c r="R724" i="13"/>
  <c r="R730" i="13"/>
  <c r="R784" i="13"/>
  <c r="R813" i="13"/>
  <c r="R861" i="13"/>
  <c r="R1074" i="13"/>
  <c r="V1072" i="13"/>
  <c r="N1071" i="13"/>
  <c r="V880" i="13"/>
  <c r="N879" i="13"/>
  <c r="V785" i="13"/>
  <c r="N784" i="13"/>
  <c r="V739" i="13"/>
  <c r="N738" i="13"/>
  <c r="V1078" i="13"/>
  <c r="N1077" i="13"/>
  <c r="V886" i="13"/>
  <c r="V834" i="13"/>
  <c r="N833" i="13"/>
  <c r="V828" i="13"/>
  <c r="N827" i="13"/>
  <c r="V812" i="13"/>
  <c r="N811" i="13"/>
  <c r="V798" i="13"/>
  <c r="N797" i="13"/>
  <c r="V762" i="13"/>
  <c r="N761" i="13"/>
  <c r="V741" i="13"/>
  <c r="N740" i="13"/>
  <c r="V735" i="13"/>
  <c r="N734" i="13"/>
  <c r="V729" i="13"/>
  <c r="N728" i="13"/>
  <c r="V723" i="13"/>
  <c r="N722" i="13"/>
  <c r="V709" i="13"/>
  <c r="N708" i="13"/>
  <c r="V470" i="13"/>
  <c r="N468" i="13"/>
  <c r="V447" i="13"/>
  <c r="N446" i="13"/>
  <c r="V413" i="13"/>
  <c r="N412" i="13"/>
  <c r="V404" i="13"/>
  <c r="N403" i="13"/>
  <c r="V374" i="13"/>
  <c r="N373" i="13"/>
  <c r="R456" i="13"/>
  <c r="R491" i="13"/>
  <c r="R806" i="13"/>
  <c r="V379" i="13"/>
  <c r="V712" i="13"/>
  <c r="C934" i="13"/>
  <c r="N458" i="13"/>
  <c r="V458" i="13" s="1"/>
  <c r="N457" i="13"/>
  <c r="R333" i="13"/>
  <c r="N333" i="13"/>
  <c r="V333" i="13" s="1"/>
  <c r="R331" i="13"/>
  <c r="N331" i="13"/>
  <c r="V335" i="13"/>
  <c r="N32" i="13"/>
  <c r="N312" i="13"/>
  <c r="D313" i="13"/>
  <c r="D312" i="13" s="1"/>
  <c r="V457" i="13" l="1"/>
  <c r="N456" i="13"/>
  <c r="V331" i="13"/>
  <c r="N321" i="13"/>
  <c r="V32" i="13"/>
  <c r="N31" i="13"/>
  <c r="R321" i="13"/>
  <c r="V313" i="13"/>
  <c r="C313" i="13"/>
  <c r="C312" i="13" s="1"/>
  <c r="C25" i="13" l="1"/>
  <c r="C24" i="13"/>
  <c r="C22" i="13"/>
  <c r="C21" i="13"/>
  <c r="C18" i="13"/>
  <c r="C17" i="13"/>
  <c r="C20" i="13"/>
  <c r="U1105" i="13"/>
  <c r="T1105" i="13"/>
  <c r="S1105" i="13"/>
  <c r="R1105" i="13"/>
  <c r="Q1105" i="13"/>
  <c r="P1105" i="13"/>
  <c r="O1105" i="13"/>
  <c r="N1105" i="13"/>
  <c r="M1105" i="13"/>
  <c r="L1105" i="13"/>
  <c r="K1105" i="13"/>
  <c r="J1105" i="13"/>
  <c r="U764" i="13"/>
  <c r="T764" i="13"/>
  <c r="S764" i="13"/>
  <c r="Q764" i="13"/>
  <c r="P764" i="13"/>
  <c r="O764" i="13"/>
  <c r="M764" i="13"/>
  <c r="L764" i="13"/>
  <c r="K764" i="13"/>
  <c r="J764" i="13"/>
  <c r="U391" i="13"/>
  <c r="U337" i="13" s="1"/>
  <c r="T391" i="13"/>
  <c r="T337" i="13" s="1"/>
  <c r="S391" i="13"/>
  <c r="R391" i="13"/>
  <c r="Q391" i="13"/>
  <c r="Q337" i="13" s="1"/>
  <c r="P391" i="13"/>
  <c r="O391" i="13"/>
  <c r="O337" i="13" s="1"/>
  <c r="N391" i="13"/>
  <c r="M391" i="13"/>
  <c r="M337" i="13" s="1"/>
  <c r="L391" i="13"/>
  <c r="K391" i="13"/>
  <c r="K337" i="13" s="1"/>
  <c r="J391" i="13"/>
  <c r="I391" i="13"/>
  <c r="H391" i="13"/>
  <c r="G391" i="13"/>
  <c r="F391" i="13"/>
  <c r="E391" i="13"/>
  <c r="D1085" i="13"/>
  <c r="C1085" i="13" s="1"/>
  <c r="D1084" i="13"/>
  <c r="D1078" i="13"/>
  <c r="D1072" i="13"/>
  <c r="D1070" i="13"/>
  <c r="C1070" i="13" s="1"/>
  <c r="D1068" i="13"/>
  <c r="D1058" i="13"/>
  <c r="C1058" i="13" s="1"/>
  <c r="D1057" i="13"/>
  <c r="C1057" i="13" s="1"/>
  <c r="D1056" i="13"/>
  <c r="C1056" i="13" s="1"/>
  <c r="D1055" i="13"/>
  <c r="C1055" i="13" s="1"/>
  <c r="D1054" i="13"/>
  <c r="C1054" i="13" s="1"/>
  <c r="D1053" i="13"/>
  <c r="C1053" i="13" s="1"/>
  <c r="D1052" i="13"/>
  <c r="C1052" i="13" s="1"/>
  <c r="D1051" i="13"/>
  <c r="C1051" i="13" s="1"/>
  <c r="D1047" i="13"/>
  <c r="C1047" i="13" s="1"/>
  <c r="D1045" i="13"/>
  <c r="D1044" i="13"/>
  <c r="C1044" i="13" s="1"/>
  <c r="D1043" i="13"/>
  <c r="C1043" i="13" s="1"/>
  <c r="D1042" i="13"/>
  <c r="C1042" i="13" s="1"/>
  <c r="D1041" i="13"/>
  <c r="C1041" i="13" s="1"/>
  <c r="D1040" i="13"/>
  <c r="C1040" i="13" s="1"/>
  <c r="D1039" i="13"/>
  <c r="C1039" i="13" s="1"/>
  <c r="D1038" i="13"/>
  <c r="C1038" i="13" s="1"/>
  <c r="D1037" i="13"/>
  <c r="C1037" i="13" s="1"/>
  <c r="D1036" i="13"/>
  <c r="C1036" i="13" s="1"/>
  <c r="D1035" i="13"/>
  <c r="C1035" i="13" s="1"/>
  <c r="D1032" i="13"/>
  <c r="C1032" i="13" s="1"/>
  <c r="D1031" i="13"/>
  <c r="C1031" i="13" s="1"/>
  <c r="D1030" i="13"/>
  <c r="C1030" i="13" s="1"/>
  <c r="D1034" i="13"/>
  <c r="C1034" i="13" s="1"/>
  <c r="D1033" i="13"/>
  <c r="C1033" i="13" s="1"/>
  <c r="D1029" i="13"/>
  <c r="C1029" i="13" s="1"/>
  <c r="D1026" i="13"/>
  <c r="C1026" i="13" s="1"/>
  <c r="D1025" i="13"/>
  <c r="C1025" i="13" s="1"/>
  <c r="D1027" i="13"/>
  <c r="C1027" i="13" s="1"/>
  <c r="D1024" i="13"/>
  <c r="C1024" i="13" s="1"/>
  <c r="D1023" i="13"/>
  <c r="C1023" i="13" s="1"/>
  <c r="D1018" i="13"/>
  <c r="C1018" i="13" s="1"/>
  <c r="D1017" i="13"/>
  <c r="C1017" i="13" s="1"/>
  <c r="D1022" i="13"/>
  <c r="C1022" i="13" s="1"/>
  <c r="D1021" i="13"/>
  <c r="C1021" i="13" s="1"/>
  <c r="D1020" i="13"/>
  <c r="C1020" i="13" s="1"/>
  <c r="D1019" i="13"/>
  <c r="C1019" i="13" s="1"/>
  <c r="D1016" i="13"/>
  <c r="C1016" i="13" s="1"/>
  <c r="D1015" i="13"/>
  <c r="C1015" i="13" s="1"/>
  <c r="D1014" i="13"/>
  <c r="C1014" i="13" s="1"/>
  <c r="D1013" i="13"/>
  <c r="C1013" i="13" s="1"/>
  <c r="D1012" i="13"/>
  <c r="C1012" i="13" s="1"/>
  <c r="D1011" i="13"/>
  <c r="C1011" i="13" s="1"/>
  <c r="D1010" i="13"/>
  <c r="C1010" i="13" s="1"/>
  <c r="D1009" i="13"/>
  <c r="C1009" i="13" s="1"/>
  <c r="D1007" i="13"/>
  <c r="C1007" i="13" s="1"/>
  <c r="D1006" i="13"/>
  <c r="C1006" i="13" s="1"/>
  <c r="D1005" i="13"/>
  <c r="C1005" i="13" s="1"/>
  <c r="D1002" i="13"/>
  <c r="C1002" i="13" s="1"/>
  <c r="D1001" i="13"/>
  <c r="C1001" i="13" s="1"/>
  <c r="D1000" i="13"/>
  <c r="C1000" i="13" s="1"/>
  <c r="D999" i="13"/>
  <c r="C999" i="13" s="1"/>
  <c r="D994" i="13"/>
  <c r="C994" i="13" s="1"/>
  <c r="D997" i="13"/>
  <c r="C997" i="13" s="1"/>
  <c r="D996" i="13"/>
  <c r="C996" i="13" s="1"/>
  <c r="D993" i="13"/>
  <c r="C993" i="13" s="1"/>
  <c r="D992" i="13"/>
  <c r="C992" i="13" s="1"/>
  <c r="D991" i="13"/>
  <c r="C991" i="13" s="1"/>
  <c r="D990" i="13"/>
  <c r="C990" i="13" s="1"/>
  <c r="D989" i="13"/>
  <c r="C989" i="13" s="1"/>
  <c r="D988" i="13"/>
  <c r="C988" i="13" s="1"/>
  <c r="D987" i="13"/>
  <c r="C987" i="13" s="1"/>
  <c r="D986" i="13"/>
  <c r="C986" i="13" s="1"/>
  <c r="D985" i="13"/>
  <c r="C985" i="13" s="1"/>
  <c r="D984" i="13"/>
  <c r="C984" i="13" s="1"/>
  <c r="D983" i="13"/>
  <c r="C983" i="13" s="1"/>
  <c r="D982" i="13"/>
  <c r="C982" i="13" s="1"/>
  <c r="D981" i="13"/>
  <c r="C981" i="13" s="1"/>
  <c r="D979" i="13"/>
  <c r="C979" i="13" s="1"/>
  <c r="D978" i="13"/>
  <c r="C978" i="13" s="1"/>
  <c r="D977" i="13"/>
  <c r="C977" i="13" s="1"/>
  <c r="D976" i="13"/>
  <c r="C976" i="13" s="1"/>
  <c r="D975" i="13"/>
  <c r="C975" i="13" s="1"/>
  <c r="D974" i="13"/>
  <c r="C974" i="13" s="1"/>
  <c r="D973" i="13"/>
  <c r="C973" i="13" s="1"/>
  <c r="D971" i="13"/>
  <c r="C971" i="13" s="1"/>
  <c r="D970" i="13"/>
  <c r="C970" i="13" s="1"/>
  <c r="D969" i="13"/>
  <c r="C969" i="13" s="1"/>
  <c r="D968" i="13"/>
  <c r="C968" i="13" s="1"/>
  <c r="D967" i="13"/>
  <c r="C967" i="13" s="1"/>
  <c r="D964" i="13"/>
  <c r="C964" i="13" s="1"/>
  <c r="D960" i="13"/>
  <c r="C960" i="13" s="1"/>
  <c r="D959" i="13"/>
  <c r="C959" i="13" s="1"/>
  <c r="D958" i="13"/>
  <c r="C958" i="13" s="1"/>
  <c r="D957" i="13"/>
  <c r="C957" i="13" s="1"/>
  <c r="D963" i="13"/>
  <c r="C963" i="13" s="1"/>
  <c r="D962" i="13"/>
  <c r="C962" i="13" s="1"/>
  <c r="D956" i="13"/>
  <c r="C956" i="13" s="1"/>
  <c r="D954" i="13"/>
  <c r="C954" i="13" s="1"/>
  <c r="D961" i="13"/>
  <c r="C961" i="13" s="1"/>
  <c r="D955" i="13"/>
  <c r="C955" i="13" s="1"/>
  <c r="D953" i="13"/>
  <c r="C953" i="13" s="1"/>
  <c r="D952" i="13"/>
  <c r="C952" i="13" s="1"/>
  <c r="D951" i="13"/>
  <c r="D949" i="13"/>
  <c r="C949" i="13" s="1"/>
  <c r="D950" i="13"/>
  <c r="C950" i="13" s="1"/>
  <c r="D948" i="13"/>
  <c r="C948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42" i="13"/>
  <c r="C942" i="13" s="1"/>
  <c r="D941" i="13"/>
  <c r="C941" i="13" s="1"/>
  <c r="D939" i="13"/>
  <c r="C939" i="13" s="1"/>
  <c r="D938" i="13"/>
  <c r="C938" i="13" s="1"/>
  <c r="D936" i="13"/>
  <c r="C936" i="13" s="1"/>
  <c r="D935" i="13"/>
  <c r="C935" i="13" s="1"/>
  <c r="D933" i="13"/>
  <c r="C933" i="13" s="1"/>
  <c r="D932" i="13"/>
  <c r="C932" i="13" s="1"/>
  <c r="D931" i="13"/>
  <c r="C931" i="13" s="1"/>
  <c r="D930" i="13"/>
  <c r="C930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2" i="13"/>
  <c r="C922" i="13" s="1"/>
  <c r="D921" i="13"/>
  <c r="C921" i="13" s="1"/>
  <c r="D920" i="13"/>
  <c r="C920" i="13" s="1"/>
  <c r="D919" i="13"/>
  <c r="C919" i="13" s="1"/>
  <c r="D918" i="13"/>
  <c r="C918" i="13" s="1"/>
  <c r="D929" i="13"/>
  <c r="C929" i="13" s="1"/>
  <c r="D916" i="13"/>
  <c r="C916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7" i="13"/>
  <c r="C907" i="13" s="1"/>
  <c r="D906" i="13"/>
  <c r="C906" i="13" s="1"/>
  <c r="D905" i="13"/>
  <c r="C905" i="13" s="1"/>
  <c r="D904" i="13"/>
  <c r="C904" i="13" s="1"/>
  <c r="D903" i="13"/>
  <c r="C903" i="13" s="1"/>
  <c r="D902" i="13"/>
  <c r="C902" i="13" s="1"/>
  <c r="D901" i="13"/>
  <c r="C901" i="13" s="1"/>
  <c r="D900" i="13"/>
  <c r="D899" i="13"/>
  <c r="C899" i="13" s="1"/>
  <c r="D898" i="13"/>
  <c r="C898" i="13" s="1"/>
  <c r="D897" i="13"/>
  <c r="C897" i="13" s="1"/>
  <c r="D896" i="13"/>
  <c r="C896" i="13" s="1"/>
  <c r="D895" i="13"/>
  <c r="C895" i="13" s="1"/>
  <c r="D894" i="13"/>
  <c r="C894" i="13" s="1"/>
  <c r="D892" i="13"/>
  <c r="C892" i="13" s="1"/>
  <c r="D891" i="13"/>
  <c r="C891" i="13" s="1"/>
  <c r="D890" i="13"/>
  <c r="C890" i="13" s="1"/>
  <c r="D889" i="13"/>
  <c r="C889" i="13" s="1"/>
  <c r="D888" i="13"/>
  <c r="C888" i="13" s="1"/>
  <c r="D887" i="13"/>
  <c r="D886" i="13"/>
  <c r="D873" i="13"/>
  <c r="C873" i="13" s="1"/>
  <c r="D870" i="13"/>
  <c r="D852" i="13"/>
  <c r="D850" i="13"/>
  <c r="D849" i="13"/>
  <c r="C849" i="13" s="1"/>
  <c r="D841" i="13"/>
  <c r="D839" i="13"/>
  <c r="D837" i="13"/>
  <c r="C837" i="13" s="1"/>
  <c r="D835" i="13"/>
  <c r="C835" i="13" s="1"/>
  <c r="D834" i="13"/>
  <c r="D830" i="13"/>
  <c r="D826" i="13"/>
  <c r="D823" i="13"/>
  <c r="C823" i="13" s="1"/>
  <c r="D822" i="13"/>
  <c r="D394" i="13"/>
  <c r="D393" i="13" s="1"/>
  <c r="D818" i="13"/>
  <c r="D817" i="13"/>
  <c r="D814" i="13"/>
  <c r="D812" i="13"/>
  <c r="D810" i="13"/>
  <c r="C810" i="13" s="1"/>
  <c r="D809" i="13"/>
  <c r="C809" i="13" s="1"/>
  <c r="D808" i="13"/>
  <c r="C808" i="13" s="1"/>
  <c r="D807" i="13"/>
  <c r="D805" i="13"/>
  <c r="C805" i="13" s="1"/>
  <c r="D804" i="13"/>
  <c r="D802" i="13"/>
  <c r="D796" i="13"/>
  <c r="C796" i="13" s="1"/>
  <c r="D795" i="13"/>
  <c r="D790" i="13"/>
  <c r="D789" i="13"/>
  <c r="C789" i="13" s="1"/>
  <c r="D788" i="13"/>
  <c r="D783" i="13"/>
  <c r="C783" i="13" s="1"/>
  <c r="D782" i="13"/>
  <c r="C782" i="13" s="1"/>
  <c r="D781" i="13"/>
  <c r="C781" i="13" s="1"/>
  <c r="D778" i="13"/>
  <c r="C778" i="13" s="1"/>
  <c r="D777" i="13"/>
  <c r="C777" i="13" s="1"/>
  <c r="D776" i="13"/>
  <c r="D775" i="13"/>
  <c r="C775" i="13" s="1"/>
  <c r="D773" i="13"/>
  <c r="C773" i="13" s="1"/>
  <c r="D772" i="13"/>
  <c r="C772" i="13" s="1"/>
  <c r="D771" i="13"/>
  <c r="C771" i="13" s="1"/>
  <c r="D770" i="13"/>
  <c r="C770" i="13" s="1"/>
  <c r="D769" i="13"/>
  <c r="D767" i="13"/>
  <c r="C767" i="13" s="1"/>
  <c r="D766" i="13"/>
  <c r="C766" i="13" s="1"/>
  <c r="D765" i="13"/>
  <c r="D763" i="13"/>
  <c r="C763" i="13" s="1"/>
  <c r="D762" i="13"/>
  <c r="D747" i="13"/>
  <c r="C747" i="13" s="1"/>
  <c r="D739" i="13"/>
  <c r="D735" i="13"/>
  <c r="D733" i="13"/>
  <c r="D732" i="13"/>
  <c r="D720" i="13"/>
  <c r="C720" i="13" s="1"/>
  <c r="D717" i="13"/>
  <c r="D715" i="13"/>
  <c r="D714" i="13"/>
  <c r="D713" i="13"/>
  <c r="C713" i="13" s="1"/>
  <c r="D712" i="13"/>
  <c r="D701" i="13"/>
  <c r="C701" i="13" s="1"/>
  <c r="D700" i="13"/>
  <c r="C700" i="13" s="1"/>
  <c r="D699" i="13"/>
  <c r="C699" i="13" s="1"/>
  <c r="D697" i="13"/>
  <c r="C697" i="13" s="1"/>
  <c r="D696" i="13"/>
  <c r="C696" i="13" s="1"/>
  <c r="D695" i="13"/>
  <c r="C695" i="13" s="1"/>
  <c r="D681" i="13"/>
  <c r="C681" i="13" s="1"/>
  <c r="D680" i="13"/>
  <c r="C680" i="13" s="1"/>
  <c r="D694" i="13"/>
  <c r="C694" i="13" s="1"/>
  <c r="D693" i="13"/>
  <c r="C693" i="13" s="1"/>
  <c r="D692" i="13"/>
  <c r="C692" i="13" s="1"/>
  <c r="D691" i="13"/>
  <c r="C691" i="13" s="1"/>
  <c r="D690" i="13"/>
  <c r="C690" i="13" s="1"/>
  <c r="D689" i="13"/>
  <c r="C689" i="13" s="1"/>
  <c r="D688" i="13"/>
  <c r="C688" i="13" s="1"/>
  <c r="D687" i="13"/>
  <c r="D686" i="13"/>
  <c r="C686" i="13" s="1"/>
  <c r="D685" i="13"/>
  <c r="C685" i="13" s="1"/>
  <c r="D684" i="13"/>
  <c r="C684" i="13" s="1"/>
  <c r="D683" i="13"/>
  <c r="C683" i="13" s="1"/>
  <c r="D682" i="13"/>
  <c r="C682" i="13" s="1"/>
  <c r="D676" i="13"/>
  <c r="C676" i="13" s="1"/>
  <c r="D679" i="13"/>
  <c r="C679" i="13" s="1"/>
  <c r="D678" i="13"/>
  <c r="C678" i="13" s="1"/>
  <c r="D677" i="13"/>
  <c r="C677" i="13" s="1"/>
  <c r="D675" i="13"/>
  <c r="C675" i="13" s="1"/>
  <c r="D673" i="13"/>
  <c r="C673" i="13" s="1"/>
  <c r="D672" i="13"/>
  <c r="C672" i="13" s="1"/>
  <c r="D671" i="13"/>
  <c r="C671" i="13" s="1"/>
  <c r="D670" i="13"/>
  <c r="C670" i="13" s="1"/>
  <c r="D664" i="13"/>
  <c r="C664" i="13" s="1"/>
  <c r="D662" i="13"/>
  <c r="C662" i="13" s="1"/>
  <c r="D663" i="13"/>
  <c r="C663" i="13" s="1"/>
  <c r="D658" i="13"/>
  <c r="C658" i="13" s="1"/>
  <c r="D657" i="13"/>
  <c r="C657" i="13" s="1"/>
  <c r="D656" i="13"/>
  <c r="C656" i="13" s="1"/>
  <c r="D654" i="13"/>
  <c r="C654" i="13" s="1"/>
  <c r="D653" i="13"/>
  <c r="C653" i="13" s="1"/>
  <c r="D649" i="13"/>
  <c r="C649" i="13" s="1"/>
  <c r="D652" i="13"/>
  <c r="C652" i="13" s="1"/>
  <c r="D651" i="13"/>
  <c r="C651" i="13" s="1"/>
  <c r="D650" i="13"/>
  <c r="C650" i="13" s="1"/>
  <c r="D648" i="13"/>
  <c r="C648" i="13" s="1"/>
  <c r="D647" i="13"/>
  <c r="C647" i="13" s="1"/>
  <c r="D646" i="13"/>
  <c r="C646" i="13" s="1"/>
  <c r="D645" i="13"/>
  <c r="C645" i="13" s="1"/>
  <c r="D644" i="13"/>
  <c r="C644" i="13" s="1"/>
  <c r="D643" i="13"/>
  <c r="C643" i="13" s="1"/>
  <c r="D642" i="13"/>
  <c r="C642" i="13" s="1"/>
  <c r="D640" i="13"/>
  <c r="C640" i="13" s="1"/>
  <c r="D638" i="13"/>
  <c r="C638" i="13" s="1"/>
  <c r="D637" i="13"/>
  <c r="C637" i="13" s="1"/>
  <c r="D636" i="13"/>
  <c r="C636" i="13" s="1"/>
  <c r="D635" i="13"/>
  <c r="C635" i="13" s="1"/>
  <c r="D633" i="13"/>
  <c r="C633" i="13" s="1"/>
  <c r="D632" i="13"/>
  <c r="C632" i="13" s="1"/>
  <c r="D631" i="13"/>
  <c r="C631" i="13" s="1"/>
  <c r="D630" i="13"/>
  <c r="C630" i="13" s="1"/>
  <c r="D629" i="13"/>
  <c r="C629" i="13" s="1"/>
  <c r="D628" i="13"/>
  <c r="D627" i="13"/>
  <c r="C627" i="13" s="1"/>
  <c r="D626" i="13"/>
  <c r="C626" i="13" s="1"/>
  <c r="D625" i="13"/>
  <c r="C625" i="13" s="1"/>
  <c r="D622" i="13"/>
  <c r="C622" i="13" s="1"/>
  <c r="D624" i="13"/>
  <c r="C624" i="13" s="1"/>
  <c r="D623" i="13"/>
  <c r="C623" i="13" s="1"/>
  <c r="D621" i="13"/>
  <c r="C621" i="13" s="1"/>
  <c r="D620" i="13"/>
  <c r="C620" i="13" s="1"/>
  <c r="D618" i="13"/>
  <c r="C618" i="13" s="1"/>
  <c r="D617" i="13"/>
  <c r="C617" i="13" s="1"/>
  <c r="D616" i="13"/>
  <c r="C616" i="13" s="1"/>
  <c r="D614" i="13"/>
  <c r="C614" i="13" s="1"/>
  <c r="D613" i="13"/>
  <c r="C613" i="13" s="1"/>
  <c r="D612" i="13"/>
  <c r="C612" i="13" s="1"/>
  <c r="D611" i="13"/>
  <c r="C611" i="13" s="1"/>
  <c r="D610" i="13"/>
  <c r="C610" i="13" s="1"/>
  <c r="D609" i="13"/>
  <c r="C609" i="13" s="1"/>
  <c r="D608" i="13"/>
  <c r="C608" i="13" s="1"/>
  <c r="D606" i="13"/>
  <c r="C606" i="13" s="1"/>
  <c r="D603" i="13"/>
  <c r="C603" i="13" s="1"/>
  <c r="D602" i="13"/>
  <c r="C602" i="13" s="1"/>
  <c r="D601" i="13"/>
  <c r="C601" i="13" s="1"/>
  <c r="D600" i="13"/>
  <c r="C600" i="13" s="1"/>
  <c r="D599" i="13"/>
  <c r="C599" i="13" s="1"/>
  <c r="D598" i="13"/>
  <c r="C598" i="13" s="1"/>
  <c r="D597" i="13"/>
  <c r="C597" i="13" s="1"/>
  <c r="D595" i="13"/>
  <c r="C595" i="13" s="1"/>
  <c r="D594" i="13"/>
  <c r="C594" i="13" s="1"/>
  <c r="D593" i="13"/>
  <c r="C593" i="13" s="1"/>
  <c r="D592" i="13"/>
  <c r="C592" i="13" s="1"/>
  <c r="D591" i="13"/>
  <c r="C591" i="13" s="1"/>
  <c r="D590" i="13"/>
  <c r="C590" i="13" s="1"/>
  <c r="D589" i="13"/>
  <c r="C589" i="13" s="1"/>
  <c r="D588" i="13"/>
  <c r="C588" i="13" s="1"/>
  <c r="D587" i="13"/>
  <c r="C587" i="13" s="1"/>
  <c r="D586" i="13"/>
  <c r="C586" i="13" s="1"/>
  <c r="D585" i="13"/>
  <c r="C585" i="13" s="1"/>
  <c r="D584" i="13"/>
  <c r="C584" i="13" s="1"/>
  <c r="D583" i="13"/>
  <c r="C583" i="13" s="1"/>
  <c r="D582" i="13"/>
  <c r="C582" i="13" s="1"/>
  <c r="D581" i="13"/>
  <c r="C581" i="13" s="1"/>
  <c r="D579" i="13"/>
  <c r="C579" i="13" s="1"/>
  <c r="D578" i="13"/>
  <c r="C578" i="13" s="1"/>
  <c r="D577" i="13"/>
  <c r="C577" i="13" s="1"/>
  <c r="D576" i="13"/>
  <c r="C576" i="13" s="1"/>
  <c r="D574" i="13"/>
  <c r="C574" i="13" s="1"/>
  <c r="D573" i="13"/>
  <c r="C573" i="13" s="1"/>
  <c r="D568" i="13"/>
  <c r="C568" i="13" s="1"/>
  <c r="D567" i="13"/>
  <c r="C567" i="13" s="1"/>
  <c r="D566" i="13"/>
  <c r="C566" i="13" s="1"/>
  <c r="D572" i="13"/>
  <c r="C572" i="13" s="1"/>
  <c r="D571" i="13"/>
  <c r="C571" i="13" s="1"/>
  <c r="D570" i="13"/>
  <c r="C570" i="13" s="1"/>
  <c r="D569" i="13"/>
  <c r="C569" i="13" s="1"/>
  <c r="D565" i="13"/>
  <c r="C565" i="13" s="1"/>
  <c r="D564" i="13"/>
  <c r="C564" i="13" s="1"/>
  <c r="D563" i="13"/>
  <c r="C563" i="13" s="1"/>
  <c r="D547" i="13"/>
  <c r="C547" i="13" s="1"/>
  <c r="D561" i="13"/>
  <c r="C561" i="13" s="1"/>
  <c r="D560" i="13"/>
  <c r="C560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4" i="13"/>
  <c r="C554" i="13" s="1"/>
  <c r="D553" i="13"/>
  <c r="C553" i="13" s="1"/>
  <c r="D552" i="13"/>
  <c r="C552" i="13" s="1"/>
  <c r="D551" i="13"/>
  <c r="C551" i="13" s="1"/>
  <c r="D550" i="13"/>
  <c r="C550" i="13" s="1"/>
  <c r="D549" i="13"/>
  <c r="C549" i="13" s="1"/>
  <c r="D548" i="13"/>
  <c r="C548" i="13" s="1"/>
  <c r="D546" i="13"/>
  <c r="C546" i="13" s="1"/>
  <c r="D545" i="13"/>
  <c r="C545" i="13" s="1"/>
  <c r="D542" i="13"/>
  <c r="C542" i="13" s="1"/>
  <c r="D541" i="13"/>
  <c r="C541" i="13" s="1"/>
  <c r="D540" i="13"/>
  <c r="C540" i="13" s="1"/>
  <c r="D539" i="13"/>
  <c r="C539" i="13" s="1"/>
  <c r="D538" i="13"/>
  <c r="C538" i="13" s="1"/>
  <c r="D537" i="13"/>
  <c r="C537" i="13" s="1"/>
  <c r="D536" i="13"/>
  <c r="C536" i="13" s="1"/>
  <c r="D535" i="13"/>
  <c r="C535" i="13" s="1"/>
  <c r="D533" i="13"/>
  <c r="C533" i="13" s="1"/>
  <c r="D532" i="13"/>
  <c r="C532" i="13" s="1"/>
  <c r="D531" i="13"/>
  <c r="D530" i="13"/>
  <c r="C530" i="13" s="1"/>
  <c r="D529" i="13"/>
  <c r="D528" i="13"/>
  <c r="D527" i="13"/>
  <c r="D523" i="13"/>
  <c r="C523" i="13" s="1"/>
  <c r="D522" i="13"/>
  <c r="C522" i="13" s="1"/>
  <c r="D521" i="13"/>
  <c r="C521" i="13" s="1"/>
  <c r="D520" i="13"/>
  <c r="C520" i="13" s="1"/>
  <c r="D519" i="13"/>
  <c r="C519" i="13" s="1"/>
  <c r="D518" i="13"/>
  <c r="C518" i="13" s="1"/>
  <c r="D517" i="13"/>
  <c r="D516" i="13"/>
  <c r="C516" i="13" s="1"/>
  <c r="D515" i="13"/>
  <c r="C515" i="13" s="1"/>
  <c r="D514" i="13"/>
  <c r="C514" i="13" s="1"/>
  <c r="D510" i="13"/>
  <c r="C510" i="13" s="1"/>
  <c r="D508" i="13"/>
  <c r="C508" i="13" s="1"/>
  <c r="D507" i="13"/>
  <c r="C507" i="13" s="1"/>
  <c r="D506" i="13"/>
  <c r="C506" i="13" s="1"/>
  <c r="D505" i="13"/>
  <c r="C505" i="13" s="1"/>
  <c r="D504" i="13"/>
  <c r="C504" i="13" s="1"/>
  <c r="D503" i="13"/>
  <c r="C503" i="13" s="1"/>
  <c r="D501" i="13"/>
  <c r="D500" i="13"/>
  <c r="C500" i="13" s="1"/>
  <c r="D499" i="13"/>
  <c r="C499" i="13" s="1"/>
  <c r="D497" i="13"/>
  <c r="D496" i="13"/>
  <c r="C496" i="13" s="1"/>
  <c r="D495" i="13"/>
  <c r="C495" i="13" s="1"/>
  <c r="D494" i="13"/>
  <c r="C494" i="13" s="1"/>
  <c r="D493" i="13"/>
  <c r="C493" i="13" s="1"/>
  <c r="D488" i="13"/>
  <c r="C488" i="13" s="1"/>
  <c r="D487" i="13"/>
  <c r="D485" i="13"/>
  <c r="D483" i="13"/>
  <c r="C483" i="13" s="1"/>
  <c r="D482" i="13"/>
  <c r="C482" i="13" s="1"/>
  <c r="D480" i="13"/>
  <c r="D469" i="13"/>
  <c r="D465" i="13"/>
  <c r="D464" i="13" s="1"/>
  <c r="D463" i="13"/>
  <c r="D462" i="13"/>
  <c r="D459" i="13"/>
  <c r="D453" i="13"/>
  <c r="D443" i="13"/>
  <c r="D442" i="13"/>
  <c r="D440" i="13"/>
  <c r="D426" i="13"/>
  <c r="D425" i="13"/>
  <c r="D423" i="13"/>
  <c r="D421" i="13"/>
  <c r="C421" i="13" s="1"/>
  <c r="D420" i="13"/>
  <c r="C420" i="13" s="1"/>
  <c r="D419" i="13"/>
  <c r="C419" i="13" s="1"/>
  <c r="D418" i="13"/>
  <c r="C418" i="13" s="1"/>
  <c r="D417" i="13"/>
  <c r="C417" i="13" s="1"/>
  <c r="D416" i="13"/>
  <c r="D414" i="13"/>
  <c r="C414" i="13" s="1"/>
  <c r="D413" i="13"/>
  <c r="D411" i="13"/>
  <c r="D410" i="13"/>
  <c r="D408" i="13"/>
  <c r="C408" i="13" s="1"/>
  <c r="D407" i="13"/>
  <c r="C407" i="13" s="1"/>
  <c r="D406" i="13"/>
  <c r="D404" i="13"/>
  <c r="D402" i="13"/>
  <c r="C402" i="13" s="1"/>
  <c r="D401" i="13"/>
  <c r="D397" i="13"/>
  <c r="C397" i="13" s="1"/>
  <c r="D396" i="13"/>
  <c r="D392" i="13"/>
  <c r="C392" i="13" s="1"/>
  <c r="D390" i="13"/>
  <c r="C390" i="13" s="1"/>
  <c r="D389" i="13"/>
  <c r="C389" i="13" s="1"/>
  <c r="D388" i="13"/>
  <c r="C388" i="13" s="1"/>
  <c r="D385" i="13"/>
  <c r="C385" i="13" s="1"/>
  <c r="D384" i="13"/>
  <c r="D381" i="13"/>
  <c r="C381" i="13" s="1"/>
  <c r="D380" i="13"/>
  <c r="C380" i="13" s="1"/>
  <c r="D379" i="13"/>
  <c r="D375" i="13"/>
  <c r="C375" i="13" s="1"/>
  <c r="D374" i="13"/>
  <c r="D370" i="13"/>
  <c r="C370" i="13" s="1"/>
  <c r="D369" i="13"/>
  <c r="C369" i="13" s="1"/>
  <c r="D366" i="13"/>
  <c r="C366" i="13" s="1"/>
  <c r="D365" i="13"/>
  <c r="C365" i="13" s="1"/>
  <c r="D364" i="13"/>
  <c r="D362" i="13"/>
  <c r="D359" i="13"/>
  <c r="C359" i="13" s="1"/>
  <c r="D358" i="13"/>
  <c r="D357" i="13"/>
  <c r="C357" i="13" s="1"/>
  <c r="D356" i="13"/>
  <c r="C356" i="13" s="1"/>
  <c r="D355" i="13"/>
  <c r="C355" i="13" s="1"/>
  <c r="D353" i="13"/>
  <c r="C353" i="13" s="1"/>
  <c r="D354" i="13"/>
  <c r="C354" i="13" s="1"/>
  <c r="D352" i="13"/>
  <c r="C352" i="13" s="1"/>
  <c r="D350" i="13"/>
  <c r="C350" i="13" s="1"/>
  <c r="D349" i="13"/>
  <c r="C349" i="13" s="1"/>
  <c r="D348" i="13"/>
  <c r="C348" i="13" s="1"/>
  <c r="D347" i="13"/>
  <c r="C347" i="13" s="1"/>
  <c r="D345" i="13"/>
  <c r="C345" i="13" s="1"/>
  <c r="D343" i="13"/>
  <c r="D342" i="13"/>
  <c r="D335" i="13"/>
  <c r="C335" i="13" s="1"/>
  <c r="D334" i="13"/>
  <c r="C334" i="13" s="1"/>
  <c r="D333" i="13"/>
  <c r="D331" i="13"/>
  <c r="D329" i="13"/>
  <c r="C329" i="13" s="1"/>
  <c r="D328" i="13"/>
  <c r="C328" i="13" s="1"/>
  <c r="D327" i="13"/>
  <c r="C327" i="13" s="1"/>
  <c r="D330" i="13"/>
  <c r="C330" i="13" s="1"/>
  <c r="D326" i="13"/>
  <c r="C326" i="13" s="1"/>
  <c r="D325" i="13"/>
  <c r="C325" i="13" s="1"/>
  <c r="D324" i="13"/>
  <c r="C324" i="13" s="1"/>
  <c r="D323" i="13"/>
  <c r="C323" i="13" s="1"/>
  <c r="D322" i="13"/>
  <c r="D320" i="13"/>
  <c r="D319" i="13" s="1"/>
  <c r="D315" i="13"/>
  <c r="D311" i="13"/>
  <c r="D309" i="13"/>
  <c r="C309" i="13" s="1"/>
  <c r="D308" i="13"/>
  <c r="D304" i="13"/>
  <c r="D301" i="13"/>
  <c r="D300" i="13"/>
  <c r="D298" i="13"/>
  <c r="C298" i="13" s="1"/>
  <c r="D297" i="13"/>
  <c r="C297" i="13" s="1"/>
  <c r="D296" i="13"/>
  <c r="D291" i="13"/>
  <c r="D283" i="13"/>
  <c r="C283" i="13" s="1"/>
  <c r="D282" i="13"/>
  <c r="C282" i="13" s="1"/>
  <c r="D281" i="13"/>
  <c r="D280" i="13"/>
  <c r="C280" i="13" s="1"/>
  <c r="D278" i="13"/>
  <c r="C278" i="13" s="1"/>
  <c r="D277" i="13"/>
  <c r="C277" i="13" s="1"/>
  <c r="D276" i="13"/>
  <c r="D284" i="13"/>
  <c r="C284" i="13" s="1"/>
  <c r="D274" i="13"/>
  <c r="D273" i="13"/>
  <c r="D272" i="13"/>
  <c r="C272" i="13" s="1"/>
  <c r="D271" i="13"/>
  <c r="D270" i="13"/>
  <c r="C270" i="13" s="1"/>
  <c r="D269" i="13"/>
  <c r="C269" i="13" s="1"/>
  <c r="D268" i="13"/>
  <c r="C268" i="13" s="1"/>
  <c r="D267" i="13"/>
  <c r="D265" i="13"/>
  <c r="C265" i="13" s="1"/>
  <c r="D262" i="13"/>
  <c r="C262" i="13" s="1"/>
  <c r="D261" i="13"/>
  <c r="C261" i="13" s="1"/>
  <c r="D259" i="13"/>
  <c r="C259" i="13" s="1"/>
  <c r="D258" i="13"/>
  <c r="C258" i="13" s="1"/>
  <c r="D257" i="13"/>
  <c r="C257" i="13" s="1"/>
  <c r="D256" i="13"/>
  <c r="C256" i="13" s="1"/>
  <c r="D255" i="13"/>
  <c r="C255" i="13" s="1"/>
  <c r="D254" i="13"/>
  <c r="D253" i="13"/>
  <c r="D251" i="13"/>
  <c r="C251" i="13" s="1"/>
  <c r="D249" i="13"/>
  <c r="C249" i="13" s="1"/>
  <c r="D248" i="13"/>
  <c r="C248" i="13" s="1"/>
  <c r="D247" i="13"/>
  <c r="C247" i="13" s="1"/>
  <c r="D242" i="13"/>
  <c r="C242" i="13" s="1"/>
  <c r="D241" i="13"/>
  <c r="C241" i="13" s="1"/>
  <c r="D240" i="13"/>
  <c r="C240" i="13" s="1"/>
  <c r="D239" i="13"/>
  <c r="D238" i="13"/>
  <c r="C238" i="13" s="1"/>
  <c r="D237" i="13"/>
  <c r="C237" i="13" s="1"/>
  <c r="D236" i="13"/>
  <c r="C236" i="13" s="1"/>
  <c r="D235" i="13"/>
  <c r="C235" i="13" s="1"/>
  <c r="D234" i="13"/>
  <c r="C234" i="13" s="1"/>
  <c r="D233" i="13"/>
  <c r="C233" i="13" s="1"/>
  <c r="D232" i="13"/>
  <c r="D980" i="13"/>
  <c r="D231" i="13"/>
  <c r="C231" i="13" s="1"/>
  <c r="D230" i="13"/>
  <c r="C230" i="13" s="1"/>
  <c r="D228" i="13"/>
  <c r="C228" i="13" s="1"/>
  <c r="D226" i="13"/>
  <c r="D225" i="13"/>
  <c r="C225" i="13" s="1"/>
  <c r="D223" i="13"/>
  <c r="C223" i="13" s="1"/>
  <c r="D218" i="13"/>
  <c r="C218" i="13" s="1"/>
  <c r="D215" i="13"/>
  <c r="C215" i="13" s="1"/>
  <c r="D214" i="13"/>
  <c r="C214" i="13" s="1"/>
  <c r="D213" i="13"/>
  <c r="C213" i="13" s="1"/>
  <c r="D212" i="13"/>
  <c r="C212" i="13" s="1"/>
  <c r="D210" i="13"/>
  <c r="C210" i="13" s="1"/>
  <c r="D207" i="13"/>
  <c r="C207" i="13" s="1"/>
  <c r="D206" i="13"/>
  <c r="C206" i="13" s="1"/>
  <c r="D205" i="13"/>
  <c r="C205" i="13" s="1"/>
  <c r="D204" i="13"/>
  <c r="C204" i="13" s="1"/>
  <c r="D203" i="13"/>
  <c r="C203" i="13" s="1"/>
  <c r="D195" i="13"/>
  <c r="C195" i="13" s="1"/>
  <c r="D193" i="13"/>
  <c r="C193" i="13" s="1"/>
  <c r="D186" i="13"/>
  <c r="C186" i="13" s="1"/>
  <c r="D184" i="13"/>
  <c r="C184" i="13" s="1"/>
  <c r="D183" i="13"/>
  <c r="D181" i="13"/>
  <c r="C181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175" i="13"/>
  <c r="C175" i="13" s="1"/>
  <c r="D171" i="13"/>
  <c r="C171" i="13" s="1"/>
  <c r="D167" i="13"/>
  <c r="C167" i="13" s="1"/>
  <c r="D166" i="13"/>
  <c r="C166" i="13" s="1"/>
  <c r="D165" i="13"/>
  <c r="C165" i="13" s="1"/>
  <c r="D164" i="13"/>
  <c r="C164" i="13" s="1"/>
  <c r="D163" i="13"/>
  <c r="D162" i="13"/>
  <c r="D161" i="13"/>
  <c r="D160" i="13"/>
  <c r="D159" i="13"/>
  <c r="C159" i="13" s="1"/>
  <c r="D158" i="13"/>
  <c r="C158" i="13" s="1"/>
  <c r="D156" i="13"/>
  <c r="C156" i="13" s="1"/>
  <c r="D155" i="13"/>
  <c r="C155" i="13" s="1"/>
  <c r="D154" i="13"/>
  <c r="C154" i="13" s="1"/>
  <c r="D153" i="13"/>
  <c r="C153" i="13" s="1"/>
  <c r="D152" i="13"/>
  <c r="C152" i="13" s="1"/>
  <c r="D151" i="13"/>
  <c r="C151" i="13" s="1"/>
  <c r="D150" i="13"/>
  <c r="C150" i="13" s="1"/>
  <c r="D149" i="13"/>
  <c r="C149" i="13" s="1"/>
  <c r="D148" i="13"/>
  <c r="C148" i="13" s="1"/>
  <c r="D147" i="13"/>
  <c r="C147" i="13" s="1"/>
  <c r="D146" i="13"/>
  <c r="C146" i="13" s="1"/>
  <c r="D145" i="13"/>
  <c r="C145" i="13" s="1"/>
  <c r="D144" i="13"/>
  <c r="C144" i="13" s="1"/>
  <c r="D143" i="13"/>
  <c r="C143" i="13" s="1"/>
  <c r="D142" i="13"/>
  <c r="C142" i="13" s="1"/>
  <c r="D140" i="13"/>
  <c r="C140" i="13" s="1"/>
  <c r="D138" i="13"/>
  <c r="D137" i="13"/>
  <c r="C137" i="13" s="1"/>
  <c r="D136" i="13"/>
  <c r="C136" i="13" s="1"/>
  <c r="D130" i="13"/>
  <c r="D129" i="13" s="1"/>
  <c r="D128" i="13"/>
  <c r="C128" i="13" s="1"/>
  <c r="D127" i="13"/>
  <c r="C127" i="13" s="1"/>
  <c r="D125" i="13"/>
  <c r="C125" i="13" s="1"/>
  <c r="D124" i="13"/>
  <c r="C124" i="13" s="1"/>
  <c r="D123" i="13"/>
  <c r="C123" i="13" s="1"/>
  <c r="D118" i="13"/>
  <c r="C118" i="13" s="1"/>
  <c r="D117" i="13"/>
  <c r="D116" i="13"/>
  <c r="C116" i="13" s="1"/>
  <c r="D112" i="13"/>
  <c r="C112" i="13" s="1"/>
  <c r="D114" i="13"/>
  <c r="D108" i="13"/>
  <c r="C108" i="13" s="1"/>
  <c r="D107" i="13"/>
  <c r="C107" i="13" s="1"/>
  <c r="D106" i="13"/>
  <c r="C106" i="13" s="1"/>
  <c r="D105" i="13"/>
  <c r="D103" i="13"/>
  <c r="C103" i="13" s="1"/>
  <c r="D100" i="13"/>
  <c r="C100" i="13" s="1"/>
  <c r="D99" i="13"/>
  <c r="D98" i="13"/>
  <c r="D95" i="13"/>
  <c r="D92" i="13"/>
  <c r="D89" i="13"/>
  <c r="C89" i="13" s="1"/>
  <c r="D85" i="13"/>
  <c r="D87" i="13"/>
  <c r="D82" i="13"/>
  <c r="D84" i="13"/>
  <c r="D83" i="13"/>
  <c r="D80" i="13"/>
  <c r="D79" i="13" s="1"/>
  <c r="D78" i="13"/>
  <c r="D77" i="13" s="1"/>
  <c r="D76" i="13"/>
  <c r="C76" i="13" s="1"/>
  <c r="D75" i="13"/>
  <c r="D71" i="13"/>
  <c r="D69" i="13"/>
  <c r="C69" i="13" s="1"/>
  <c r="D68" i="13"/>
  <c r="D66" i="13"/>
  <c r="D64" i="13"/>
  <c r="D63" i="13" s="1"/>
  <c r="D62" i="13"/>
  <c r="D61" i="13"/>
  <c r="D60" i="13"/>
  <c r="D58" i="13"/>
  <c r="D56" i="13"/>
  <c r="C56" i="13" s="1"/>
  <c r="D55" i="13"/>
  <c r="D53" i="13"/>
  <c r="D52" i="13" s="1"/>
  <c r="D51" i="13"/>
  <c r="D50" i="13"/>
  <c r="D49" i="13"/>
  <c r="D48" i="13"/>
  <c r="D382" i="13"/>
  <c r="C382" i="13" s="1"/>
  <c r="D46" i="13"/>
  <c r="C46" i="13" s="1"/>
  <c r="D45" i="13"/>
  <c r="C45" i="13" s="1"/>
  <c r="D42" i="13"/>
  <c r="D41" i="13"/>
  <c r="D39" i="13"/>
  <c r="C39" i="13" s="1"/>
  <c r="D38" i="13"/>
  <c r="D36" i="13"/>
  <c r="D35" i="13" s="1"/>
  <c r="D32" i="13"/>
  <c r="D31" i="13" s="1"/>
  <c r="D30" i="13"/>
  <c r="D29" i="13" s="1"/>
  <c r="D821" i="13" l="1"/>
  <c r="D1083" i="13"/>
  <c r="D400" i="13"/>
  <c r="D405" i="13"/>
  <c r="C342" i="13"/>
  <c r="C364" i="13"/>
  <c r="C363" i="13" s="1"/>
  <c r="D363" i="13"/>
  <c r="C396" i="13"/>
  <c r="C395" i="13" s="1"/>
  <c r="D395" i="13"/>
  <c r="C410" i="13"/>
  <c r="D409" i="13"/>
  <c r="C1078" i="13"/>
  <c r="C1077" i="13" s="1"/>
  <c r="D1077" i="13"/>
  <c r="C362" i="13"/>
  <c r="C361" i="13" s="1"/>
  <c r="D361" i="13"/>
  <c r="C739" i="13"/>
  <c r="C738" i="13" s="1"/>
  <c r="V312" i="13" s="1"/>
  <c r="D738" i="13"/>
  <c r="C802" i="13"/>
  <c r="C801" i="13" s="1"/>
  <c r="D801" i="13"/>
  <c r="C822" i="13"/>
  <c r="C821" i="13" s="1"/>
  <c r="C834" i="13"/>
  <c r="C1072" i="13"/>
  <c r="D378" i="13"/>
  <c r="D813" i="13"/>
  <c r="C404" i="13"/>
  <c r="C403" i="13" s="1"/>
  <c r="D403" i="13"/>
  <c r="C416" i="13"/>
  <c r="C415" i="13" s="1"/>
  <c r="D415" i="13"/>
  <c r="C384" i="13"/>
  <c r="C413" i="13"/>
  <c r="C412" i="13" s="1"/>
  <c r="D412" i="13"/>
  <c r="C423" i="13"/>
  <c r="C422" i="13" s="1"/>
  <c r="D422" i="13"/>
  <c r="C487" i="13"/>
  <c r="C486" i="13" s="1"/>
  <c r="D486" i="13"/>
  <c r="C735" i="13"/>
  <c r="C734" i="13" s="1"/>
  <c r="D734" i="13"/>
  <c r="C788" i="13"/>
  <c r="D787" i="13"/>
  <c r="C807" i="13"/>
  <c r="C806" i="13" s="1"/>
  <c r="D806" i="13"/>
  <c r="C812" i="13"/>
  <c r="C811" i="13" s="1"/>
  <c r="D811" i="13"/>
  <c r="C830" i="13"/>
  <c r="C829" i="13" s="1"/>
  <c r="D829" i="13"/>
  <c r="C839" i="13"/>
  <c r="C838" i="13" s="1"/>
  <c r="D838" i="13"/>
  <c r="C804" i="13"/>
  <c r="C803" i="13" s="1"/>
  <c r="D803" i="13"/>
  <c r="C374" i="13"/>
  <c r="C373" i="13" s="1"/>
  <c r="D373" i="13"/>
  <c r="C469" i="13"/>
  <c r="C485" i="13"/>
  <c r="C484" i="13" s="1"/>
  <c r="D484" i="13"/>
  <c r="C762" i="13"/>
  <c r="C761" i="13" s="1"/>
  <c r="D761" i="13"/>
  <c r="C795" i="13"/>
  <c r="C794" i="13" s="1"/>
  <c r="D794" i="13"/>
  <c r="C826" i="13"/>
  <c r="C825" i="13" s="1"/>
  <c r="D825" i="13"/>
  <c r="C886" i="13"/>
  <c r="C1068" i="13"/>
  <c r="C60" i="13"/>
  <c r="D59" i="13"/>
  <c r="C75" i="13"/>
  <c r="C74" i="13" s="1"/>
  <c r="D74" i="13"/>
  <c r="C83" i="13"/>
  <c r="C105" i="13"/>
  <c r="C296" i="13"/>
  <c r="C295" i="13" s="1"/>
  <c r="D295" i="13"/>
  <c r="C311" i="13"/>
  <c r="C310" i="13" s="1"/>
  <c r="D310" i="13"/>
  <c r="C38" i="13"/>
  <c r="D37" i="13"/>
  <c r="C68" i="13"/>
  <c r="C67" i="13" s="1"/>
  <c r="D67" i="13"/>
  <c r="C291" i="13"/>
  <c r="C290" i="13" s="1"/>
  <c r="D290" i="13"/>
  <c r="C322" i="13"/>
  <c r="D321" i="13"/>
  <c r="D54" i="13"/>
  <c r="C48" i="13"/>
  <c r="D47" i="13"/>
  <c r="C66" i="13"/>
  <c r="C65" i="13" s="1"/>
  <c r="D65" i="13"/>
  <c r="C308" i="13"/>
  <c r="C307" i="13" s="1"/>
  <c r="D307" i="13"/>
  <c r="C58" i="13"/>
  <c r="C57" i="13" s="1"/>
  <c r="D57" i="13"/>
  <c r="C71" i="13"/>
  <c r="C70" i="13" s="1"/>
  <c r="D70" i="13"/>
  <c r="C304" i="13"/>
  <c r="C303" i="13" s="1"/>
  <c r="D303" i="13"/>
  <c r="D40" i="13"/>
  <c r="C379" i="13"/>
  <c r="C378" i="13" s="1"/>
  <c r="C394" i="13"/>
  <c r="C393" i="13" s="1"/>
  <c r="C712" i="13"/>
  <c r="C53" i="13"/>
  <c r="C36" i="13"/>
  <c r="D391" i="13"/>
  <c r="C391" i="13" s="1"/>
  <c r="C37" i="13" l="1"/>
  <c r="C52" i="13"/>
  <c r="C35" i="13"/>
  <c r="E1107" i="13"/>
  <c r="E1106" i="13"/>
  <c r="E1100" i="13"/>
  <c r="E1099" i="13"/>
  <c r="E1098" i="13"/>
  <c r="E1097" i="13"/>
  <c r="E1096" i="13"/>
  <c r="E1091" i="13"/>
  <c r="E1090" i="13"/>
  <c r="E1089" i="13"/>
  <c r="E1095" i="13"/>
  <c r="E1094" i="13"/>
  <c r="E1093" i="13"/>
  <c r="E1092" i="13"/>
  <c r="I1081" i="13"/>
  <c r="G1081" i="13"/>
  <c r="F1081" i="13"/>
  <c r="E1082" i="13"/>
  <c r="E1081" i="13" s="1"/>
  <c r="H1081" i="13"/>
  <c r="I1079" i="13"/>
  <c r="G1079" i="13"/>
  <c r="F1079" i="13"/>
  <c r="E1080" i="13"/>
  <c r="E1079" i="13" s="1"/>
  <c r="H1079" i="13"/>
  <c r="E718" i="13"/>
  <c r="I1071" i="13"/>
  <c r="H1071" i="13"/>
  <c r="G1071" i="13"/>
  <c r="F1071" i="13"/>
  <c r="E1073" i="13"/>
  <c r="E1071" i="13" s="1"/>
  <c r="I1067" i="13"/>
  <c r="H1067" i="13"/>
  <c r="G1067" i="13"/>
  <c r="F1067" i="13"/>
  <c r="E1069" i="13"/>
  <c r="E1067" i="13" s="1"/>
  <c r="I1065" i="13"/>
  <c r="H1065" i="13"/>
  <c r="G1065" i="13"/>
  <c r="F1065" i="13"/>
  <c r="E1066" i="13"/>
  <c r="E1065" i="13" s="1"/>
  <c r="E1050" i="13"/>
  <c r="E1049" i="13"/>
  <c r="E1048" i="13"/>
  <c r="E1028" i="13"/>
  <c r="E1008" i="13"/>
  <c r="E998" i="13"/>
  <c r="E995" i="13"/>
  <c r="E972" i="13"/>
  <c r="E966" i="13"/>
  <c r="E965" i="13"/>
  <c r="E940" i="13"/>
  <c r="E937" i="13"/>
  <c r="E917" i="13"/>
  <c r="E909" i="13"/>
  <c r="E893" i="13"/>
  <c r="E884" i="13"/>
  <c r="E883" i="13"/>
  <c r="E860" i="13"/>
  <c r="E859" i="13"/>
  <c r="E857" i="13"/>
  <c r="E855" i="13"/>
  <c r="E854" i="13"/>
  <c r="E853" i="13"/>
  <c r="E851" i="13"/>
  <c r="E848" i="13"/>
  <c r="E847" i="13"/>
  <c r="E846" i="13"/>
  <c r="E843" i="13"/>
  <c r="E842" i="13"/>
  <c r="I833" i="13"/>
  <c r="G833" i="13"/>
  <c r="F833" i="13"/>
  <c r="E836" i="13"/>
  <c r="E833" i="13" s="1"/>
  <c r="H833" i="13"/>
  <c r="I831" i="13"/>
  <c r="H831" i="13"/>
  <c r="G831" i="13"/>
  <c r="F831" i="13"/>
  <c r="E832" i="13"/>
  <c r="E831" i="13" s="1"/>
  <c r="I827" i="13"/>
  <c r="H827" i="13"/>
  <c r="G827" i="13"/>
  <c r="F827" i="13"/>
  <c r="E828" i="13"/>
  <c r="E827" i="13" s="1"/>
  <c r="E800" i="13"/>
  <c r="F797" i="13"/>
  <c r="E799" i="13"/>
  <c r="E786" i="13"/>
  <c r="H786" i="13"/>
  <c r="G786" i="13"/>
  <c r="I784" i="13"/>
  <c r="G785" i="13"/>
  <c r="E785" i="13"/>
  <c r="E780" i="13"/>
  <c r="H780" i="13"/>
  <c r="E779" i="13"/>
  <c r="E774" i="13"/>
  <c r="E768" i="13"/>
  <c r="I754" i="13"/>
  <c r="G755" i="13"/>
  <c r="G754" i="13" s="1"/>
  <c r="F754" i="13"/>
  <c r="E755" i="13"/>
  <c r="E754" i="13" s="1"/>
  <c r="H754" i="13"/>
  <c r="E753" i="13"/>
  <c r="E752" i="13"/>
  <c r="E751" i="13"/>
  <c r="E750" i="13"/>
  <c r="E749" i="13"/>
  <c r="E743" i="13"/>
  <c r="E741" i="13"/>
  <c r="F730" i="13"/>
  <c r="E730" i="13"/>
  <c r="I730" i="13"/>
  <c r="H730" i="13"/>
  <c r="G731" i="13"/>
  <c r="G730" i="13" s="1"/>
  <c r="I728" i="13"/>
  <c r="G729" i="13"/>
  <c r="G728" i="13" s="1"/>
  <c r="F728" i="13"/>
  <c r="E729" i="13"/>
  <c r="E728" i="13" s="1"/>
  <c r="H728" i="13"/>
  <c r="E721" i="13"/>
  <c r="E719" i="13"/>
  <c r="E716" i="13"/>
  <c r="E710" i="13"/>
  <c r="G708" i="13"/>
  <c r="E709" i="13"/>
  <c r="E705" i="13"/>
  <c r="E704" i="13"/>
  <c r="E703" i="13"/>
  <c r="E674" i="13"/>
  <c r="E669" i="13"/>
  <c r="E668" i="13"/>
  <c r="E667" i="13"/>
  <c r="E666" i="13"/>
  <c r="E661" i="13"/>
  <c r="E655" i="13"/>
  <c r="E634" i="13"/>
  <c r="E1004" i="13"/>
  <c r="E1003" i="13"/>
  <c r="E619" i="13"/>
  <c r="J580" i="13"/>
  <c r="J575" i="13"/>
  <c r="J562" i="13"/>
  <c r="J543" i="13"/>
  <c r="G534" i="13"/>
  <c r="E534" i="13"/>
  <c r="J534" i="13"/>
  <c r="J908" i="13"/>
  <c r="J885" i="13" s="1"/>
  <c r="J526" i="13"/>
  <c r="J525" i="13"/>
  <c r="G513" i="13"/>
  <c r="E513" i="13"/>
  <c r="J513" i="13"/>
  <c r="J512" i="13"/>
  <c r="G509" i="13"/>
  <c r="E509" i="13"/>
  <c r="J509" i="13"/>
  <c r="J502" i="13"/>
  <c r="G498" i="13"/>
  <c r="E498" i="13"/>
  <c r="J498" i="13"/>
  <c r="F461" i="13"/>
  <c r="E461" i="13"/>
  <c r="I398" i="13"/>
  <c r="H398" i="13"/>
  <c r="G399" i="13"/>
  <c r="G398" i="13" s="1"/>
  <c r="F399" i="13"/>
  <c r="F398" i="13" s="1"/>
  <c r="E398" i="13"/>
  <c r="J360" i="13"/>
  <c r="J346" i="13"/>
  <c r="E344" i="13"/>
  <c r="J344" i="13"/>
  <c r="E856" i="13" l="1"/>
  <c r="E1088" i="13"/>
  <c r="E882" i="13"/>
  <c r="E885" i="13"/>
  <c r="I882" i="13"/>
  <c r="F341" i="13"/>
  <c r="F702" i="13"/>
  <c r="I711" i="13"/>
  <c r="E341" i="13"/>
  <c r="I341" i="13"/>
  <c r="E702" i="13"/>
  <c r="I702" i="13"/>
  <c r="F708" i="13"/>
  <c r="H711" i="13"/>
  <c r="E784" i="13"/>
  <c r="G882" i="13"/>
  <c r="H708" i="13"/>
  <c r="F784" i="13"/>
  <c r="J341" i="13"/>
  <c r="H341" i="13"/>
  <c r="H702" i="13"/>
  <c r="E708" i="13"/>
  <c r="I708" i="13"/>
  <c r="G711" i="13"/>
  <c r="H784" i="13"/>
  <c r="H797" i="13"/>
  <c r="F882" i="13"/>
  <c r="G341" i="13"/>
  <c r="G702" i="13"/>
  <c r="F711" i="13"/>
  <c r="E711" i="13"/>
  <c r="G784" i="13"/>
  <c r="H840" i="13"/>
  <c r="H882" i="13"/>
  <c r="I1105" i="13"/>
  <c r="H1105" i="13"/>
  <c r="D1003" i="13"/>
  <c r="C1003" i="13" s="1"/>
  <c r="D705" i="13"/>
  <c r="D750" i="13"/>
  <c r="C750" i="13" s="1"/>
  <c r="H764" i="13"/>
  <c r="D780" i="13"/>
  <c r="C780" i="13" s="1"/>
  <c r="D972" i="13"/>
  <c r="C972" i="13" s="1"/>
  <c r="D718" i="13"/>
  <c r="C718" i="13" s="1"/>
  <c r="D1093" i="13"/>
  <c r="C1093" i="13" s="1"/>
  <c r="D1089" i="13"/>
  <c r="D461" i="13"/>
  <c r="D661" i="13"/>
  <c r="C661" i="13" s="1"/>
  <c r="D669" i="13"/>
  <c r="C669" i="13" s="1"/>
  <c r="D744" i="13"/>
  <c r="C744" i="13" s="1"/>
  <c r="D751" i="13"/>
  <c r="C751" i="13" s="1"/>
  <c r="I764" i="13"/>
  <c r="D848" i="13"/>
  <c r="D855" i="13"/>
  <c r="C855" i="13" s="1"/>
  <c r="D937" i="13"/>
  <c r="C937" i="13" s="1"/>
  <c r="D1028" i="13"/>
  <c r="C1028" i="13" s="1"/>
  <c r="D1107" i="13"/>
  <c r="C1107" i="13" s="1"/>
  <c r="G1105" i="13"/>
  <c r="D1066" i="13"/>
  <c r="D716" i="13"/>
  <c r="D729" i="13"/>
  <c r="D836" i="13"/>
  <c r="D1073" i="13"/>
  <c r="D1082" i="13"/>
  <c r="D1092" i="13"/>
  <c r="D534" i="13"/>
  <c r="C534" i="13" s="1"/>
  <c r="D619" i="13"/>
  <c r="D655" i="13"/>
  <c r="C655" i="13" s="1"/>
  <c r="D668" i="13"/>
  <c r="C668" i="13" s="1"/>
  <c r="D704" i="13"/>
  <c r="C704" i="13" s="1"/>
  <c r="D743" i="13"/>
  <c r="C743" i="13" s="1"/>
  <c r="D749" i="13"/>
  <c r="C749" i="13" s="1"/>
  <c r="G764" i="13"/>
  <c r="D779" i="13"/>
  <c r="C779" i="13" s="1"/>
  <c r="D800" i="13"/>
  <c r="C800" i="13" s="1"/>
  <c r="D847" i="13"/>
  <c r="D854" i="13"/>
  <c r="D860" i="13"/>
  <c r="C860" i="13" s="1"/>
  <c r="D917" i="13"/>
  <c r="C917" i="13" s="1"/>
  <c r="D966" i="13"/>
  <c r="C966" i="13" s="1"/>
  <c r="D1008" i="13"/>
  <c r="C1008" i="13" s="1"/>
  <c r="D1050" i="13"/>
  <c r="C1050" i="13" s="1"/>
  <c r="D1095" i="13"/>
  <c r="C1095" i="13" s="1"/>
  <c r="D1097" i="13"/>
  <c r="C1097" i="13" s="1"/>
  <c r="D1100" i="13"/>
  <c r="C1100" i="13" s="1"/>
  <c r="D828" i="13"/>
  <c r="D842" i="13"/>
  <c r="D883" i="13"/>
  <c r="D399" i="13"/>
  <c r="D703" i="13"/>
  <c r="D731" i="13"/>
  <c r="D730" i="13" s="1"/>
  <c r="D785" i="13"/>
  <c r="D893" i="13"/>
  <c r="D1069" i="13"/>
  <c r="D1080" i="13"/>
  <c r="D884" i="13"/>
  <c r="C884" i="13" s="1"/>
  <c r="D509" i="13"/>
  <c r="C509" i="13" s="1"/>
  <c r="D498" i="13"/>
  <c r="C498" i="13" s="1"/>
  <c r="D513" i="13"/>
  <c r="C513" i="13" s="1"/>
  <c r="D634" i="13"/>
  <c r="C634" i="13" s="1"/>
  <c r="D667" i="13"/>
  <c r="C667" i="13" s="1"/>
  <c r="D710" i="13"/>
  <c r="C710" i="13" s="1"/>
  <c r="D721" i="13"/>
  <c r="C721" i="13" s="1"/>
  <c r="D742" i="13"/>
  <c r="C742" i="13" s="1"/>
  <c r="D746" i="13"/>
  <c r="C746" i="13" s="1"/>
  <c r="D753" i="13"/>
  <c r="C753" i="13" s="1"/>
  <c r="F764" i="13"/>
  <c r="D774" i="13"/>
  <c r="C774" i="13" s="1"/>
  <c r="D799" i="13"/>
  <c r="C799" i="13" s="1"/>
  <c r="D853" i="13"/>
  <c r="D859" i="13"/>
  <c r="C859" i="13" s="1"/>
  <c r="D909" i="13"/>
  <c r="D965" i="13"/>
  <c r="C965" i="13" s="1"/>
  <c r="D998" i="13"/>
  <c r="C998" i="13" s="1"/>
  <c r="D1049" i="13"/>
  <c r="C1049" i="13" s="1"/>
  <c r="D1094" i="13"/>
  <c r="C1094" i="13" s="1"/>
  <c r="D1091" i="13"/>
  <c r="C1091" i="13" s="1"/>
  <c r="D1096" i="13"/>
  <c r="C1096" i="13" s="1"/>
  <c r="D1099" i="13"/>
  <c r="C1099" i="13" s="1"/>
  <c r="D755" i="13"/>
  <c r="E1105" i="13"/>
  <c r="D1106" i="13"/>
  <c r="C1106" i="13" s="1"/>
  <c r="D709" i="13"/>
  <c r="D741" i="13"/>
  <c r="D768" i="13"/>
  <c r="C768" i="13" s="1"/>
  <c r="E764" i="13"/>
  <c r="D832" i="13"/>
  <c r="D857" i="13"/>
  <c r="D1004" i="13"/>
  <c r="C1004" i="13" s="1"/>
  <c r="D666" i="13"/>
  <c r="C666" i="13" s="1"/>
  <c r="D674" i="13"/>
  <c r="C674" i="13" s="1"/>
  <c r="D719" i="13"/>
  <c r="C719" i="13" s="1"/>
  <c r="D745" i="13"/>
  <c r="C745" i="13" s="1"/>
  <c r="D752" i="13"/>
  <c r="C752" i="13" s="1"/>
  <c r="D786" i="13"/>
  <c r="D843" i="13"/>
  <c r="D846" i="13"/>
  <c r="D851" i="13"/>
  <c r="D940" i="13"/>
  <c r="C940" i="13" s="1"/>
  <c r="D995" i="13"/>
  <c r="C995" i="13" s="1"/>
  <c r="D1048" i="13"/>
  <c r="C1048" i="13" s="1"/>
  <c r="D1090" i="13"/>
  <c r="C1090" i="13" s="1"/>
  <c r="D1098" i="13"/>
  <c r="C1098" i="13" s="1"/>
  <c r="F1105" i="13"/>
  <c r="D502" i="13"/>
  <c r="C502" i="13" s="1"/>
  <c r="D575" i="13"/>
  <c r="C575" i="13" s="1"/>
  <c r="D344" i="13"/>
  <c r="D346" i="13"/>
  <c r="C346" i="13" s="1"/>
  <c r="D512" i="13"/>
  <c r="C512" i="13" s="1"/>
  <c r="D525" i="13"/>
  <c r="C525" i="13" s="1"/>
  <c r="D908" i="13"/>
  <c r="C908" i="13" s="1"/>
  <c r="D543" i="13"/>
  <c r="C543" i="13" s="1"/>
  <c r="D360" i="13"/>
  <c r="C360" i="13" s="1"/>
  <c r="D526" i="13"/>
  <c r="C526" i="13" s="1"/>
  <c r="D562" i="13"/>
  <c r="D580" i="13"/>
  <c r="C580" i="13" s="1"/>
  <c r="E1076" i="13"/>
  <c r="D1076" i="13" s="1"/>
  <c r="C1076" i="13" s="1"/>
  <c r="E1075" i="13"/>
  <c r="J1062" i="13"/>
  <c r="J1061" i="13" s="1"/>
  <c r="I1061" i="13"/>
  <c r="H1061" i="13"/>
  <c r="G1062" i="13"/>
  <c r="G1061" i="13" s="1"/>
  <c r="F1061" i="13"/>
  <c r="E1062" i="13"/>
  <c r="E1061" i="13" s="1"/>
  <c r="J1060" i="13"/>
  <c r="J1059" i="13" s="1"/>
  <c r="I1059" i="13"/>
  <c r="H1059" i="13"/>
  <c r="G1060" i="13"/>
  <c r="G1059" i="13" s="1"/>
  <c r="F1059" i="13"/>
  <c r="E1060" i="13"/>
  <c r="E1059" i="13" s="1"/>
  <c r="J881" i="13"/>
  <c r="G881" i="13"/>
  <c r="E881" i="13"/>
  <c r="J880" i="13"/>
  <c r="G880" i="13"/>
  <c r="E880" i="13"/>
  <c r="J878" i="13"/>
  <c r="G878" i="13"/>
  <c r="E878" i="13"/>
  <c r="J877" i="13"/>
  <c r="G877" i="13"/>
  <c r="E877" i="13"/>
  <c r="J876" i="13"/>
  <c r="G876" i="13"/>
  <c r="E876" i="13"/>
  <c r="J875" i="13"/>
  <c r="G875" i="13"/>
  <c r="E875" i="13"/>
  <c r="J874" i="13"/>
  <c r="G874" i="13"/>
  <c r="E874" i="13"/>
  <c r="J872" i="13"/>
  <c r="G872" i="13"/>
  <c r="E872" i="13"/>
  <c r="J871" i="13"/>
  <c r="G871" i="13"/>
  <c r="E871" i="13"/>
  <c r="J867" i="13"/>
  <c r="J866" i="13" s="1"/>
  <c r="I866" i="13"/>
  <c r="H866" i="13"/>
  <c r="G867" i="13"/>
  <c r="G866" i="13" s="1"/>
  <c r="F866" i="13"/>
  <c r="E867" i="13"/>
  <c r="E866" i="13" s="1"/>
  <c r="J865" i="13"/>
  <c r="E865" i="13"/>
  <c r="J863" i="13"/>
  <c r="G863" i="13"/>
  <c r="E863" i="13"/>
  <c r="J864" i="13"/>
  <c r="G864" i="13"/>
  <c r="E864" i="13"/>
  <c r="J862" i="13"/>
  <c r="G862" i="13"/>
  <c r="E862" i="13"/>
  <c r="J845" i="13"/>
  <c r="G845" i="13"/>
  <c r="E845" i="13"/>
  <c r="J844" i="13"/>
  <c r="G844" i="13"/>
  <c r="E844" i="13"/>
  <c r="J798" i="13"/>
  <c r="J797" i="13" s="1"/>
  <c r="I797" i="13"/>
  <c r="G798" i="13"/>
  <c r="G797" i="13" s="1"/>
  <c r="E798" i="13"/>
  <c r="E797" i="13" s="1"/>
  <c r="J793" i="13"/>
  <c r="G793" i="13"/>
  <c r="E793" i="13"/>
  <c r="J792" i="13"/>
  <c r="G792" i="13"/>
  <c r="E792" i="13"/>
  <c r="E727" i="13"/>
  <c r="D727" i="13" s="1"/>
  <c r="E726" i="13"/>
  <c r="D726" i="13" s="1"/>
  <c r="C726" i="13" s="1"/>
  <c r="E725" i="13"/>
  <c r="E723" i="13"/>
  <c r="E722" i="13" s="1"/>
  <c r="J698" i="13"/>
  <c r="G698" i="13"/>
  <c r="E698" i="13"/>
  <c r="J665" i="13"/>
  <c r="G665" i="13"/>
  <c r="E665" i="13"/>
  <c r="J641" i="13"/>
  <c r="G641" i="13"/>
  <c r="E641" i="13"/>
  <c r="J639" i="13"/>
  <c r="G639" i="13"/>
  <c r="E639" i="13"/>
  <c r="J492" i="13"/>
  <c r="J490" i="13"/>
  <c r="J489" i="13" s="1"/>
  <c r="I489" i="13"/>
  <c r="H489" i="13"/>
  <c r="G490" i="13"/>
  <c r="G489" i="13" s="1"/>
  <c r="F490" i="13"/>
  <c r="F489" i="13" s="1"/>
  <c r="E489" i="13"/>
  <c r="J481" i="13"/>
  <c r="J479" i="13"/>
  <c r="J478" i="13"/>
  <c r="J477" i="13"/>
  <c r="J475" i="13"/>
  <c r="J474" i="13"/>
  <c r="J473" i="13"/>
  <c r="J472" i="13"/>
  <c r="J476" i="13"/>
  <c r="J471" i="13"/>
  <c r="J470" i="13"/>
  <c r="J467" i="13"/>
  <c r="J466" i="13" s="1"/>
  <c r="I466" i="13"/>
  <c r="H466" i="13"/>
  <c r="G467" i="13"/>
  <c r="G466" i="13" s="1"/>
  <c r="F466" i="13"/>
  <c r="E467" i="13"/>
  <c r="E466" i="13" s="1"/>
  <c r="J460" i="13"/>
  <c r="J458" i="13"/>
  <c r="J457" i="13"/>
  <c r="J452" i="13"/>
  <c r="J451" i="13"/>
  <c r="J450" i="13"/>
  <c r="G450" i="13"/>
  <c r="E450" i="13"/>
  <c r="J449" i="13"/>
  <c r="G449" i="13"/>
  <c r="E449" i="13"/>
  <c r="J448" i="13"/>
  <c r="J447" i="13"/>
  <c r="J445" i="13"/>
  <c r="J444" i="13" s="1"/>
  <c r="I444" i="13"/>
  <c r="H444" i="13"/>
  <c r="G445" i="13"/>
  <c r="G444" i="13" s="1"/>
  <c r="F444" i="13"/>
  <c r="E444" i="13"/>
  <c r="J441" i="13"/>
  <c r="G441" i="13"/>
  <c r="E441" i="13"/>
  <c r="J439" i="13"/>
  <c r="G439" i="13"/>
  <c r="E439" i="13"/>
  <c r="J437" i="13"/>
  <c r="E437" i="13"/>
  <c r="J436" i="13"/>
  <c r="E436" i="13"/>
  <c r="J435" i="13"/>
  <c r="G435" i="13"/>
  <c r="E435" i="13"/>
  <c r="J438" i="13"/>
  <c r="G438" i="13"/>
  <c r="E438" i="13"/>
  <c r="J433" i="13"/>
  <c r="G433" i="13"/>
  <c r="E433" i="13"/>
  <c r="J434" i="13"/>
  <c r="G434" i="13"/>
  <c r="E434" i="13"/>
  <c r="J432" i="13"/>
  <c r="G432" i="13"/>
  <c r="E432" i="13"/>
  <c r="J431" i="13"/>
  <c r="G431" i="13"/>
  <c r="E431" i="13"/>
  <c r="J430" i="13"/>
  <c r="G430" i="13"/>
  <c r="E430" i="13"/>
  <c r="J429" i="13"/>
  <c r="F429" i="13"/>
  <c r="E429" i="13"/>
  <c r="J428" i="13"/>
  <c r="G428" i="13"/>
  <c r="E428" i="13"/>
  <c r="J427" i="13"/>
  <c r="G427" i="13"/>
  <c r="F427" i="13"/>
  <c r="E427" i="13"/>
  <c r="J377" i="13"/>
  <c r="J376" i="13" s="1"/>
  <c r="H376" i="13"/>
  <c r="E376" i="13"/>
  <c r="J372" i="13"/>
  <c r="J371" i="13" s="1"/>
  <c r="E371" i="13"/>
  <c r="J368" i="13"/>
  <c r="J367" i="13" s="1"/>
  <c r="I367" i="13"/>
  <c r="H367" i="13"/>
  <c r="G367" i="13"/>
  <c r="F368" i="13"/>
  <c r="F367" i="13" s="1"/>
  <c r="E367" i="13"/>
  <c r="J340" i="13"/>
  <c r="F340" i="13"/>
  <c r="J339" i="13"/>
  <c r="F339" i="13"/>
  <c r="J318" i="13"/>
  <c r="J317" i="13" s="1"/>
  <c r="I318" i="13"/>
  <c r="I317" i="13" s="1"/>
  <c r="H318" i="13"/>
  <c r="H317" i="13" s="1"/>
  <c r="G318" i="13"/>
  <c r="G317" i="13" s="1"/>
  <c r="F318" i="13"/>
  <c r="F317" i="13" s="1"/>
  <c r="E318" i="13"/>
  <c r="E317" i="13" s="1"/>
  <c r="F314" i="13"/>
  <c r="E316" i="13"/>
  <c r="E314" i="13" s="1"/>
  <c r="E306" i="13"/>
  <c r="E305" i="13" s="1"/>
  <c r="J302" i="13"/>
  <c r="J299" i="13" s="1"/>
  <c r="I299" i="13"/>
  <c r="H302" i="13"/>
  <c r="H299" i="13" s="1"/>
  <c r="G299" i="13"/>
  <c r="F302" i="13"/>
  <c r="F299" i="13" s="1"/>
  <c r="E302" i="13"/>
  <c r="E299" i="13" s="1"/>
  <c r="J294" i="13"/>
  <c r="I294" i="13"/>
  <c r="H294" i="13"/>
  <c r="G294" i="13"/>
  <c r="F294" i="13"/>
  <c r="J293" i="13"/>
  <c r="H293" i="13"/>
  <c r="J289" i="13"/>
  <c r="J288" i="13"/>
  <c r="J287" i="13"/>
  <c r="J286" i="13"/>
  <c r="J279" i="13"/>
  <c r="I279" i="13"/>
  <c r="G279" i="13"/>
  <c r="F279" i="13"/>
  <c r="E279" i="13"/>
  <c r="J275" i="13"/>
  <c r="H275" i="13"/>
  <c r="J266" i="13"/>
  <c r="I266" i="13"/>
  <c r="H266" i="13"/>
  <c r="G266" i="13"/>
  <c r="F266" i="13"/>
  <c r="E266" i="13"/>
  <c r="J264" i="13"/>
  <c r="I264" i="13"/>
  <c r="H264" i="13"/>
  <c r="G264" i="13"/>
  <c r="F264" i="13"/>
  <c r="E264" i="13"/>
  <c r="J263" i="13"/>
  <c r="I263" i="13"/>
  <c r="G263" i="13"/>
  <c r="F263" i="13"/>
  <c r="E263" i="13"/>
  <c r="J660" i="13"/>
  <c r="G660" i="13"/>
  <c r="E660" i="13"/>
  <c r="J659" i="13"/>
  <c r="G659" i="13"/>
  <c r="E659" i="13"/>
  <c r="J260" i="13"/>
  <c r="I260" i="13"/>
  <c r="H260" i="13"/>
  <c r="G260" i="13"/>
  <c r="F260" i="13"/>
  <c r="E260" i="13"/>
  <c r="J252" i="13"/>
  <c r="H252" i="13"/>
  <c r="F252" i="13"/>
  <c r="E252" i="13"/>
  <c r="J250" i="13"/>
  <c r="J246" i="13"/>
  <c r="H246" i="13"/>
  <c r="J245" i="13"/>
  <c r="I245" i="13"/>
  <c r="H245" i="13"/>
  <c r="G245" i="13"/>
  <c r="F245" i="13"/>
  <c r="E245" i="13"/>
  <c r="J244" i="13"/>
  <c r="J243" i="13"/>
  <c r="I243" i="13"/>
  <c r="H243" i="13"/>
  <c r="G243" i="13"/>
  <c r="F243" i="13"/>
  <c r="E243" i="13"/>
  <c r="J615" i="13"/>
  <c r="G615" i="13"/>
  <c r="E615" i="13"/>
  <c r="J229" i="13"/>
  <c r="I229" i="13"/>
  <c r="H229" i="13"/>
  <c r="G229" i="13"/>
  <c r="F229" i="13"/>
  <c r="E229" i="13"/>
  <c r="J605" i="13"/>
  <c r="G605" i="13"/>
  <c r="E605" i="13"/>
  <c r="J604" i="13"/>
  <c r="G604" i="13"/>
  <c r="E604" i="13"/>
  <c r="J227" i="13"/>
  <c r="I227" i="13"/>
  <c r="H227" i="13"/>
  <c r="G227" i="13"/>
  <c r="F227" i="13"/>
  <c r="E227" i="13"/>
  <c r="J224" i="13"/>
  <c r="H224" i="13"/>
  <c r="E224" i="13"/>
  <c r="J222" i="13"/>
  <c r="I222" i="13"/>
  <c r="H222" i="13"/>
  <c r="G222" i="13"/>
  <c r="F222" i="13"/>
  <c r="E222" i="13"/>
  <c r="J221" i="13"/>
  <c r="I221" i="13"/>
  <c r="H221" i="13"/>
  <c r="G221" i="13"/>
  <c r="F221" i="13"/>
  <c r="E221" i="13"/>
  <c r="J220" i="13"/>
  <c r="J219" i="13"/>
  <c r="J217" i="13"/>
  <c r="H217" i="13"/>
  <c r="J216" i="13"/>
  <c r="I216" i="13"/>
  <c r="H216" i="13"/>
  <c r="G216" i="13"/>
  <c r="F216" i="13"/>
  <c r="E216" i="13"/>
  <c r="J211" i="13"/>
  <c r="I211" i="13"/>
  <c r="G211" i="13"/>
  <c r="F211" i="13"/>
  <c r="E211" i="13"/>
  <c r="J209" i="13"/>
  <c r="J208" i="13"/>
  <c r="I208" i="13"/>
  <c r="H208" i="13"/>
  <c r="G208" i="13"/>
  <c r="F208" i="13"/>
  <c r="E208" i="13"/>
  <c r="J202" i="13"/>
  <c r="I202" i="13"/>
  <c r="H202" i="13"/>
  <c r="G202" i="13"/>
  <c r="F202" i="13"/>
  <c r="E202" i="13"/>
  <c r="J201" i="13"/>
  <c r="I201" i="13"/>
  <c r="H201" i="13"/>
  <c r="G201" i="13"/>
  <c r="F201" i="13"/>
  <c r="E201" i="13"/>
  <c r="J200" i="13"/>
  <c r="I200" i="13"/>
  <c r="H200" i="13"/>
  <c r="G200" i="13"/>
  <c r="F200" i="13"/>
  <c r="E200" i="13"/>
  <c r="J199" i="13"/>
  <c r="I199" i="13"/>
  <c r="H199" i="13"/>
  <c r="G199" i="13"/>
  <c r="F199" i="13"/>
  <c r="E199" i="13"/>
  <c r="J198" i="13"/>
  <c r="J197" i="13"/>
  <c r="I197" i="13"/>
  <c r="H197" i="13"/>
  <c r="G197" i="13"/>
  <c r="F197" i="13"/>
  <c r="E197" i="13"/>
  <c r="J196" i="13"/>
  <c r="I196" i="13"/>
  <c r="H196" i="13"/>
  <c r="G196" i="13"/>
  <c r="F196" i="13"/>
  <c r="E196" i="13"/>
  <c r="J194" i="13"/>
  <c r="J192" i="13"/>
  <c r="I192" i="13"/>
  <c r="H192" i="13"/>
  <c r="G192" i="13"/>
  <c r="E192" i="13"/>
  <c r="J191" i="13"/>
  <c r="I191" i="13"/>
  <c r="H191" i="13"/>
  <c r="G191" i="13"/>
  <c r="F191" i="13"/>
  <c r="E191" i="13"/>
  <c r="J190" i="13"/>
  <c r="I190" i="13"/>
  <c r="H190" i="13"/>
  <c r="G190" i="13"/>
  <c r="F190" i="13"/>
  <c r="E190" i="13"/>
  <c r="J189" i="13"/>
  <c r="I189" i="13"/>
  <c r="H189" i="13"/>
  <c r="G189" i="13"/>
  <c r="F189" i="13"/>
  <c r="E189" i="13"/>
  <c r="J188" i="13"/>
  <c r="I188" i="13"/>
  <c r="H188" i="13"/>
  <c r="G188" i="13"/>
  <c r="F188" i="13"/>
  <c r="E188" i="13"/>
  <c r="J187" i="13"/>
  <c r="I187" i="13"/>
  <c r="H187" i="13"/>
  <c r="G187" i="13"/>
  <c r="F187" i="13"/>
  <c r="E187" i="13"/>
  <c r="J185" i="13"/>
  <c r="I185" i="13"/>
  <c r="H185" i="13"/>
  <c r="G185" i="13"/>
  <c r="F185" i="13"/>
  <c r="E185" i="13"/>
  <c r="J182" i="13"/>
  <c r="J174" i="13"/>
  <c r="H174" i="13"/>
  <c r="J173" i="13"/>
  <c r="I173" i="13"/>
  <c r="H173" i="13"/>
  <c r="G173" i="13"/>
  <c r="F173" i="13"/>
  <c r="E173" i="13"/>
  <c r="J172" i="13"/>
  <c r="H172" i="13"/>
  <c r="J170" i="13"/>
  <c r="I170" i="13"/>
  <c r="H170" i="13"/>
  <c r="G170" i="13"/>
  <c r="F170" i="13"/>
  <c r="E170" i="13"/>
  <c r="J169" i="13"/>
  <c r="I169" i="13"/>
  <c r="H169" i="13"/>
  <c r="G169" i="13"/>
  <c r="E169" i="13"/>
  <c r="J168" i="13"/>
  <c r="I168" i="13"/>
  <c r="H168" i="13"/>
  <c r="G168" i="13"/>
  <c r="F168" i="13"/>
  <c r="E168" i="13"/>
  <c r="J157" i="13"/>
  <c r="I157" i="13"/>
  <c r="H157" i="13"/>
  <c r="G157" i="13"/>
  <c r="F157" i="13"/>
  <c r="E157" i="13"/>
  <c r="J141" i="13"/>
  <c r="I141" i="13"/>
  <c r="H141" i="13"/>
  <c r="F141" i="13"/>
  <c r="J139" i="13"/>
  <c r="I139" i="13"/>
  <c r="H139" i="13"/>
  <c r="F139" i="13"/>
  <c r="J134" i="13"/>
  <c r="J133" i="13" s="1"/>
  <c r="H134" i="13"/>
  <c r="H133" i="13" s="1"/>
  <c r="F134" i="13"/>
  <c r="F133" i="13" s="1"/>
  <c r="J132" i="13"/>
  <c r="J131" i="13" s="1"/>
  <c r="I132" i="13"/>
  <c r="I131" i="13" s="1"/>
  <c r="H132" i="13"/>
  <c r="H131" i="13" s="1"/>
  <c r="G132" i="13"/>
  <c r="G131" i="13" s="1"/>
  <c r="F132" i="13"/>
  <c r="F131" i="13" s="1"/>
  <c r="E132" i="13"/>
  <c r="E131" i="13" s="1"/>
  <c r="J126" i="13"/>
  <c r="I126" i="13"/>
  <c r="H126" i="13"/>
  <c r="G126" i="13"/>
  <c r="F126" i="13"/>
  <c r="E126" i="13"/>
  <c r="J122" i="13"/>
  <c r="I122" i="13"/>
  <c r="H122" i="13"/>
  <c r="G122" i="13"/>
  <c r="F122" i="13"/>
  <c r="E122" i="13"/>
  <c r="J121" i="13"/>
  <c r="H121" i="13"/>
  <c r="J120" i="13"/>
  <c r="H120" i="13"/>
  <c r="J115" i="13"/>
  <c r="I115" i="13"/>
  <c r="H115" i="13"/>
  <c r="G115" i="13"/>
  <c r="F115" i="13"/>
  <c r="E115" i="13"/>
  <c r="J113" i="13"/>
  <c r="I113" i="13"/>
  <c r="H113" i="13"/>
  <c r="G113" i="13"/>
  <c r="F113" i="13"/>
  <c r="E113" i="13"/>
  <c r="J110" i="13"/>
  <c r="I110" i="13"/>
  <c r="H110" i="13"/>
  <c r="G110" i="13"/>
  <c r="F110" i="13"/>
  <c r="J109" i="13"/>
  <c r="I109" i="13"/>
  <c r="H109" i="13"/>
  <c r="G109" i="13"/>
  <c r="F109" i="13"/>
  <c r="J102" i="13"/>
  <c r="J101" i="13" s="1"/>
  <c r="H101" i="13"/>
  <c r="J97" i="13"/>
  <c r="I97" i="13"/>
  <c r="H97" i="13"/>
  <c r="G97" i="13"/>
  <c r="F97" i="13"/>
  <c r="E97" i="13"/>
  <c r="J96" i="13"/>
  <c r="I96" i="13"/>
  <c r="H96" i="13"/>
  <c r="G96" i="13"/>
  <c r="F96" i="13"/>
  <c r="E96" i="13"/>
  <c r="J94" i="13"/>
  <c r="H94" i="13"/>
  <c r="J93" i="13"/>
  <c r="H93" i="13"/>
  <c r="J91" i="13"/>
  <c r="H91" i="13"/>
  <c r="F91" i="13"/>
  <c r="J90" i="13"/>
  <c r="J86" i="13"/>
  <c r="J88" i="13"/>
  <c r="I88" i="13"/>
  <c r="H88" i="13"/>
  <c r="G88" i="13"/>
  <c r="F88" i="13"/>
  <c r="E88" i="13"/>
  <c r="J73" i="13"/>
  <c r="J72" i="13" s="1"/>
  <c r="H73" i="13"/>
  <c r="H72" i="13" s="1"/>
  <c r="E73" i="13"/>
  <c r="E72" i="13" s="1"/>
  <c r="D856" i="13" l="1"/>
  <c r="C1089" i="13"/>
  <c r="D1088" i="13"/>
  <c r="D885" i="13"/>
  <c r="G840" i="13"/>
  <c r="E81" i="13"/>
  <c r="E119" i="13"/>
  <c r="E338" i="13"/>
  <c r="I338" i="13"/>
  <c r="E456" i="13"/>
  <c r="I456" i="13"/>
  <c r="H468" i="13"/>
  <c r="F791" i="13"/>
  <c r="J791" i="13"/>
  <c r="H868" i="13"/>
  <c r="F879" i="13"/>
  <c r="J879" i="13"/>
  <c r="I81" i="13"/>
  <c r="E111" i="13"/>
  <c r="I111" i="13"/>
  <c r="I119" i="13"/>
  <c r="H104" i="13"/>
  <c r="G292" i="13"/>
  <c r="F424" i="13"/>
  <c r="H338" i="13"/>
  <c r="H456" i="13"/>
  <c r="G468" i="13"/>
  <c r="E791" i="13"/>
  <c r="I791" i="13"/>
  <c r="E840" i="13"/>
  <c r="E879" i="13"/>
  <c r="I879" i="13"/>
  <c r="J424" i="13"/>
  <c r="E724" i="13"/>
  <c r="F840" i="13"/>
  <c r="I861" i="13"/>
  <c r="H111" i="13"/>
  <c r="H119" i="13"/>
  <c r="H424" i="13"/>
  <c r="I840" i="13"/>
  <c r="C729" i="13"/>
  <c r="C728" i="13" s="1"/>
  <c r="D728" i="13"/>
  <c r="C1069" i="13"/>
  <c r="C1067" i="13" s="1"/>
  <c r="D1067" i="13"/>
  <c r="C703" i="13"/>
  <c r="D702" i="13"/>
  <c r="C828" i="13"/>
  <c r="C827" i="13" s="1"/>
  <c r="D827" i="13"/>
  <c r="C836" i="13"/>
  <c r="C833" i="13" s="1"/>
  <c r="D833" i="13"/>
  <c r="J285" i="13"/>
  <c r="F292" i="13"/>
  <c r="J292" i="13"/>
  <c r="E424" i="13"/>
  <c r="I424" i="13"/>
  <c r="J840" i="13"/>
  <c r="H861" i="13"/>
  <c r="E1074" i="13"/>
  <c r="C1105" i="13"/>
  <c r="C893" i="13"/>
  <c r="C1092" i="13"/>
  <c r="C344" i="13"/>
  <c r="D341" i="13"/>
  <c r="C832" i="13"/>
  <c r="C831" i="13" s="1"/>
  <c r="D831" i="13"/>
  <c r="C709" i="13"/>
  <c r="C708" i="13" s="1"/>
  <c r="D708" i="13"/>
  <c r="C1080" i="13"/>
  <c r="C1079" i="13" s="1"/>
  <c r="D1079" i="13"/>
  <c r="C1073" i="13"/>
  <c r="C1071" i="13" s="1"/>
  <c r="D1071" i="13"/>
  <c r="C1066" i="13"/>
  <c r="C1065" i="13" s="1"/>
  <c r="D1065" i="13"/>
  <c r="F104" i="13"/>
  <c r="G338" i="13"/>
  <c r="G456" i="13"/>
  <c r="F468" i="13"/>
  <c r="J468" i="13"/>
  <c r="H791" i="13"/>
  <c r="G861" i="13"/>
  <c r="J868" i="13"/>
  <c r="H879" i="13"/>
  <c r="C399" i="13"/>
  <c r="C398" i="13" s="1"/>
  <c r="D398" i="13"/>
  <c r="C857" i="13"/>
  <c r="C856" i="13" s="1"/>
  <c r="C741" i="13"/>
  <c r="C755" i="13"/>
  <c r="C754" i="13" s="1"/>
  <c r="D754" i="13"/>
  <c r="C785" i="13"/>
  <c r="D784" i="13"/>
  <c r="C883" i="13"/>
  <c r="C882" i="13" s="1"/>
  <c r="D882" i="13"/>
  <c r="C1082" i="13"/>
  <c r="C1081" i="13" s="1"/>
  <c r="D1081" i="13"/>
  <c r="J104" i="13"/>
  <c r="G285" i="13"/>
  <c r="F338" i="13"/>
  <c r="J338" i="13"/>
  <c r="G424" i="13"/>
  <c r="J446" i="13"/>
  <c r="F456" i="13"/>
  <c r="J456" i="13"/>
  <c r="E468" i="13"/>
  <c r="I468" i="13"/>
  <c r="G791" i="13"/>
  <c r="E861" i="13"/>
  <c r="J861" i="13"/>
  <c r="G879" i="13"/>
  <c r="D711" i="13"/>
  <c r="G81" i="13"/>
  <c r="G111" i="13"/>
  <c r="G119" i="13"/>
  <c r="E292" i="13"/>
  <c r="I292" i="13"/>
  <c r="F81" i="13"/>
  <c r="J81" i="13"/>
  <c r="I104" i="13"/>
  <c r="F111" i="13"/>
  <c r="J111" i="13"/>
  <c r="F119" i="13"/>
  <c r="J119" i="13"/>
  <c r="E285" i="13"/>
  <c r="I285" i="13"/>
  <c r="H292" i="13"/>
  <c r="H81" i="13"/>
  <c r="G104" i="13"/>
  <c r="F285" i="13"/>
  <c r="C716" i="13"/>
  <c r="D216" i="13"/>
  <c r="C216" i="13" s="1"/>
  <c r="D219" i="13"/>
  <c r="C219" i="13" s="1"/>
  <c r="D264" i="13"/>
  <c r="C264" i="13" s="1"/>
  <c r="D275" i="13"/>
  <c r="C275" i="13" s="1"/>
  <c r="D287" i="13"/>
  <c r="C287" i="13" s="1"/>
  <c r="D340" i="13"/>
  <c r="C340" i="13" s="1"/>
  <c r="D471" i="13"/>
  <c r="D472" i="13"/>
  <c r="C472" i="13" s="1"/>
  <c r="D474" i="13"/>
  <c r="C474" i="13" s="1"/>
  <c r="D477" i="13"/>
  <c r="C477" i="13" s="1"/>
  <c r="D479" i="13"/>
  <c r="C479" i="13" s="1"/>
  <c r="D639" i="13"/>
  <c r="C639" i="13" s="1"/>
  <c r="D665" i="13"/>
  <c r="D844" i="13"/>
  <c r="D863" i="13"/>
  <c r="C863" i="13" s="1"/>
  <c r="D872" i="13"/>
  <c r="C872" i="13" s="1"/>
  <c r="D875" i="13"/>
  <c r="C875" i="13" s="1"/>
  <c r="D877" i="13"/>
  <c r="C877" i="13" s="1"/>
  <c r="D368" i="13"/>
  <c r="D377" i="13"/>
  <c r="D490" i="13"/>
  <c r="D723" i="13"/>
  <c r="D798" i="13"/>
  <c r="D120" i="13"/>
  <c r="D286" i="13"/>
  <c r="D293" i="13"/>
  <c r="D302" i="13"/>
  <c r="D299" i="13" s="1"/>
  <c r="D427" i="13"/>
  <c r="D445" i="13"/>
  <c r="D91" i="13"/>
  <c r="D157" i="13"/>
  <c r="D174" i="13"/>
  <c r="D188" i="13"/>
  <c r="C188" i="13" s="1"/>
  <c r="D190" i="13"/>
  <c r="C190" i="13" s="1"/>
  <c r="D198" i="13"/>
  <c r="C198" i="13" s="1"/>
  <c r="D202" i="13"/>
  <c r="C202" i="13" s="1"/>
  <c r="D208" i="13"/>
  <c r="C208" i="13" s="1"/>
  <c r="D222" i="13"/>
  <c r="C222" i="13" s="1"/>
  <c r="D243" i="13"/>
  <c r="C243" i="13" s="1"/>
  <c r="D250" i="13"/>
  <c r="C250" i="13" s="1"/>
  <c r="D659" i="13"/>
  <c r="C659" i="13" s="1"/>
  <c r="D263" i="13"/>
  <c r="C263" i="13" s="1"/>
  <c r="D429" i="13"/>
  <c r="D431" i="13"/>
  <c r="D434" i="13"/>
  <c r="D438" i="13"/>
  <c r="D436" i="13"/>
  <c r="D439" i="13"/>
  <c r="D448" i="13"/>
  <c r="C448" i="13" s="1"/>
  <c r="D450" i="13"/>
  <c r="C450" i="13" s="1"/>
  <c r="D452" i="13"/>
  <c r="C452" i="13" s="1"/>
  <c r="D458" i="13"/>
  <c r="C458" i="13" s="1"/>
  <c r="D864" i="13"/>
  <c r="C864" i="13" s="1"/>
  <c r="D880" i="13"/>
  <c r="D1060" i="13"/>
  <c r="D113" i="13"/>
  <c r="D132" i="13"/>
  <c r="D131" i="13" s="1"/>
  <c r="D316" i="13"/>
  <c r="D339" i="13"/>
  <c r="D372" i="13"/>
  <c r="D470" i="13"/>
  <c r="D492" i="13"/>
  <c r="D862" i="13"/>
  <c r="D1062" i="13"/>
  <c r="D1105" i="13"/>
  <c r="D94" i="13"/>
  <c r="D122" i="13"/>
  <c r="D139" i="13"/>
  <c r="C139" i="13" s="1"/>
  <c r="D169" i="13"/>
  <c r="C169" i="13" s="1"/>
  <c r="D172" i="13"/>
  <c r="C172" i="13" s="1"/>
  <c r="D185" i="13"/>
  <c r="C185" i="13" s="1"/>
  <c r="D192" i="13"/>
  <c r="D196" i="13"/>
  <c r="C196" i="13" s="1"/>
  <c r="D199" i="13"/>
  <c r="C199" i="13" s="1"/>
  <c r="D211" i="13"/>
  <c r="C211" i="13" s="1"/>
  <c r="D227" i="13"/>
  <c r="C227" i="13" s="1"/>
  <c r="D605" i="13"/>
  <c r="C605" i="13" s="1"/>
  <c r="D245" i="13"/>
  <c r="C245" i="13" s="1"/>
  <c r="D217" i="13"/>
  <c r="D220" i="13"/>
  <c r="C220" i="13" s="1"/>
  <c r="D266" i="13"/>
  <c r="D279" i="13"/>
  <c r="D289" i="13"/>
  <c r="C289" i="13" s="1"/>
  <c r="D476" i="13"/>
  <c r="C476" i="13" s="1"/>
  <c r="D473" i="13"/>
  <c r="C473" i="13" s="1"/>
  <c r="D475" i="13"/>
  <c r="C475" i="13" s="1"/>
  <c r="D478" i="13"/>
  <c r="C478" i="13" s="1"/>
  <c r="D481" i="13"/>
  <c r="C481" i="13" s="1"/>
  <c r="D641" i="13"/>
  <c r="C641" i="13" s="1"/>
  <c r="D698" i="13"/>
  <c r="C698" i="13" s="1"/>
  <c r="D793" i="13"/>
  <c r="C793" i="13" s="1"/>
  <c r="D871" i="13"/>
  <c r="C871" i="13" s="1"/>
  <c r="D874" i="13"/>
  <c r="C874" i="13" s="1"/>
  <c r="D876" i="13"/>
  <c r="C876" i="13" s="1"/>
  <c r="D878" i="13"/>
  <c r="C878" i="13" s="1"/>
  <c r="D881" i="13"/>
  <c r="C881" i="13" s="1"/>
  <c r="D318" i="13"/>
  <c r="D467" i="13"/>
  <c r="D792" i="13"/>
  <c r="D867" i="13"/>
  <c r="D1075" i="13"/>
  <c r="D73" i="13"/>
  <c r="D72" i="13" s="1"/>
  <c r="D109" i="13"/>
  <c r="D88" i="13"/>
  <c r="D102" i="13"/>
  <c r="D134" i="13"/>
  <c r="D306" i="13"/>
  <c r="D305" i="13" s="1"/>
  <c r="D447" i="13"/>
  <c r="D457" i="13"/>
  <c r="D725" i="13"/>
  <c r="D764" i="13"/>
  <c r="D86" i="13"/>
  <c r="D97" i="13"/>
  <c r="D90" i="13"/>
  <c r="D93" i="13"/>
  <c r="D96" i="13"/>
  <c r="D110" i="13"/>
  <c r="C110" i="13" s="1"/>
  <c r="D115" i="13"/>
  <c r="C115" i="13" s="1"/>
  <c r="D121" i="13"/>
  <c r="D126" i="13"/>
  <c r="D141" i="13"/>
  <c r="C141" i="13" s="1"/>
  <c r="D168" i="13"/>
  <c r="C168" i="13" s="1"/>
  <c r="D170" i="13"/>
  <c r="C170" i="13" s="1"/>
  <c r="D173" i="13"/>
  <c r="C173" i="13" s="1"/>
  <c r="D182" i="13"/>
  <c r="D187" i="13"/>
  <c r="C187" i="13" s="1"/>
  <c r="D189" i="13"/>
  <c r="C189" i="13" s="1"/>
  <c r="D191" i="13"/>
  <c r="C191" i="13" s="1"/>
  <c r="D194" i="13"/>
  <c r="C194" i="13" s="1"/>
  <c r="D197" i="13"/>
  <c r="C197" i="13" s="1"/>
  <c r="D200" i="13"/>
  <c r="C200" i="13" s="1"/>
  <c r="D201" i="13"/>
  <c r="C201" i="13" s="1"/>
  <c r="D209" i="13"/>
  <c r="D221" i="13"/>
  <c r="C221" i="13" s="1"/>
  <c r="D224" i="13"/>
  <c r="D604" i="13"/>
  <c r="C604" i="13" s="1"/>
  <c r="D229" i="13"/>
  <c r="C229" i="13" s="1"/>
  <c r="D615" i="13"/>
  <c r="C615" i="13" s="1"/>
  <c r="D244" i="13"/>
  <c r="D246" i="13"/>
  <c r="D252" i="13"/>
  <c r="C252" i="13" s="1"/>
  <c r="D260" i="13"/>
  <c r="C260" i="13" s="1"/>
  <c r="D660" i="13"/>
  <c r="C660" i="13" s="1"/>
  <c r="D288" i="13"/>
  <c r="C288" i="13" s="1"/>
  <c r="D294" i="13"/>
  <c r="D428" i="13"/>
  <c r="D430" i="13"/>
  <c r="D432" i="13"/>
  <c r="D433" i="13"/>
  <c r="D435" i="13"/>
  <c r="D437" i="13"/>
  <c r="D441" i="13"/>
  <c r="D449" i="13"/>
  <c r="C449" i="13" s="1"/>
  <c r="D451" i="13"/>
  <c r="C451" i="13" s="1"/>
  <c r="D460" i="13"/>
  <c r="C460" i="13" s="1"/>
  <c r="D845" i="13"/>
  <c r="D865" i="13"/>
  <c r="C865" i="13" s="1"/>
  <c r="J44" i="13"/>
  <c r="J43" i="13" s="1"/>
  <c r="I43" i="13"/>
  <c r="H44" i="13"/>
  <c r="H43" i="13" s="1"/>
  <c r="G44" i="13"/>
  <c r="G43" i="13" s="1"/>
  <c r="F44" i="13"/>
  <c r="F43" i="13" s="1"/>
  <c r="E44" i="13"/>
  <c r="E43" i="13" s="1"/>
  <c r="J34" i="13"/>
  <c r="J33" i="13" s="1"/>
  <c r="I34" i="13"/>
  <c r="I33" i="13" s="1"/>
  <c r="H34" i="13"/>
  <c r="H33" i="13" s="1"/>
  <c r="G34" i="13"/>
  <c r="G33" i="13" s="1"/>
  <c r="F34" i="13"/>
  <c r="F33" i="13" s="1"/>
  <c r="J15" i="13"/>
  <c r="J14" i="13" s="1"/>
  <c r="I15" i="13"/>
  <c r="I14" i="13" s="1"/>
  <c r="H15" i="13"/>
  <c r="H14" i="13" s="1"/>
  <c r="G15" i="13"/>
  <c r="G14" i="13" s="1"/>
  <c r="F15" i="13"/>
  <c r="F14" i="13" s="1"/>
  <c r="E15" i="13"/>
  <c r="E14" i="13" s="1"/>
  <c r="J13" i="13"/>
  <c r="I13" i="13"/>
  <c r="H13" i="13"/>
  <c r="G13" i="13"/>
  <c r="F13" i="13"/>
  <c r="E13" i="13"/>
  <c r="J12" i="13"/>
  <c r="I12" i="13"/>
  <c r="H12" i="13"/>
  <c r="G12" i="13"/>
  <c r="F12" i="13"/>
  <c r="E12" i="13"/>
  <c r="J511" i="13"/>
  <c r="J135" i="13" s="1"/>
  <c r="I511" i="13"/>
  <c r="I135" i="13" s="1"/>
  <c r="H511" i="13"/>
  <c r="H135" i="13" s="1"/>
  <c r="G511" i="13"/>
  <c r="G135" i="13" s="1"/>
  <c r="F511" i="13"/>
  <c r="F135" i="13" s="1"/>
  <c r="E511" i="13"/>
  <c r="E135" i="13" s="1"/>
  <c r="C1088" i="13" l="1"/>
  <c r="J491" i="13"/>
  <c r="J337" i="13" s="1"/>
  <c r="D840" i="13"/>
  <c r="C339" i="13"/>
  <c r="C338" i="13" s="1"/>
  <c r="D338" i="13"/>
  <c r="C447" i="13"/>
  <c r="C867" i="13"/>
  <c r="C866" i="13" s="1"/>
  <c r="D866" i="13"/>
  <c r="C1062" i="13"/>
  <c r="C1061" i="13" s="1"/>
  <c r="D1061" i="13"/>
  <c r="C372" i="13"/>
  <c r="C371" i="13" s="1"/>
  <c r="D371" i="13"/>
  <c r="C377" i="13"/>
  <c r="C376" i="13" s="1"/>
  <c r="D376" i="13"/>
  <c r="D424" i="13"/>
  <c r="C792" i="13"/>
  <c r="C791" i="13" s="1"/>
  <c r="D791" i="13"/>
  <c r="C445" i="13"/>
  <c r="C444" i="13" s="1"/>
  <c r="D444" i="13"/>
  <c r="C490" i="13"/>
  <c r="C489" i="13" s="1"/>
  <c r="D489" i="13"/>
  <c r="D468" i="13"/>
  <c r="C862" i="13"/>
  <c r="C861" i="13" s="1"/>
  <c r="D861" i="13"/>
  <c r="C1060" i="13"/>
  <c r="C1059" i="13" s="1"/>
  <c r="D1059" i="13"/>
  <c r="C798" i="13"/>
  <c r="C797" i="13" s="1"/>
  <c r="D797" i="13"/>
  <c r="C368" i="13"/>
  <c r="C367" i="13" s="1"/>
  <c r="D367" i="13"/>
  <c r="C457" i="13"/>
  <c r="D456" i="13"/>
  <c r="C1075" i="13"/>
  <c r="C1074" i="13" s="1"/>
  <c r="D1074" i="13"/>
  <c r="C725" i="13"/>
  <c r="D724" i="13"/>
  <c r="C467" i="13"/>
  <c r="C466" i="13" s="1"/>
  <c r="D466" i="13"/>
  <c r="C880" i="13"/>
  <c r="C879" i="13" s="1"/>
  <c r="D879" i="13"/>
  <c r="C723" i="13"/>
  <c r="C722" i="13" s="1"/>
  <c r="D722" i="13"/>
  <c r="F11" i="13"/>
  <c r="F10" i="13" s="1"/>
  <c r="J11" i="13"/>
  <c r="J10" i="13" s="1"/>
  <c r="E11" i="13"/>
  <c r="E10" i="13" s="1"/>
  <c r="I11" i="13"/>
  <c r="I10" i="13" s="1"/>
  <c r="C113" i="13"/>
  <c r="D111" i="13"/>
  <c r="C109" i="13"/>
  <c r="C104" i="13" s="1"/>
  <c r="D104" i="13"/>
  <c r="C316" i="13"/>
  <c r="D314" i="13"/>
  <c r="C102" i="13"/>
  <c r="C101" i="13" s="1"/>
  <c r="D101" i="13"/>
  <c r="C318" i="13"/>
  <c r="C317" i="13" s="1"/>
  <c r="D317" i="13"/>
  <c r="D119" i="13"/>
  <c r="H11" i="13"/>
  <c r="H10" i="13" s="1"/>
  <c r="D81" i="13"/>
  <c r="D292" i="13"/>
  <c r="G11" i="13"/>
  <c r="G10" i="13" s="1"/>
  <c r="C134" i="13"/>
  <c r="D133" i="13"/>
  <c r="C286" i="13"/>
  <c r="C285" i="13" s="1"/>
  <c r="D285" i="13"/>
  <c r="C192" i="13"/>
  <c r="D15" i="13"/>
  <c r="D34" i="13"/>
  <c r="D33" i="13" s="1"/>
  <c r="D511" i="13"/>
  <c r="D135" i="13" s="1"/>
  <c r="D44" i="13"/>
  <c r="D12" i="13"/>
  <c r="D13" i="13"/>
  <c r="C13" i="13" s="1"/>
  <c r="N511" i="13"/>
  <c r="I1086" i="13"/>
  <c r="H1086" i="13"/>
  <c r="G1086" i="13"/>
  <c r="F1086" i="13"/>
  <c r="E1087" i="13"/>
  <c r="E1086" i="13" s="1"/>
  <c r="V511" i="13" l="1"/>
  <c r="N491" i="13"/>
  <c r="C133" i="13"/>
  <c r="C44" i="13"/>
  <c r="C43" i="13" s="1"/>
  <c r="D43" i="13"/>
  <c r="C15" i="13"/>
  <c r="D14" i="13"/>
  <c r="C12" i="13"/>
  <c r="C11" i="13" s="1"/>
  <c r="D11" i="13"/>
  <c r="C315" i="13"/>
  <c r="C314" i="13" s="1"/>
  <c r="V315" i="13"/>
  <c r="C511" i="13"/>
  <c r="D1087" i="13"/>
  <c r="E387" i="13"/>
  <c r="N386" i="13"/>
  <c r="N383" i="13" s="1"/>
  <c r="G386" i="13"/>
  <c r="F386" i="13"/>
  <c r="E386" i="13"/>
  <c r="R386" i="13"/>
  <c r="R383" i="13" s="1"/>
  <c r="I1063" i="13"/>
  <c r="H1063" i="13"/>
  <c r="G1063" i="13"/>
  <c r="F1063" i="13"/>
  <c r="E1064" i="13"/>
  <c r="E1063" i="13" s="1"/>
  <c r="I491" i="13"/>
  <c r="H491" i="13"/>
  <c r="G491" i="13"/>
  <c r="F491" i="13"/>
  <c r="E491" i="13"/>
  <c r="H383" i="13" l="1"/>
  <c r="D10" i="13"/>
  <c r="G383" i="13"/>
  <c r="F383" i="13"/>
  <c r="E383" i="13"/>
  <c r="I383" i="13"/>
  <c r="C1087" i="13"/>
  <c r="C1086" i="13" s="1"/>
  <c r="D1086" i="13"/>
  <c r="V386" i="13"/>
  <c r="D386" i="13"/>
  <c r="D607" i="13"/>
  <c r="D1064" i="13"/>
  <c r="D387" i="13"/>
  <c r="C387" i="13" s="1"/>
  <c r="I868" i="13"/>
  <c r="G868" i="13"/>
  <c r="F868" i="13"/>
  <c r="E869" i="13"/>
  <c r="E868" i="13" s="1"/>
  <c r="C607" i="13" l="1"/>
  <c r="D491" i="13"/>
  <c r="C1064" i="13"/>
  <c r="C1063" i="13" s="1"/>
  <c r="D1063" i="13"/>
  <c r="C386" i="13"/>
  <c r="C383" i="13" s="1"/>
  <c r="D383" i="13"/>
  <c r="D869" i="13"/>
  <c r="N707" i="13"/>
  <c r="N706" i="13" s="1"/>
  <c r="I706" i="13"/>
  <c r="G706" i="13"/>
  <c r="F706" i="13"/>
  <c r="E707" i="13"/>
  <c r="E706" i="13" s="1"/>
  <c r="N401" i="13"/>
  <c r="N400" i="13" s="1"/>
  <c r="N818" i="13"/>
  <c r="N817" i="13"/>
  <c r="N814" i="13"/>
  <c r="I819" i="13"/>
  <c r="G819" i="13"/>
  <c r="E820" i="13"/>
  <c r="E819" i="13" s="1"/>
  <c r="C869" i="13" l="1"/>
  <c r="D868" i="13"/>
  <c r="N813" i="13"/>
  <c r="C818" i="13"/>
  <c r="V818" i="13"/>
  <c r="C817" i="13"/>
  <c r="V817" i="13"/>
  <c r="C814" i="13"/>
  <c r="V814" i="13"/>
  <c r="V707" i="13"/>
  <c r="C401" i="13"/>
  <c r="C400" i="13" s="1"/>
  <c r="V401" i="13"/>
  <c r="D820" i="13"/>
  <c r="D819" i="13" s="1"/>
  <c r="D707" i="13"/>
  <c r="C813" i="13" l="1"/>
  <c r="V813" i="13" s="1"/>
  <c r="C707" i="13"/>
  <c r="C706" i="13" s="1"/>
  <c r="D706" i="13"/>
  <c r="C820" i="13"/>
  <c r="C819" i="13" s="1"/>
  <c r="L628" i="13"/>
  <c r="E446" i="13" l="1"/>
  <c r="I446" i="13"/>
  <c r="H446" i="13"/>
  <c r="C628" i="13"/>
  <c r="L491" i="13"/>
  <c r="G446" i="13"/>
  <c r="F446" i="13"/>
  <c r="D455" i="13"/>
  <c r="C455" i="13" s="1"/>
  <c r="D454" i="13"/>
  <c r="N870" i="13"/>
  <c r="N868" i="13" s="1"/>
  <c r="I740" i="13"/>
  <c r="H740" i="13"/>
  <c r="G740" i="13"/>
  <c r="F740" i="13"/>
  <c r="E748" i="13"/>
  <c r="E740" i="13" s="1"/>
  <c r="S97" i="13"/>
  <c r="L239" i="13"/>
  <c r="C239" i="13" s="1"/>
  <c r="L226" i="13"/>
  <c r="C562" i="13"/>
  <c r="C217" i="13"/>
  <c r="R157" i="13"/>
  <c r="C461" i="13"/>
  <c r="C459" i="13"/>
  <c r="C34" i="13"/>
  <c r="N320" i="13"/>
  <c r="N319" i="13" s="1"/>
  <c r="C733" i="13"/>
  <c r="R306" i="13"/>
  <c r="R305" i="13" s="1"/>
  <c r="N306" i="13"/>
  <c r="R302" i="13"/>
  <c r="V302" i="13"/>
  <c r="R301" i="13"/>
  <c r="V301" i="13"/>
  <c r="R300" i="13"/>
  <c r="C717" i="13"/>
  <c r="C715" i="13"/>
  <c r="C714" i="13"/>
  <c r="V294" i="13"/>
  <c r="C273" i="13"/>
  <c r="C224" i="13"/>
  <c r="V174" i="13"/>
  <c r="C531" i="13"/>
  <c r="C528" i="13"/>
  <c r="N138" i="13"/>
  <c r="R132" i="13"/>
  <c r="R131" i="13" s="1"/>
  <c r="N132" i="13"/>
  <c r="C480" i="13"/>
  <c r="R126" i="13"/>
  <c r="C126" i="13" s="1"/>
  <c r="C471" i="13"/>
  <c r="N122" i="13"/>
  <c r="V121" i="13"/>
  <c r="N117" i="13"/>
  <c r="N79" i="13"/>
  <c r="N61" i="13"/>
  <c r="N59" i="13" s="1"/>
  <c r="N51" i="13"/>
  <c r="N50" i="13"/>
  <c r="N49" i="13"/>
  <c r="C41" i="13"/>
  <c r="C42" i="13"/>
  <c r="C23" i="13"/>
  <c r="C343" i="13"/>
  <c r="C246" i="13"/>
  <c r="N281" i="13"/>
  <c r="N980" i="13"/>
  <c r="N885" i="13" s="1"/>
  <c r="N161" i="13"/>
  <c r="C687" i="13"/>
  <c r="N267" i="13"/>
  <c r="C209" i="13"/>
  <c r="N266" i="13"/>
  <c r="V266" i="13" s="1"/>
  <c r="R266" i="13"/>
  <c r="N274" i="13"/>
  <c r="N254" i="13"/>
  <c r="R279" i="13"/>
  <c r="C279" i="13" s="1"/>
  <c r="S431" i="13"/>
  <c r="S430" i="13"/>
  <c r="P427" i="13"/>
  <c r="P429" i="13"/>
  <c r="C333" i="13"/>
  <c r="C331" i="13"/>
  <c r="P182" i="13"/>
  <c r="V182" i="13"/>
  <c r="C492" i="13"/>
  <c r="C909" i="13"/>
  <c r="C887" i="13"/>
  <c r="C406" i="13"/>
  <c r="C405" i="13" s="1"/>
  <c r="R764" i="13"/>
  <c r="L358" i="13"/>
  <c r="C776" i="13"/>
  <c r="C765" i="13"/>
  <c r="C411" i="13"/>
  <c r="C409" i="13" s="1"/>
  <c r="C32" i="13"/>
  <c r="C31" i="13" s="1"/>
  <c r="C790" i="13"/>
  <c r="C787" i="13" s="1"/>
  <c r="C517" i="13"/>
  <c r="L1045" i="13"/>
  <c r="L885" i="13" s="1"/>
  <c r="R54" i="13"/>
  <c r="C731" i="13"/>
  <c r="C732" i="13"/>
  <c r="C501" i="13"/>
  <c r="V84" i="13"/>
  <c r="V82" i="13"/>
  <c r="N88" i="13"/>
  <c r="R88" i="13"/>
  <c r="V85" i="13"/>
  <c r="V90" i="13"/>
  <c r="S90" i="13"/>
  <c r="N92" i="13"/>
  <c r="V92" i="13" s="1"/>
  <c r="P92" i="13"/>
  <c r="R92" i="13"/>
  <c r="V91" i="13"/>
  <c r="S91" i="13"/>
  <c r="V93" i="13"/>
  <c r="S93" i="13"/>
  <c r="V94" i="13"/>
  <c r="P94" i="13"/>
  <c r="S94" i="13"/>
  <c r="P95" i="13"/>
  <c r="R95" i="13"/>
  <c r="N96" i="13"/>
  <c r="V96" i="13" s="1"/>
  <c r="R96" i="13"/>
  <c r="N97" i="13"/>
  <c r="V97" i="13" s="1"/>
  <c r="R97" i="13"/>
  <c r="N98" i="13"/>
  <c r="V98" i="13" s="1"/>
  <c r="R98" i="13"/>
  <c r="S98" i="13"/>
  <c r="N99" i="13"/>
  <c r="V99" i="13" s="1"/>
  <c r="R99" i="13"/>
  <c r="S99" i="13"/>
  <c r="C426" i="13"/>
  <c r="P428" i="13"/>
  <c r="S428" i="13"/>
  <c r="N433" i="13"/>
  <c r="R424" i="13"/>
  <c r="R337" i="13" s="1"/>
  <c r="P438" i="13"/>
  <c r="N435" i="13"/>
  <c r="V435" i="13" s="1"/>
  <c r="S436" i="13"/>
  <c r="P439" i="13"/>
  <c r="P440" i="13"/>
  <c r="S440" i="13"/>
  <c r="P441" i="13"/>
  <c r="S441" i="13"/>
  <c r="C442" i="13"/>
  <c r="C443" i="13"/>
  <c r="P841" i="13"/>
  <c r="S841" i="13"/>
  <c r="P842" i="13"/>
  <c r="S842" i="13"/>
  <c r="P843" i="13"/>
  <c r="S843" i="13"/>
  <c r="P844" i="13"/>
  <c r="S844" i="13"/>
  <c r="P845" i="13"/>
  <c r="S845" i="13"/>
  <c r="S846" i="13"/>
  <c r="S847" i="13"/>
  <c r="P848" i="13"/>
  <c r="C850" i="13"/>
  <c r="S851" i="13"/>
  <c r="S852" i="13"/>
  <c r="S853" i="13"/>
  <c r="S854" i="13"/>
  <c r="C321" i="13" l="1"/>
  <c r="C33" i="13"/>
  <c r="E337" i="13"/>
  <c r="I337" i="13"/>
  <c r="N111" i="13"/>
  <c r="H337" i="13"/>
  <c r="C454" i="13"/>
  <c r="D446" i="13"/>
  <c r="P424" i="13"/>
  <c r="P337" i="13" s="1"/>
  <c r="C730" i="13"/>
  <c r="C711" i="13"/>
  <c r="F337" i="13"/>
  <c r="V433" i="13"/>
  <c r="N424" i="13"/>
  <c r="N337" i="13" s="1"/>
  <c r="C1045" i="13"/>
  <c r="P840" i="13"/>
  <c r="C358" i="13"/>
  <c r="C341" i="13" s="1"/>
  <c r="L341" i="13"/>
  <c r="L337" i="13" s="1"/>
  <c r="S840" i="13"/>
  <c r="R119" i="13"/>
  <c r="G337" i="13"/>
  <c r="N14" i="13"/>
  <c r="V55" i="13"/>
  <c r="N54" i="13"/>
  <c r="C62" i="13"/>
  <c r="R59" i="13"/>
  <c r="C157" i="13"/>
  <c r="R135" i="13"/>
  <c r="C226" i="13"/>
  <c r="L135" i="13"/>
  <c r="L10" i="13" s="1"/>
  <c r="R81" i="13"/>
  <c r="S81" i="13"/>
  <c r="S10" i="13" s="1"/>
  <c r="P135" i="13"/>
  <c r="N47" i="13"/>
  <c r="N119" i="13"/>
  <c r="R292" i="13"/>
  <c r="V300" i="13"/>
  <c r="N299" i="13"/>
  <c r="V306" i="13"/>
  <c r="N305" i="13"/>
  <c r="V88" i="13"/>
  <c r="N81" i="13"/>
  <c r="V132" i="13"/>
  <c r="N131" i="13"/>
  <c r="V293" i="13"/>
  <c r="N292" i="13"/>
  <c r="N135" i="13"/>
  <c r="P81" i="13"/>
  <c r="C40" i="13"/>
  <c r="R299" i="13"/>
  <c r="C428" i="13"/>
  <c r="C274" i="13"/>
  <c r="V274" i="13"/>
  <c r="C267" i="13"/>
  <c r="V267" i="13"/>
  <c r="C980" i="13"/>
  <c r="V980" i="13"/>
  <c r="C26" i="13"/>
  <c r="V26" i="13"/>
  <c r="C49" i="13"/>
  <c r="V49" i="13"/>
  <c r="C114" i="13"/>
  <c r="V114" i="13"/>
  <c r="C276" i="13"/>
  <c r="V276" i="13"/>
  <c r="C30" i="13"/>
  <c r="V30" i="13"/>
  <c r="C244" i="13"/>
  <c r="V244" i="13"/>
  <c r="C254" i="13"/>
  <c r="V254" i="13"/>
  <c r="C160" i="13"/>
  <c r="V160" i="13"/>
  <c r="C28" i="13"/>
  <c r="V28" i="13"/>
  <c r="C61" i="13"/>
  <c r="V61" i="13"/>
  <c r="C80" i="13"/>
  <c r="C79" i="13" s="1"/>
  <c r="V79" i="13" s="1"/>
  <c r="V80" i="13"/>
  <c r="C138" i="13"/>
  <c r="V138" i="13"/>
  <c r="C320" i="13"/>
  <c r="C319" i="13" s="1"/>
  <c r="V320" i="13"/>
  <c r="C130" i="13"/>
  <c r="C129" i="13" s="1"/>
  <c r="V130" i="13"/>
  <c r="C87" i="13"/>
  <c r="V87" i="13"/>
  <c r="C86" i="13"/>
  <c r="V86" i="13"/>
  <c r="C73" i="13"/>
  <c r="C72" i="13" s="1"/>
  <c r="V72" i="13" s="1"/>
  <c r="V73" i="13"/>
  <c r="C163" i="13"/>
  <c r="V163" i="13"/>
  <c r="C161" i="13"/>
  <c r="V161" i="13"/>
  <c r="C281" i="13"/>
  <c r="V281" i="13"/>
  <c r="C51" i="13"/>
  <c r="V51" i="13"/>
  <c r="C78" i="13"/>
  <c r="C77" i="13" s="1"/>
  <c r="V78" i="13"/>
  <c r="C120" i="13"/>
  <c r="V120" i="13"/>
  <c r="C271" i="13"/>
  <c r="V271" i="13"/>
  <c r="C162" i="13"/>
  <c r="V162" i="13"/>
  <c r="C232" i="13"/>
  <c r="V232" i="13"/>
  <c r="C19" i="13"/>
  <c r="V19" i="13"/>
  <c r="C27" i="13"/>
  <c r="V27" i="13"/>
  <c r="C50" i="13"/>
  <c r="V50" i="13"/>
  <c r="C64" i="13"/>
  <c r="C63" i="13" s="1"/>
  <c r="V63" i="13" s="1"/>
  <c r="V64" i="13"/>
  <c r="C117" i="13"/>
  <c r="V117" i="13"/>
  <c r="C122" i="13"/>
  <c r="V122" i="13"/>
  <c r="C253" i="13"/>
  <c r="V253" i="13"/>
  <c r="C183" i="13"/>
  <c r="V183" i="13"/>
  <c r="C870" i="13"/>
  <c r="C868" i="13" s="1"/>
  <c r="V870" i="13"/>
  <c r="C470" i="13"/>
  <c r="C468" i="13" s="1"/>
  <c r="C294" i="13"/>
  <c r="C121" i="13"/>
  <c r="C132" i="13"/>
  <c r="C131" i="13" s="1"/>
  <c r="V131" i="13" s="1"/>
  <c r="C705" i="13"/>
  <c r="C702" i="13" s="1"/>
  <c r="C425" i="13"/>
  <c r="C433" i="13"/>
  <c r="C97" i="13"/>
  <c r="C95" i="13"/>
  <c r="C82" i="13"/>
  <c r="C665" i="13"/>
  <c r="C94" i="13"/>
  <c r="C90" i="13"/>
  <c r="C527" i="13"/>
  <c r="C619" i="13"/>
  <c r="C429" i="13"/>
  <c r="C529" i="13"/>
  <c r="C293" i="13"/>
  <c r="C453" i="13"/>
  <c r="C854" i="13"/>
  <c r="C847" i="13"/>
  <c r="C439" i="13"/>
  <c r="C853" i="13"/>
  <c r="C846" i="13"/>
  <c r="C435" i="13"/>
  <c r="C99" i="13"/>
  <c r="C93" i="13"/>
  <c r="C85" i="13"/>
  <c r="C437" i="13"/>
  <c r="C434" i="13"/>
  <c r="C96" i="13"/>
  <c r="C84" i="13"/>
  <c r="C266" i="13"/>
  <c r="C174" i="13"/>
  <c r="C300" i="13"/>
  <c r="C302" i="13"/>
  <c r="C306" i="13"/>
  <c r="C305" i="13" s="1"/>
  <c r="C463" i="13"/>
  <c r="C845" i="13"/>
  <c r="C843" i="13"/>
  <c r="C841" i="13"/>
  <c r="C55" i="13"/>
  <c r="C465" i="13"/>
  <c r="C464" i="13" s="1"/>
  <c r="C182" i="13"/>
  <c r="C427" i="13"/>
  <c r="C852" i="13"/>
  <c r="C438" i="13"/>
  <c r="C98" i="13"/>
  <c r="C91" i="13"/>
  <c r="C900" i="13"/>
  <c r="C951" i="13"/>
  <c r="C430" i="13"/>
  <c r="C844" i="13"/>
  <c r="C842" i="13"/>
  <c r="C1084" i="13"/>
  <c r="C1083" i="13" s="1"/>
  <c r="C786" i="13"/>
  <c r="C784" i="13" s="1"/>
  <c r="C851" i="13"/>
  <c r="C848" i="13"/>
  <c r="C441" i="13"/>
  <c r="C440" i="13"/>
  <c r="C436" i="13"/>
  <c r="C92" i="13"/>
  <c r="C88" i="13"/>
  <c r="C769" i="13"/>
  <c r="C764" i="13" s="1"/>
  <c r="C462" i="13"/>
  <c r="C431" i="13"/>
  <c r="C497" i="13"/>
  <c r="C301" i="13"/>
  <c r="C727" i="13"/>
  <c r="C724" i="13" s="1"/>
  <c r="V31" i="13"/>
  <c r="N764" i="13"/>
  <c r="D748" i="13"/>
  <c r="C748" i="13" s="1"/>
  <c r="S432" i="13"/>
  <c r="V403" i="13"/>
  <c r="V412" i="13"/>
  <c r="V466" i="13"/>
  <c r="V486" i="13"/>
  <c r="V754" i="13"/>
  <c r="V829" i="13"/>
  <c r="V831" i="13"/>
  <c r="V879" i="13"/>
  <c r="V1079" i="13"/>
  <c r="V70" i="13"/>
  <c r="V133" i="13"/>
  <c r="V35" i="13"/>
  <c r="V52" i="13"/>
  <c r="V314" i="13"/>
  <c r="V361" i="13"/>
  <c r="V376" i="13"/>
  <c r="V489" i="13"/>
  <c r="V827" i="13"/>
  <c r="V866" i="13"/>
  <c r="V882" i="13"/>
  <c r="V1065" i="13"/>
  <c r="V1077" i="13"/>
  <c r="V1105" i="13"/>
  <c r="C299" i="13" l="1"/>
  <c r="C119" i="13"/>
  <c r="C111" i="13"/>
  <c r="C81" i="13"/>
  <c r="C135" i="13"/>
  <c r="C59" i="13"/>
  <c r="C491" i="13"/>
  <c r="C54" i="13"/>
  <c r="V54" i="13" s="1"/>
  <c r="C29" i="13"/>
  <c r="V29" i="13" s="1"/>
  <c r="C885" i="13"/>
  <c r="C446" i="13"/>
  <c r="V104" i="13" s="1"/>
  <c r="C14" i="13"/>
  <c r="C456" i="13"/>
  <c r="C740" i="13"/>
  <c r="D740" i="13"/>
  <c r="D337" i="13" s="1"/>
  <c r="C840" i="13"/>
  <c r="P10" i="13"/>
  <c r="C432" i="13"/>
  <c r="C424" i="13" s="1"/>
  <c r="S424" i="13"/>
  <c r="S337" i="13" s="1"/>
  <c r="C292" i="13"/>
  <c r="V292" i="13" s="1"/>
  <c r="R10" i="13"/>
  <c r="N10" i="13"/>
  <c r="C47" i="13"/>
  <c r="V47" i="13" s="1"/>
  <c r="V784" i="13"/>
  <c r="V319" i="13"/>
  <c r="V310" i="13"/>
  <c r="V65" i="13"/>
  <c r="V57" i="13"/>
  <c r="V371" i="13"/>
  <c r="V305" i="13"/>
  <c r="V77" i="13"/>
  <c r="V285" i="13"/>
  <c r="V290" i="13"/>
  <c r="V129" i="13"/>
  <c r="V101" i="13"/>
  <c r="V464" i="13"/>
  <c r="V317" i="13"/>
  <c r="V74" i="13"/>
  <c r="V11" i="13"/>
  <c r="V37" i="13"/>
  <c r="V303" i="13"/>
  <c r="V67" i="13"/>
  <c r="V307" i="13"/>
  <c r="V33" i="13"/>
  <c r="V295" i="13"/>
  <c r="V40" i="13"/>
  <c r="C337" i="13" l="1"/>
  <c r="C760" i="13"/>
  <c r="V111" i="13"/>
  <c r="C10" i="13"/>
  <c r="V299" i="13"/>
  <c r="V59" i="13"/>
  <c r="V119" i="13"/>
  <c r="V14" i="13"/>
  <c r="V135" i="13"/>
  <c r="C8" i="13" l="1"/>
  <c r="V321" i="13"/>
  <c r="V819" i="13"/>
  <c r="V43" i="13" l="1"/>
  <c r="V81" i="13"/>
  <c r="V801" i="13" l="1"/>
  <c r="U760" i="13" l="1"/>
  <c r="U8" i="13" s="1"/>
  <c r="T760" i="13" l="1"/>
  <c r="T8" i="13" s="1"/>
  <c r="S760" i="13" l="1"/>
  <c r="S8" i="13" s="1"/>
  <c r="R760" i="13" l="1"/>
  <c r="R8" i="13" s="1"/>
  <c r="Q760" i="13" l="1"/>
  <c r="Q8" i="13" s="1"/>
  <c r="P760" i="13" l="1"/>
  <c r="P8" i="13" s="1"/>
  <c r="O760" i="13" l="1"/>
  <c r="O8" i="13" s="1"/>
  <c r="N760" i="13" l="1"/>
  <c r="N8" i="13" s="1"/>
  <c r="M760" i="13" l="1"/>
  <c r="M8" i="13" s="1"/>
  <c r="L760" i="13" l="1"/>
  <c r="L8" i="13" s="1"/>
  <c r="K760" i="13" l="1"/>
  <c r="K8" i="13" s="1"/>
  <c r="J760" i="13" l="1"/>
  <c r="J8" i="13" s="1"/>
  <c r="I760" i="13" l="1"/>
  <c r="I8" i="13" s="1"/>
  <c r="H760" i="13" l="1"/>
  <c r="H8" i="13" s="1"/>
  <c r="G760" i="13" l="1"/>
  <c r="G8" i="13" s="1"/>
  <c r="F760" i="13" l="1"/>
  <c r="F8" i="13" s="1"/>
  <c r="E760" i="13" l="1"/>
  <c r="E8" i="13" s="1"/>
  <c r="D760" i="13"/>
  <c r="D8" i="13" s="1"/>
</calcChain>
</file>

<file path=xl/sharedStrings.xml><?xml version="1.0" encoding="utf-8"?>
<sst xmlns="http://schemas.openxmlformats.org/spreadsheetml/2006/main" count="2100" uniqueCount="1949">
  <si>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</si>
  <si>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</si>
  <si>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</si>
  <si>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</si>
  <si>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</si>
  <si>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</si>
  <si>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</si>
  <si>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</si>
  <si>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</si>
  <si>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</si>
  <si>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</si>
  <si>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</si>
  <si>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</si>
  <si>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</si>
  <si>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</si>
  <si>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</si>
  <si>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</si>
  <si>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</si>
  <si>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</si>
  <si>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</si>
  <si>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</si>
  <si>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</si>
  <si>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</si>
  <si>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</si>
  <si>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</si>
  <si>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</si>
  <si>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</si>
  <si>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</si>
  <si>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</si>
  <si>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</si>
  <si>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</si>
  <si>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</si>
  <si>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</si>
  <si>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</si>
  <si>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</si>
  <si>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</si>
  <si>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</si>
  <si>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</si>
  <si>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</si>
  <si>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</si>
  <si>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</si>
  <si>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</si>
  <si>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</si>
  <si>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</si>
  <si>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</si>
  <si>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</si>
  <si>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</si>
  <si>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</si>
  <si>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</si>
  <si>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</si>
  <si>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</si>
  <si>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</si>
  <si>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</si>
  <si>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</si>
  <si>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</si>
  <si>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</si>
  <si>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</si>
  <si>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</si>
  <si>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</si>
  <si>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</si>
  <si>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</si>
  <si>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</si>
  <si>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</si>
  <si>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</si>
  <si>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</si>
  <si>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</si>
  <si>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</si>
  <si>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</si>
  <si>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</si>
  <si>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</si>
  <si>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</si>
  <si>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</si>
  <si>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</si>
  <si>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</si>
  <si>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</si>
  <si>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</si>
  <si>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</si>
  <si>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</si>
  <si>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</si>
  <si>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</si>
  <si>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</si>
  <si>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</si>
  <si>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</si>
  <si>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</si>
  <si>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</si>
  <si>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</si>
  <si>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</si>
  <si>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</si>
  <si>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</si>
  <si>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</si>
  <si>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</si>
  <si>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</si>
  <si>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</si>
  <si>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</si>
  <si>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</si>
  <si>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</si>
  <si>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</si>
  <si>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</si>
  <si>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</si>
  <si>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</si>
  <si>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</si>
  <si>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</si>
  <si>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</si>
  <si>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</si>
  <si>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</si>
  <si>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</si>
  <si>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</si>
  <si>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</si>
  <si>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</si>
  <si>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</si>
  <si>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</si>
  <si>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</si>
  <si>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</si>
  <si>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</si>
  <si>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</si>
  <si>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</si>
  <si>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</si>
  <si>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</si>
  <si>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</si>
  <si>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</si>
  <si>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</si>
  <si>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</si>
  <si>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</si>
  <si>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</si>
  <si>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</si>
  <si>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</si>
  <si>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</si>
  <si>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</si>
  <si>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</si>
  <si>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</si>
  <si>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</si>
  <si>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</si>
  <si>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</si>
  <si>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</si>
  <si>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</si>
  <si>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</si>
  <si>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</si>
  <si>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</si>
  <si>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</si>
  <si>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</si>
  <si>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</si>
  <si>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</si>
  <si>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</si>
  <si>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</si>
  <si>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</si>
  <si>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</si>
  <si>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</si>
  <si>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</si>
  <si>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</si>
  <si>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</si>
  <si>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</si>
  <si>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</si>
  <si>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</si>
  <si>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</si>
  <si>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</si>
  <si>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</si>
  <si>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</si>
  <si>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</si>
  <si>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</si>
  <si>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</si>
  <si>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</si>
  <si>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</si>
  <si>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</si>
  <si>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</si>
  <si>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</si>
  <si>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</si>
  <si>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</si>
  <si>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</si>
  <si>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</si>
  <si>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</si>
  <si>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</si>
  <si>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</si>
  <si>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</si>
  <si>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</si>
  <si>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</si>
  <si>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</si>
  <si>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</si>
  <si>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</si>
  <si>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</si>
  <si>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</si>
  <si>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</si>
  <si>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</si>
  <si>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</si>
  <si>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</si>
  <si>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</si>
  <si>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</si>
  <si>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</si>
  <si>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</si>
  <si>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</si>
  <si>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</si>
  <si>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</si>
  <si>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</si>
  <si>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</si>
  <si>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</si>
  <si>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</si>
  <si>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</si>
  <si>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</si>
  <si>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</si>
  <si>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</si>
  <si>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</si>
  <si>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</si>
  <si>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</si>
  <si>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</si>
  <si>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</si>
  <si>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</si>
  <si>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</si>
  <si>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</si>
  <si>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</si>
  <si>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</si>
  <si>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</si>
  <si>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</si>
  <si>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</si>
  <si>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</si>
  <si>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</si>
  <si>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</si>
  <si>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</si>
  <si>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</si>
  <si>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</si>
  <si>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</si>
  <si>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</si>
  <si>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</si>
  <si>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</si>
  <si>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</si>
  <si>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</si>
  <si>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</si>
  <si>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</si>
  <si>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</si>
  <si>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</si>
  <si>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</si>
  <si>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</si>
  <si>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</si>
  <si>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</si>
  <si>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</si>
  <si>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</si>
  <si>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</si>
  <si>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</si>
  <si>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</si>
  <si>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</si>
  <si>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</si>
  <si>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</si>
  <si>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</si>
  <si>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</si>
  <si>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</si>
  <si>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</si>
  <si>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</si>
  <si>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</si>
  <si>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</si>
  <si>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</si>
  <si>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</si>
  <si>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</si>
  <si>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</si>
  <si>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</si>
  <si>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</si>
  <si>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</si>
  <si>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</si>
  <si>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</si>
  <si>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</si>
  <si>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</si>
  <si>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</si>
  <si>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</si>
  <si>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</si>
  <si>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</si>
  <si>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</si>
  <si>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</si>
  <si>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</si>
  <si>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</si>
  <si>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</si>
  <si>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</si>
  <si>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</si>
  <si>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</si>
  <si>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</si>
  <si>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</si>
  <si>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</si>
  <si>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</si>
  <si>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</si>
  <si>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</si>
  <si>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</si>
  <si>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</si>
  <si>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</si>
  <si>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</si>
  <si>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</si>
  <si>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</si>
  <si>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</si>
  <si>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</si>
  <si>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</si>
  <si>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</si>
  <si>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</si>
  <si>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</si>
  <si>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</si>
  <si>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</si>
  <si>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</si>
  <si>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</si>
  <si>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</si>
  <si>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</si>
  <si>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</si>
  <si>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</si>
  <si>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</si>
  <si>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</si>
  <si>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</si>
  <si>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</si>
  <si>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</si>
  <si>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</si>
  <si>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</si>
  <si>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</si>
  <si>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</si>
  <si>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</si>
  <si>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</si>
  <si>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</si>
  <si>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</si>
  <si>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</si>
  <si>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</si>
  <si>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</si>
  <si>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</si>
  <si>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</si>
  <si>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</si>
  <si>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</si>
  <si>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</si>
  <si>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</si>
  <si>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</si>
  <si>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</si>
  <si>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</si>
  <si>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</si>
  <si>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</si>
  <si>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</si>
  <si>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</si>
  <si>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</si>
  <si>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</si>
  <si>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</si>
  <si>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</si>
  <si>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</si>
  <si>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</si>
  <si>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</si>
  <si>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</si>
  <si>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</si>
  <si>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</si>
  <si>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</si>
  <si>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</si>
  <si>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</si>
  <si>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</si>
  <si>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</si>
  <si>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</si>
  <si>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</si>
  <si>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</si>
  <si>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</si>
  <si>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</si>
  <si>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</si>
  <si>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</si>
  <si>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</si>
  <si>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</si>
  <si>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</si>
  <si>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</si>
  <si>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</si>
  <si>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</si>
  <si>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</si>
  <si>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</si>
  <si>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</si>
  <si>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</si>
  <si>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</si>
  <si>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</si>
  <si>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</si>
  <si>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</si>
  <si>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</si>
  <si>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</si>
  <si>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</si>
  <si>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</si>
  <si>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</si>
  <si>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</si>
  <si>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</si>
  <si>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</si>
  <si>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</si>
  <si>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</si>
  <si>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</si>
  <si>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</si>
  <si>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</si>
  <si>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</si>
  <si>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</si>
  <si>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</si>
  <si>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</si>
  <si>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</si>
  <si>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</si>
  <si>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</si>
  <si>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</si>
  <si>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</si>
  <si>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</si>
  <si>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</si>
  <si>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</si>
  <si>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</si>
  <si>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</si>
  <si>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</si>
  <si>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</si>
  <si>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</si>
  <si>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</si>
  <si>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</si>
  <si>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</si>
  <si>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</si>
  <si>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</si>
  <si>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</si>
  <si>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</si>
  <si>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</si>
  <si>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</si>
  <si>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</si>
  <si>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</si>
  <si>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</si>
  <si>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</si>
  <si>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</si>
  <si>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</si>
  <si>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</si>
  <si>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</si>
  <si>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</si>
  <si>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</si>
  <si>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</si>
  <si>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</si>
  <si>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</si>
  <si>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</si>
  <si>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</si>
  <si>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</si>
  <si>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</si>
  <si>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</si>
  <si>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</si>
  <si>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</si>
  <si>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</si>
  <si>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</si>
  <si>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</si>
  <si>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</si>
  <si>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</si>
  <si>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</si>
  <si>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</si>
  <si>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</si>
  <si>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</si>
  <si>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</si>
  <si>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</si>
  <si>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</si>
  <si>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</si>
  <si>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</si>
  <si>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</si>
  <si>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</si>
  <si>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</si>
  <si>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</si>
  <si>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</si>
  <si>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</si>
  <si>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</si>
  <si>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</si>
  <si>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</si>
  <si>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</si>
  <si>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</si>
  <si>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</si>
  <si>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</si>
  <si>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</si>
  <si>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</si>
  <si>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</si>
  <si>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</si>
  <si>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</si>
  <si>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</si>
  <si>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</si>
  <si>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</si>
  <si>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</si>
  <si>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</si>
  <si>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</si>
  <si>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</si>
  <si>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</si>
  <si>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</si>
  <si>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</si>
  <si>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</si>
  <si>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</si>
  <si>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</si>
  <si>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</si>
  <si>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</si>
  <si>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</si>
  <si>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</si>
  <si>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</si>
  <si>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</si>
  <si>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</si>
  <si>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</si>
  <si>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</si>
  <si>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</si>
  <si>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</si>
  <si>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</si>
  <si>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</si>
  <si>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</si>
  <si>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</si>
  <si>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</si>
  <si>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</si>
  <si>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</si>
  <si>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</si>
  <si>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</si>
  <si>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</si>
  <si>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</si>
  <si>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</si>
  <si>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</si>
  <si>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</si>
  <si>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</si>
  <si>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</si>
  <si>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</si>
  <si>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</si>
  <si>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</si>
  <si>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</si>
  <si>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</si>
  <si>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</si>
  <si>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</si>
  <si>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</si>
  <si>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</si>
  <si>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</si>
  <si>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</si>
  <si>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</si>
  <si>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</si>
  <si>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</si>
  <si>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</si>
  <si>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</si>
  <si>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</si>
  <si>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</si>
  <si>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</si>
  <si>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</si>
  <si>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</si>
  <si>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</si>
  <si>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</si>
  <si>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</si>
  <si>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</si>
  <si>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</si>
  <si>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</si>
  <si>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</si>
  <si>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</si>
  <si>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</si>
  <si>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</si>
  <si>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</si>
  <si>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</si>
  <si>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</si>
  <si>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</si>
  <si>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</si>
  <si>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</si>
  <si>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</si>
  <si>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</si>
  <si>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</si>
  <si>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</si>
  <si>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</si>
  <si>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</si>
  <si>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</si>
  <si>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</si>
  <si>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</si>
  <si>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</si>
  <si>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</si>
  <si>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</si>
  <si>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</si>
  <si>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</si>
  <si>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</si>
  <si>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</si>
  <si>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</si>
  <si>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</si>
  <si>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</si>
  <si>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</si>
  <si>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</si>
  <si>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</si>
  <si>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</si>
  <si>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</si>
  <si>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</si>
  <si>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</si>
  <si>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</si>
  <si>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</si>
  <si>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</si>
  <si>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</si>
  <si>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</si>
  <si>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</si>
  <si>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</si>
  <si>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</si>
  <si>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</si>
  <si>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</si>
  <si>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</si>
  <si>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</si>
  <si>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</si>
  <si>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</si>
  <si>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</si>
  <si>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</si>
  <si>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</si>
  <si>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</si>
  <si>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</si>
  <si>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</si>
  <si>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</si>
  <si>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</si>
  <si>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</si>
  <si>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</si>
  <si>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</si>
  <si>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</si>
  <si>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</si>
  <si>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</si>
  <si>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</si>
  <si>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</si>
  <si>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</si>
  <si>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</si>
  <si>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</si>
  <si>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</si>
  <si>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</si>
  <si>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</si>
  <si>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</si>
  <si>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</si>
  <si>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</si>
  <si>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</si>
  <si>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</si>
  <si>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</si>
  <si>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</si>
  <si>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</si>
  <si>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</si>
  <si>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</si>
  <si>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</si>
  <si>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</si>
  <si>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</si>
  <si>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</si>
  <si>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</si>
  <si>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</si>
  <si>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</si>
  <si>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</si>
  <si>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</si>
  <si>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</si>
  <si>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</si>
  <si>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</si>
  <si>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</si>
  <si>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</si>
  <si>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</si>
  <si>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</si>
  <si>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</si>
  <si>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</si>
  <si>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</si>
  <si>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</si>
  <si>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</si>
  <si>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</si>
  <si>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</si>
  <si>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</si>
  <si>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</si>
  <si>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</si>
  <si>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</si>
  <si>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</si>
  <si>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</si>
  <si>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</si>
  <si>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</si>
  <si>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</si>
  <si>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</si>
  <si>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</si>
  <si>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</si>
  <si>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</si>
  <si>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</si>
  <si>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</si>
  <si>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</si>
  <si>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</si>
  <si>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</si>
  <si>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</si>
  <si>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</si>
  <si>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</si>
  <si>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</si>
  <si>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</si>
  <si>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</si>
  <si>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</si>
  <si>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</si>
  <si>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</si>
  <si>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</si>
  <si>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</si>
  <si>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</si>
  <si>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</si>
  <si>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</si>
  <si>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</si>
  <si>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</si>
  <si>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</si>
  <si>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</si>
  <si>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</si>
  <si>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</si>
  <si>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</si>
  <si>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</si>
  <si>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</si>
  <si>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</si>
  <si>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</si>
  <si>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</si>
  <si>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</si>
  <si>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</si>
  <si>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</si>
  <si>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</si>
  <si>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</si>
  <si>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</si>
  <si>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</si>
  <si>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</si>
  <si>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</si>
  <si>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</si>
  <si>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</si>
  <si>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</si>
  <si>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</si>
  <si>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</si>
  <si>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</si>
  <si>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</si>
  <si>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</si>
  <si>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</si>
  <si>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</si>
  <si>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</si>
  <si>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</si>
  <si>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</si>
  <si>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</si>
  <si>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</si>
  <si>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</si>
  <si>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</si>
  <si>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</si>
  <si>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</si>
  <si>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</si>
  <si>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</si>
  <si>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</si>
  <si>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</si>
  <si>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</si>
  <si>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</si>
  <si>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</si>
  <si>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</si>
  <si>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</si>
  <si>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</si>
  <si>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</si>
  <si>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</si>
  <si>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</si>
  <si>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</si>
  <si>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</si>
  <si>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</si>
  <si>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</si>
  <si>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</si>
  <si>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</si>
  <si>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</si>
  <si>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</si>
  <si>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</si>
  <si>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</si>
  <si>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</si>
  <si>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</si>
  <si>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</si>
  <si>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</si>
  <si>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</si>
  <si>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</si>
  <si>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</si>
  <si>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</si>
  <si>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</si>
  <si>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</si>
  <si>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</si>
  <si>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</si>
  <si>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</si>
  <si>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</si>
  <si>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</si>
  <si>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</si>
  <si>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</si>
  <si>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</si>
  <si>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</si>
  <si>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</si>
  <si>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</si>
  <si>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</si>
  <si>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</si>
  <si>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</si>
  <si>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</si>
  <si>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</si>
  <si>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</si>
  <si>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</si>
  <si>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</si>
  <si>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</si>
  <si>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</si>
  <si>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</si>
  <si>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</si>
  <si>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</si>
  <si>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</si>
  <si>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</si>
  <si>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</si>
  <si>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</si>
  <si>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</si>
  <si>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</si>
  <si>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</si>
  <si>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</si>
  <si>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</si>
  <si>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</si>
  <si>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</si>
  <si>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</si>
  <si>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</si>
  <si>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</si>
  <si>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</si>
  <si>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</si>
  <si>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</si>
  <si>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</si>
  <si>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</si>
  <si>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</si>
  <si>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</si>
  <si>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</si>
  <si>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</si>
  <si>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</si>
  <si>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</si>
  <si>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</si>
  <si>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</si>
  <si>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</si>
  <si>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</si>
  <si>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</si>
  <si>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</si>
  <si>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</si>
  <si>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</si>
  <si>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</si>
  <si>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</si>
  <si>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</si>
  <si>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</si>
  <si>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</si>
  <si>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</si>
  <si>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</si>
  <si>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</si>
  <si>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</si>
  <si>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</si>
  <si>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</si>
  <si>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</si>
  <si>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</si>
  <si>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</si>
  <si>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</si>
  <si>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</si>
  <si>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</si>
  <si>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</si>
  <si>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</si>
  <si>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</si>
  <si>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</si>
  <si>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</si>
  <si>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</si>
  <si>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</si>
  <si>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</si>
  <si>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</si>
  <si>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</si>
  <si>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</si>
  <si>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</si>
  <si>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</si>
  <si>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</si>
  <si>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</si>
  <si>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</si>
  <si>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</si>
  <si>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</si>
  <si>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</si>
  <si>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</si>
  <si>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</si>
  <si>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</si>
  <si>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</si>
  <si>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</si>
  <si>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</si>
  <si>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</si>
  <si>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</si>
  <si>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</si>
  <si>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</si>
  <si>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</si>
  <si>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</si>
  <si>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</si>
  <si>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</si>
  <si>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</si>
  <si>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</si>
  <si>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</si>
  <si>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298.</t>
  </si>
  <si>
    <t>299.</t>
  </si>
  <si>
    <t>300.</t>
  </si>
  <si>
    <t>301.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</si>
  <si>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</si>
  <si>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</si>
  <si>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</si>
  <si>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</si>
  <si>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</si>
  <si>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</si>
  <si>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</si>
  <si>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</si>
  <si>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</si>
  <si>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</si>
  <si>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</si>
  <si>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</si>
  <si>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</si>
  <si>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</si>
  <si>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</si>
  <si>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</si>
  <si>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</si>
  <si>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</si>
  <si>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</si>
  <si>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</si>
  <si>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</si>
  <si>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</si>
  <si>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</si>
  <si>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</si>
  <si>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</si>
  <si>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331.</t>
  </si>
  <si>
    <t>332.</t>
  </si>
  <si>
    <t>333.</t>
  </si>
  <si>
    <t>334.</t>
  </si>
  <si>
    <t>336.</t>
  </si>
  <si>
    <t>337.</t>
  </si>
  <si>
    <t>338.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</si>
  <si>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</si>
  <si>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</si>
  <si>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</si>
  <si>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</si>
  <si>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</si>
  <si>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</si>
  <si>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</si>
  <si>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</si>
  <si>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</si>
  <si>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</si>
  <si>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</si>
  <si>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</si>
  <si>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</si>
  <si>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</si>
  <si>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</si>
  <si>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</si>
  <si>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</si>
  <si>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</si>
  <si>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</si>
  <si>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</si>
  <si>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</si>
  <si>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</si>
  <si>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</si>
  <si>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</si>
  <si>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</si>
  <si>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</si>
  <si>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</si>
  <si>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</si>
  <si>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</si>
  <si>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</si>
  <si>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</si>
  <si>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</si>
  <si>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</si>
  <si>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</si>
  <si>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</si>
  <si>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</si>
  <si>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</si>
  <si>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</si>
  <si>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</si>
  <si>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</si>
  <si>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</si>
  <si>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</si>
  <si>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</si>
  <si>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</si>
  <si>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</si>
  <si>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</si>
  <si>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</si>
  <si>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</si>
  <si>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</si>
  <si>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</si>
  <si>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</si>
  <si>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</si>
  <si>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</si>
  <si>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</si>
  <si>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</si>
  <si>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</si>
  <si>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</si>
  <si>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</si>
  <si>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</si>
  <si>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</si>
  <si>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</si>
  <si>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</si>
  <si>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</si>
  <si>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</si>
  <si>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</si>
  <si>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</si>
  <si>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</si>
  <si>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</si>
  <si>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</si>
  <si>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</si>
  <si>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</si>
  <si>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</si>
  <si>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</si>
  <si>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</si>
  <si>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</si>
  <si>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</si>
  <si>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</si>
  <si>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</si>
  <si>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</si>
  <si>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</si>
  <si>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</si>
  <si>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</si>
  <si>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</si>
  <si>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</si>
  <si>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</si>
  <si>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</si>
  <si>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</si>
  <si>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</si>
  <si>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</si>
  <si>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</si>
  <si>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</si>
  <si>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</si>
  <si>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</si>
  <si>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</si>
  <si>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</si>
  <si>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</si>
  <si>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</si>
  <si>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</si>
  <si>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</si>
  <si>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</si>
  <si>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</si>
  <si>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</si>
  <si>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</si>
  <si>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</si>
  <si>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</si>
  <si>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</si>
  <si>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</si>
  <si>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</si>
  <si>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</si>
  <si>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</si>
  <si>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</si>
  <si>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</si>
  <si>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</si>
  <si>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</si>
  <si>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</si>
  <si>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</si>
  <si>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</si>
  <si>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</si>
  <si>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</si>
  <si>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</si>
  <si>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</si>
  <si>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</si>
  <si>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</si>
  <si>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</si>
  <si>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</si>
  <si>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</si>
  <si>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</si>
  <si>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</si>
  <si>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</si>
  <si>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</si>
  <si>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</si>
  <si>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</si>
  <si>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</si>
  <si>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</si>
  <si>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</si>
  <si>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</si>
  <si>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</si>
  <si>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</si>
  <si>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</si>
  <si>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</si>
  <si>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</si>
  <si>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</si>
  <si>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</si>
  <si>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</si>
  <si>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</si>
  <si>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</si>
  <si>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</si>
  <si>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</si>
  <si>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</si>
  <si>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</si>
  <si>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</si>
  <si>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</si>
  <si>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</si>
  <si>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</si>
  <si>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</si>
  <si>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651.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</si>
  <si>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</si>
  <si>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</si>
  <si>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</si>
  <si>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</si>
  <si>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</si>
  <si>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</si>
  <si>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</si>
  <si>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</si>
  <si>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</si>
  <si>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</si>
  <si>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</si>
  <si>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</si>
  <si>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</si>
  <si>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</si>
  <si>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</si>
  <si>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</si>
  <si>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</si>
  <si>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</si>
  <si>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</si>
  <si>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</si>
  <si>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</si>
  <si>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</si>
  <si>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</si>
  <si>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</si>
  <si>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</si>
  <si>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</si>
  <si>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</si>
  <si>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</si>
  <si>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</si>
  <si>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</si>
  <si>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</si>
  <si>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</si>
  <si>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</si>
  <si>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</si>
  <si>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</si>
  <si>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</si>
  <si>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</si>
  <si>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</si>
  <si>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</si>
  <si>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</si>
  <si>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</si>
  <si>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</si>
  <si>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</si>
  <si>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</si>
  <si>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</si>
  <si>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</si>
  <si>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</si>
  <si>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</si>
  <si>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</si>
  <si>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</si>
  <si>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</si>
  <si>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</si>
  <si>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</si>
  <si>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</si>
  <si>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</si>
  <si>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</si>
  <si>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</si>
  <si>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</si>
  <si>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</si>
  <si>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</si>
  <si>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</si>
  <si>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</si>
  <si>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</si>
  <si>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</si>
  <si>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</si>
  <si>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</si>
  <si>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</si>
  <si>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</si>
  <si>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</si>
  <si>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</si>
  <si>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</si>
  <si>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</si>
  <si>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</si>
  <si>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</si>
  <si>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</si>
  <si>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</si>
  <si>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</si>
  <si>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</si>
  <si>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</si>
  <si>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</si>
  <si>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</si>
  <si>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</si>
  <si>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</si>
  <si>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</si>
  <si>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</si>
  <si>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</si>
  <si>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</si>
  <si>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</si>
  <si>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</si>
  <si>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</si>
  <si>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</si>
  <si>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</si>
  <si>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</si>
  <si>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</si>
  <si>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</si>
  <si>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</si>
  <si>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</si>
  <si>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</si>
  <si>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</si>
  <si>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</si>
  <si>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</si>
  <si>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</si>
  <si>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</si>
  <si>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</si>
  <si>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</si>
  <si>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</si>
  <si>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</si>
  <si>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</si>
  <si>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</si>
  <si>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</si>
  <si>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</si>
  <si>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</si>
  <si>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</si>
  <si>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</si>
  <si>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</si>
  <si>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</si>
  <si>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</si>
  <si>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</si>
  <si>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</si>
  <si>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</si>
  <si>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</si>
  <si>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</si>
  <si>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</si>
  <si>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</si>
  <si>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</si>
  <si>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</si>
  <si>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</si>
  <si>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</si>
  <si>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</si>
  <si>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</si>
  <si>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</si>
  <si>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</si>
  <si>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</si>
  <si>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</si>
  <si>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</si>
  <si>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</si>
  <si>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</si>
  <si>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</si>
  <si>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</si>
  <si>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</si>
  <si>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</si>
  <si>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</si>
  <si>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</si>
  <si>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</si>
  <si>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</si>
  <si>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</si>
  <si>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</si>
  <si>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</si>
  <si>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</si>
  <si>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</si>
  <si>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</si>
  <si>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</si>
  <si>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</si>
  <si>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</si>
  <si>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</si>
  <si>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</si>
  <si>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</si>
  <si>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</si>
  <si>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</si>
  <si>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</si>
  <si>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</si>
  <si>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</si>
  <si>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</si>
  <si>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</si>
  <si>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</si>
  <si>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</si>
  <si>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</si>
  <si>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</si>
  <si>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</si>
  <si>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</si>
  <si>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</si>
  <si>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</si>
  <si>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</si>
  <si>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</si>
  <si>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</si>
  <si>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</si>
  <si>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</si>
  <si>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</si>
  <si>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</si>
  <si>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</si>
  <si>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</si>
  <si>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</si>
  <si>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</si>
  <si>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</si>
  <si>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</si>
  <si>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</si>
  <si>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</si>
  <si>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</si>
  <si>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</si>
  <si>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</si>
  <si>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</si>
  <si>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</si>
  <si>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</si>
  <si>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</si>
  <si>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</si>
  <si>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</si>
  <si>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</si>
  <si>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</si>
  <si>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</si>
  <si>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</si>
  <si>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</si>
  <si>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</si>
  <si>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</si>
  <si>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</si>
  <si>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</si>
  <si>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</si>
  <si>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</si>
  <si>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</si>
  <si>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</si>
  <si>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</si>
  <si>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</si>
  <si>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</si>
  <si>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</si>
  <si>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</si>
  <si>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</si>
  <si>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</si>
  <si>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</si>
  <si>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</si>
  <si>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</si>
  <si>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</si>
  <si>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</si>
  <si>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</si>
  <si>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</si>
  <si>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</si>
  <si>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</si>
  <si>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</si>
  <si>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</si>
  <si>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</si>
  <si>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</si>
  <si>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</si>
  <si>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</si>
  <si>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</si>
  <si>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</si>
  <si>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</si>
  <si>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</si>
  <si>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</si>
  <si>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</si>
  <si>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</si>
  <si>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</si>
  <si>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</si>
  <si>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</si>
  <si>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</si>
  <si>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</si>
  <si>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</si>
  <si>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</si>
  <si>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</si>
  <si>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</si>
  <si>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</si>
  <si>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</si>
  <si>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</si>
  <si>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</si>
  <si>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</si>
  <si>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</si>
  <si>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</si>
  <si>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</si>
  <si>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</si>
  <si>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</si>
  <si>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</si>
  <si>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</si>
  <si>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</si>
  <si>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</si>
  <si>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</si>
  <si>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</si>
  <si>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</si>
  <si>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</si>
  <si>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</si>
  <si>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</si>
  <si>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</si>
  <si>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</si>
  <si>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</si>
  <si>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</si>
  <si>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</si>
  <si>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</si>
  <si>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</si>
  <si>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</si>
  <si>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</si>
  <si>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</si>
  <si>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</si>
  <si>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</si>
  <si>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</si>
  <si>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</si>
  <si>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</si>
  <si>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</si>
  <si>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</si>
  <si>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</si>
  <si>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</si>
  <si>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</si>
  <si>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</si>
  <si>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</si>
  <si>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</si>
  <si>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</si>
  <si>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</si>
  <si>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</si>
  <si>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</si>
  <si>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</si>
  <si>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</si>
  <si>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</si>
  <si>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</si>
  <si>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</si>
  <si>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</si>
  <si>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</si>
  <si>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</si>
  <si>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</si>
  <si>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</si>
  <si>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</si>
  <si>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</si>
  <si>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</si>
  <si>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</si>
  <si>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</si>
  <si>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</si>
  <si>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</si>
  <si>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</si>
  <si>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</si>
  <si>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493.</t>
  </si>
  <si>
    <t>494.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</si>
  <si>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</si>
  <si>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</si>
  <si>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</si>
  <si>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</si>
  <si>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</si>
  <si>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</si>
  <si>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</si>
  <si>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</si>
  <si>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</si>
  <si>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</si>
  <si>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</si>
  <si>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</si>
  <si>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</si>
  <si>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</si>
  <si>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</si>
  <si>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</si>
  <si>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</si>
  <si>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</si>
  <si>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</si>
  <si>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</si>
  <si>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</si>
  <si>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</si>
  <si>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</si>
  <si>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</si>
  <si>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</si>
  <si>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</si>
  <si>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</si>
  <si>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</si>
  <si>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</si>
  <si>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</si>
  <si>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</si>
  <si>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</si>
  <si>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</si>
  <si>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</si>
  <si>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</si>
  <si>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</si>
  <si>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</si>
  <si>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</si>
  <si>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</si>
  <si>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</si>
  <si>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</si>
  <si>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</si>
  <si>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</si>
  <si>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</si>
  <si>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</si>
  <si>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</si>
  <si>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</si>
  <si>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</si>
  <si>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</si>
  <si>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</si>
  <si>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</si>
  <si>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</si>
  <si>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</si>
  <si>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</si>
  <si>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</si>
  <si>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</si>
  <si>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</si>
  <si>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</si>
  <si>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</si>
  <si>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</si>
  <si>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</si>
  <si>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</si>
  <si>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</si>
  <si>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</si>
  <si>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</si>
  <si>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</si>
  <si>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</si>
  <si>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</si>
  <si>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</si>
  <si>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</si>
  <si>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</si>
  <si>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</si>
  <si>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</si>
  <si>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</si>
  <si>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 xml:space="preserve">Г. Ярцево, ул. Чернышевского, д. 8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</si>
  <si>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</si>
  <si>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</si>
  <si>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</si>
  <si>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</si>
  <si>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</si>
  <si>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</si>
  <si>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</si>
  <si>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</si>
  <si>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</si>
  <si>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</si>
  <si>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</si>
  <si>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</si>
  <si>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</si>
  <si>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</si>
  <si>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</si>
  <si>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</si>
  <si>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</si>
  <si>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</si>
  <si>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</si>
  <si>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</si>
  <si>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</si>
  <si>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</si>
  <si>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</si>
  <si>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</si>
  <si>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</si>
  <si>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</si>
  <si>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</si>
  <si>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</si>
  <si>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</si>
  <si>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</si>
  <si>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</si>
  <si>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</si>
  <si>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</si>
  <si>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335.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</si>
  <si>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</si>
  <si>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</si>
  <si>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</si>
  <si>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</si>
  <si>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</si>
  <si>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</si>
  <si>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</si>
  <si>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</si>
  <si>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</si>
  <si>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</si>
  <si>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</si>
  <si>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</si>
  <si>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</si>
  <si>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</si>
  <si>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</si>
  <si>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</si>
  <si>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</si>
  <si>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</si>
  <si>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</si>
  <si>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</si>
  <si>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</si>
  <si>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</si>
  <si>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</si>
  <si>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</si>
  <si>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</si>
  <si>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</si>
  <si>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</si>
  <si>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</si>
  <si>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</si>
  <si>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</si>
  <si>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</si>
  <si>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</si>
  <si>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</si>
  <si>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</si>
  <si>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</si>
  <si>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</si>
  <si>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</si>
  <si>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</si>
  <si>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</si>
  <si>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</si>
  <si>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</si>
  <si>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</si>
  <si>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</si>
  <si>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</si>
  <si>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</si>
  <si>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</si>
  <si>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</si>
  <si>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</si>
  <si>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</si>
  <si>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</si>
  <si>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</si>
  <si>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</si>
  <si>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</si>
  <si>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</si>
  <si>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</si>
  <si>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</si>
  <si>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</si>
  <si>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</si>
  <si>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</si>
  <si>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</si>
  <si>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</si>
  <si>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</si>
  <si>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</si>
  <si>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</si>
  <si>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</si>
  <si>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</si>
  <si>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</si>
  <si>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</si>
  <si>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</si>
  <si>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</si>
  <si>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</si>
  <si>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</si>
  <si>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</si>
  <si>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</si>
  <si>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</si>
  <si>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</si>
  <si>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</si>
  <si>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</si>
  <si>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</si>
  <si>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</si>
  <si>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</si>
  <si>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</si>
  <si>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</si>
  <si>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</si>
  <si>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</si>
  <si>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</si>
  <si>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</si>
  <si>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</si>
  <si>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</si>
  <si>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</si>
  <si>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</si>
  <si>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</si>
  <si>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</si>
  <si>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</si>
  <si>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</si>
  <si>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</si>
  <si>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</si>
  <si>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</si>
  <si>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</si>
  <si>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</si>
  <si>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</si>
  <si>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</si>
  <si>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</si>
  <si>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</si>
  <si>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</si>
  <si>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</si>
  <si>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</si>
  <si>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</si>
  <si>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</si>
  <si>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</si>
  <si>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</si>
  <si>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</si>
  <si>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</si>
  <si>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</si>
  <si>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</si>
  <si>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</si>
  <si>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</si>
  <si>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</si>
  <si>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</si>
  <si>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</si>
  <si>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</si>
  <si>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</si>
  <si>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</si>
  <si>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</si>
  <si>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</si>
  <si>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</si>
  <si>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</si>
  <si>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</si>
  <si>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</si>
  <si>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</si>
  <si>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</si>
  <si>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</si>
  <si>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</si>
  <si>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</si>
  <si>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</si>
  <si>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</si>
  <si>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</si>
  <si>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</si>
  <si>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</si>
  <si>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</si>
  <si>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</si>
  <si>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</si>
  <si>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</si>
  <si>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</si>
  <si>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330.</t>
  </si>
  <si>
    <t>492.</t>
  </si>
  <si>
    <t>495.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</si>
  <si>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</si>
  <si>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</si>
  <si>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</si>
  <si>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</si>
  <si>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423.</t>
  </si>
  <si>
    <t>424.</t>
  </si>
  <si>
    <t>425.</t>
  </si>
  <si>
    <t>426.</t>
  </si>
  <si>
    <t>427.</t>
  </si>
  <si>
    <t>556.</t>
  </si>
  <si>
    <t>606.</t>
  </si>
  <si>
    <t>652.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</si>
  <si>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</si>
  <si>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</si>
  <si>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</si>
  <si>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</si>
  <si>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</si>
  <si>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</si>
  <si>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</si>
  <si>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</si>
  <si>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</si>
  <si>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</si>
  <si>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</si>
  <si>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</si>
  <si>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</si>
  <si>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</si>
  <si>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</si>
  <si>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</si>
  <si>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</si>
  <si>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</si>
  <si>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</si>
  <si>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</si>
  <si>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</si>
  <si>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</si>
  <si>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</si>
  <si>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</si>
  <si>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</si>
  <si>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</si>
  <si>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</si>
  <si>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</si>
  <si>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</si>
  <si>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</si>
  <si>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</si>
  <si>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</si>
  <si>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</si>
  <si>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</si>
  <si>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</si>
  <si>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</si>
  <si>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</si>
  <si>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</si>
  <si>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</si>
  <si>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</si>
  <si>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</si>
  <si>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</si>
  <si>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</si>
  <si>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</si>
  <si>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</si>
  <si>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</si>
  <si>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</si>
  <si>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</si>
  <si>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</si>
  <si>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</si>
  <si>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</si>
  <si>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</si>
  <si>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</si>
  <si>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</si>
  <si>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</si>
  <si>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</si>
  <si>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</si>
  <si>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</si>
  <si>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</si>
  <si>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</si>
  <si>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</si>
  <si>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</si>
  <si>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</si>
  <si>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</si>
  <si>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</si>
  <si>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</si>
  <si>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</si>
  <si>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</si>
  <si>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</si>
  <si>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</si>
  <si>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</si>
  <si>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</si>
  <si>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</si>
  <si>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</si>
  <si>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</si>
  <si>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</si>
  <si>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</si>
  <si>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</si>
  <si>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</si>
  <si>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</si>
  <si>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</si>
  <si>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</si>
  <si>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</si>
  <si>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</si>
  <si>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</si>
  <si>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</si>
  <si>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</si>
  <si>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</si>
  <si>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</si>
  <si>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</si>
  <si>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</si>
  <si>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</si>
  <si>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</si>
  <si>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</si>
  <si>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</si>
  <si>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</si>
  <si>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</si>
  <si>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</si>
  <si>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</si>
  <si>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</si>
  <si>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</si>
  <si>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</si>
  <si>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</si>
  <si>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</si>
  <si>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</si>
  <si>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</si>
  <si>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</si>
  <si>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</si>
  <si>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</si>
  <si>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</si>
  <si>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</si>
  <si>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</si>
  <si>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</si>
  <si>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</si>
  <si>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</si>
  <si>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</si>
  <si>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</si>
  <si>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</si>
  <si>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</si>
  <si>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</si>
  <si>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</si>
  <si>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</si>
  <si>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</si>
  <si>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</si>
  <si>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</si>
  <si>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</si>
  <si>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</si>
  <si>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</si>
  <si>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</si>
  <si>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</si>
  <si>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</si>
  <si>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</si>
  <si>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</si>
  <si>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</si>
  <si>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</si>
  <si>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</si>
  <si>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</si>
  <si>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</si>
  <si>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</si>
  <si>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</si>
  <si>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</si>
  <si>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</si>
  <si>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</si>
  <si>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</si>
  <si>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</si>
  <si>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</si>
  <si>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</si>
  <si>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</si>
  <si>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</si>
  <si>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</si>
  <si>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</si>
  <si>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</si>
  <si>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</si>
  <si>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</si>
  <si>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</si>
  <si>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</si>
  <si>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</si>
  <si>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</si>
  <si>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</si>
  <si>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</si>
  <si>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</si>
  <si>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</si>
  <si>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</si>
  <si>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</si>
  <si>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</si>
  <si>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</si>
  <si>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</si>
  <si>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</si>
  <si>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</si>
  <si>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</si>
  <si>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</si>
  <si>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</si>
  <si>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</si>
  <si>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</si>
  <si>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</si>
  <si>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</si>
  <si>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</si>
  <si>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</si>
  <si>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</si>
  <si>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</si>
  <si>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</si>
  <si>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</si>
  <si>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</si>
  <si>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</si>
  <si>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</si>
  <si>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</si>
  <si>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</si>
  <si>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</si>
  <si>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</si>
  <si>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</si>
  <si>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</si>
  <si>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</si>
  <si>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</si>
  <si>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</si>
  <si>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</si>
  <si>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</si>
  <si>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</si>
  <si>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</si>
  <si>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</si>
  <si>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</si>
  <si>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</si>
  <si>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</si>
  <si>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</si>
  <si>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</si>
  <si>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</si>
  <si>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</si>
  <si>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</si>
  <si>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</si>
  <si>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</si>
  <si>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</si>
  <si>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</si>
  <si>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</si>
  <si>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</si>
  <si>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</si>
  <si>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</si>
  <si>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</si>
  <si>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</si>
  <si>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</si>
  <si>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</si>
  <si>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</si>
  <si>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</si>
  <si>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</si>
  <si>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</si>
  <si>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</si>
  <si>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</si>
  <si>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</si>
  <si>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</si>
  <si>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</si>
  <si>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</si>
  <si>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</si>
  <si>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</si>
  <si>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</si>
  <si>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</si>
  <si>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</si>
  <si>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</si>
  <si>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</si>
  <si>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</si>
  <si>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</si>
  <si>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</si>
  <si>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</si>
  <si>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</si>
  <si>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</si>
  <si>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</si>
  <si>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</si>
  <si>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</si>
  <si>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</si>
  <si>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</si>
  <si>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</si>
  <si>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</si>
  <si>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</si>
  <si>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</si>
  <si>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</si>
  <si>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</si>
  <si>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</si>
  <si>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</si>
  <si>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</si>
  <si>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</si>
  <si>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</si>
  <si>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</si>
  <si>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</si>
  <si>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</si>
  <si>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</si>
  <si>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</si>
  <si>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</si>
  <si>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</si>
  <si>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</si>
  <si>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</si>
  <si>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</si>
  <si>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</si>
  <si>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</si>
  <si>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</si>
  <si>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</si>
  <si>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</si>
  <si>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</si>
  <si>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</si>
  <si>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</si>
  <si>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</si>
  <si>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</si>
  <si>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</si>
  <si>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</si>
  <si>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</si>
  <si>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</si>
  <si>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</si>
  <si>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</si>
  <si>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</si>
  <si>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</si>
  <si>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</si>
  <si>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</si>
  <si>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</si>
  <si>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</si>
  <si>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</si>
  <si>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</si>
  <si>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</si>
  <si>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</si>
  <si>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</si>
  <si>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</si>
  <si>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</si>
  <si>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</si>
  <si>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</si>
  <si>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302.</t>
  </si>
  <si>
    <t>313.</t>
  </si>
  <si>
    <t>397.</t>
  </si>
  <si>
    <t>650.</t>
  </si>
  <si>
    <t>672.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</si>
  <si>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</si>
  <si>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</si>
  <si>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</si>
  <si>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</si>
  <si>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</si>
  <si>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</si>
  <si>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</si>
  <si>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185.</t>
  </si>
  <si>
    <t>312.</t>
  </si>
  <si>
    <t>339.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</si>
  <si>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</si>
  <si>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</si>
  <si>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</si>
  <si>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</si>
  <si>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</si>
  <si>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</si>
  <si>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</si>
  <si>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</si>
  <si>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</si>
  <si>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259.</t>
  </si>
  <si>
    <t>455.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</si>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</sst>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09"/>
  <sheetViews>
    <sheetView tabSelected="1" view="pageBreakPreview" topLeftCell="A1069" zoomScale="70" zoomScaleNormal="50" zoomScaleSheetLayoutView="70" zoomScalePageLayoutView="40" workbookViewId="0">
      <selection activeCell="G5" sqref="G5"/>
    </sheetView>
  </sheetViews>
  <sheetFormatPr defaultRowHeight="15.75" x14ac:dyDescent="0.25"/>
  <cols>
    <col min="1" max="1" width="6.42578125" style="41" customWidth="1"/>
    <col min="2" max="2" width="54.7109375" style="45" customWidth="1"/>
    <col min="3" max="3" width="19.85546875" style="46" customWidth="1"/>
    <col min="4" max="4" width="19" style="46" customWidth="1"/>
    <col min="5" max="5" width="19.7109375" style="46" customWidth="1"/>
    <col min="6" max="10" width="17" style="46" customWidth="1"/>
    <col min="11" max="11" width="6.85546875" style="47" customWidth="1"/>
    <col min="12" max="12" width="16.42578125" style="46" customWidth="1"/>
    <col min="13" max="13" width="13.7109375" style="46" customWidth="1"/>
    <col min="14" max="14" width="19" style="46" customWidth="1"/>
    <col min="15" max="15" width="10.5703125" style="46" customWidth="1"/>
    <col min="16" max="16" width="16.42578125" style="46" customWidth="1"/>
    <col min="17" max="17" width="12.7109375" style="46" customWidth="1"/>
    <col min="18" max="18" width="18.42578125" style="46" customWidth="1"/>
    <col min="19" max="19" width="15.7109375" style="46" customWidth="1"/>
    <col min="20" max="20" width="18.42578125" style="46" customWidth="1"/>
    <col min="21" max="21" width="16.5703125" style="46" customWidth="1"/>
    <col min="22" max="22" width="12.140625" style="7" customWidth="1"/>
    <col min="23" max="16384" width="9.140625" style="8"/>
  </cols>
  <sheetData>
    <row r="1" spans="1:22" ht="19.5" customHeight="1" x14ac:dyDescent="0.2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19.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10"/>
      <c r="L2" s="49"/>
      <c r="M2" s="49"/>
      <c r="N2" s="49"/>
      <c r="O2" s="11"/>
      <c r="P2" s="11"/>
      <c r="Q2" s="11"/>
      <c r="R2" s="11"/>
      <c r="S2" s="11"/>
      <c r="T2" s="11"/>
      <c r="U2" s="11"/>
    </row>
    <row r="3" spans="1:22" ht="192" customHeight="1" x14ac:dyDescent="0.25">
      <c r="A3" s="61" t="s">
        <v>16</v>
      </c>
      <c r="B3" s="64" t="s">
        <v>15</v>
      </c>
      <c r="C3" s="53" t="s">
        <v>13</v>
      </c>
      <c r="D3" s="68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6" t="s">
        <v>12</v>
      </c>
      <c r="U3" s="77"/>
    </row>
    <row r="4" spans="1:22" ht="31.5" customHeight="1" x14ac:dyDescent="0.25">
      <c r="A4" s="62"/>
      <c r="B4" s="64"/>
      <c r="C4" s="74"/>
      <c r="D4" s="65" t="s">
        <v>1573</v>
      </c>
      <c r="E4" s="66"/>
      <c r="F4" s="66"/>
      <c r="G4" s="66"/>
      <c r="H4" s="66"/>
      <c r="I4" s="66"/>
      <c r="J4" s="67"/>
      <c r="K4" s="70" t="s">
        <v>1567</v>
      </c>
      <c r="L4" s="71"/>
      <c r="M4" s="70" t="s">
        <v>8</v>
      </c>
      <c r="N4" s="71"/>
      <c r="O4" s="70" t="s">
        <v>6</v>
      </c>
      <c r="P4" s="71"/>
      <c r="Q4" s="70" t="s">
        <v>9</v>
      </c>
      <c r="R4" s="71"/>
      <c r="S4" s="53" t="s">
        <v>14</v>
      </c>
      <c r="T4" s="69" t="s">
        <v>5</v>
      </c>
      <c r="U4" s="68" t="s">
        <v>3</v>
      </c>
    </row>
    <row r="5" spans="1:22" ht="190.5" customHeight="1" x14ac:dyDescent="0.25">
      <c r="A5" s="62"/>
      <c r="B5" s="64"/>
      <c r="C5" s="54"/>
      <c r="D5" s="51" t="s">
        <v>1572</v>
      </c>
      <c r="E5" s="50" t="s">
        <v>1595</v>
      </c>
      <c r="F5" s="50" t="s">
        <v>1596</v>
      </c>
      <c r="G5" s="50" t="s">
        <v>1568</v>
      </c>
      <c r="H5" s="50" t="s">
        <v>1569</v>
      </c>
      <c r="I5" s="50" t="s">
        <v>1570</v>
      </c>
      <c r="J5" s="50" t="s">
        <v>1571</v>
      </c>
      <c r="K5" s="72"/>
      <c r="L5" s="73"/>
      <c r="M5" s="72"/>
      <c r="N5" s="73"/>
      <c r="O5" s="72"/>
      <c r="P5" s="73"/>
      <c r="Q5" s="72"/>
      <c r="R5" s="73"/>
      <c r="S5" s="54"/>
      <c r="T5" s="69"/>
      <c r="U5" s="68"/>
    </row>
    <row r="6" spans="1:22" ht="18" customHeight="1" x14ac:dyDescent="0.25">
      <c r="A6" s="63"/>
      <c r="B6" s="64"/>
      <c r="C6" s="6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12" t="s">
        <v>10</v>
      </c>
      <c r="L6" s="6" t="s">
        <v>7</v>
      </c>
      <c r="M6" s="6" t="s">
        <v>18</v>
      </c>
      <c r="N6" s="6" t="s">
        <v>7</v>
      </c>
      <c r="O6" s="6" t="s">
        <v>18</v>
      </c>
      <c r="P6" s="6" t="s">
        <v>7</v>
      </c>
      <c r="Q6" s="6" t="s">
        <v>18</v>
      </c>
      <c r="R6" s="6" t="s">
        <v>7</v>
      </c>
      <c r="S6" s="6" t="s">
        <v>7</v>
      </c>
      <c r="T6" s="6" t="s">
        <v>7</v>
      </c>
      <c r="U6" s="6" t="s">
        <v>7</v>
      </c>
    </row>
    <row r="7" spans="1:22" s="14" customFormat="1" ht="15" customHeigh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3"/>
    </row>
    <row r="8" spans="1:22" ht="24.95" customHeight="1" x14ac:dyDescent="0.25">
      <c r="A8" s="75" t="s">
        <v>26</v>
      </c>
      <c r="B8" s="75"/>
      <c r="C8" s="3">
        <f t="shared" ref="C8:U8" si="0">C10+C337+C760</f>
        <v>3978950912.9899998</v>
      </c>
      <c r="D8" s="3">
        <f t="shared" si="0"/>
        <v>875279657.79999995</v>
      </c>
      <c r="E8" s="3">
        <f t="shared" si="0"/>
        <v>146498886.88999999</v>
      </c>
      <c r="F8" s="3">
        <f t="shared" si="0"/>
        <v>392319449.79000002</v>
      </c>
      <c r="G8" s="3">
        <f t="shared" si="0"/>
        <v>114393519.53999999</v>
      </c>
      <c r="H8" s="3">
        <f t="shared" si="0"/>
        <v>107125471.80000001</v>
      </c>
      <c r="I8" s="3">
        <f t="shared" si="0"/>
        <v>114942329.78</v>
      </c>
      <c r="J8" s="3">
        <f t="shared" si="0"/>
        <v>0</v>
      </c>
      <c r="K8" s="15">
        <f t="shared" si="0"/>
        <v>51</v>
      </c>
      <c r="L8" s="3">
        <f t="shared" si="0"/>
        <v>110467713.03</v>
      </c>
      <c r="M8" s="3">
        <f t="shared" si="0"/>
        <v>411505.91000000009</v>
      </c>
      <c r="N8" s="3">
        <f t="shared" si="0"/>
        <v>2064645005.1300001</v>
      </c>
      <c r="O8" s="3">
        <f t="shared" si="0"/>
        <v>7766.75</v>
      </c>
      <c r="P8" s="3">
        <f t="shared" si="0"/>
        <v>10517825.85</v>
      </c>
      <c r="Q8" s="3">
        <f t="shared" si="0"/>
        <v>292699.95</v>
      </c>
      <c r="R8" s="3">
        <f t="shared" si="0"/>
        <v>822323653.46000004</v>
      </c>
      <c r="S8" s="3">
        <f t="shared" si="0"/>
        <v>16926132.039999999</v>
      </c>
      <c r="T8" s="3">
        <f t="shared" si="0"/>
        <v>678303.6</v>
      </c>
      <c r="U8" s="3">
        <f t="shared" si="0"/>
        <v>72901022.079999983</v>
      </c>
    </row>
    <row r="9" spans="1:22" s="17" customFormat="1" ht="24.95" customHeight="1" x14ac:dyDescent="0.25">
      <c r="A9" s="57" t="s">
        <v>25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6"/>
    </row>
    <row r="10" spans="1:22" ht="24.95" customHeight="1" x14ac:dyDescent="0.25">
      <c r="A10" s="56" t="s">
        <v>208</v>
      </c>
      <c r="B10" s="56"/>
      <c r="C10" s="3">
        <f t="shared" ref="C10:U10" si="1">C11+C14+C29+C31+C33+C35+C37+C40+C43+C47+C52+C54+C57+C59+C63+C65+C67+C70+C72+C74+C77+C79+C81+C101+C104+C111+C119+C129+C131+C133+C135+C285+C290+C292+C295+C299+C303+C305+C307+C310+C312+C314+C317+C319+C321</f>
        <v>1113167086.55</v>
      </c>
      <c r="D10" s="3">
        <f t="shared" si="1"/>
        <v>329800833.17999995</v>
      </c>
      <c r="E10" s="3">
        <f t="shared" si="1"/>
        <v>55076538.390000001</v>
      </c>
      <c r="F10" s="3">
        <f t="shared" si="1"/>
        <v>132978863.17000002</v>
      </c>
      <c r="G10" s="3">
        <f t="shared" si="1"/>
        <v>40398984.539999992</v>
      </c>
      <c r="H10" s="3">
        <f t="shared" si="1"/>
        <v>49077439.800000004</v>
      </c>
      <c r="I10" s="3">
        <f t="shared" si="1"/>
        <v>52269007.280000001</v>
      </c>
      <c r="J10" s="3">
        <f t="shared" si="1"/>
        <v>0</v>
      </c>
      <c r="K10" s="15">
        <f t="shared" si="1"/>
        <v>20</v>
      </c>
      <c r="L10" s="3">
        <f t="shared" si="1"/>
        <v>42767713.030000001</v>
      </c>
      <c r="M10" s="3">
        <f t="shared" si="1"/>
        <v>103597.77000000002</v>
      </c>
      <c r="N10" s="3">
        <f t="shared" si="1"/>
        <v>450033118.75</v>
      </c>
      <c r="O10" s="3">
        <f t="shared" si="1"/>
        <v>4358.75</v>
      </c>
      <c r="P10" s="3">
        <f t="shared" si="1"/>
        <v>5244835.8499999996</v>
      </c>
      <c r="Q10" s="3">
        <f t="shared" si="1"/>
        <v>94824.09</v>
      </c>
      <c r="R10" s="3">
        <f t="shared" si="1"/>
        <v>228696073.45999998</v>
      </c>
      <c r="S10" s="3">
        <f t="shared" si="1"/>
        <v>9094122.0399999991</v>
      </c>
      <c r="T10" s="3">
        <f t="shared" si="1"/>
        <v>678303.6</v>
      </c>
      <c r="U10" s="3">
        <f t="shared" si="1"/>
        <v>46852086.639999993</v>
      </c>
    </row>
    <row r="11" spans="1:22" s="19" customFormat="1" ht="45" customHeight="1" x14ac:dyDescent="0.25">
      <c r="A11" s="55" t="s">
        <v>1922</v>
      </c>
      <c r="B11" s="55"/>
      <c r="C11" s="3">
        <f>SUM(C12:C13)</f>
        <v>5866571</v>
      </c>
      <c r="D11" s="3">
        <f t="shared" ref="D11:U11" si="2">SUM(D12:D13)</f>
        <v>1170495</v>
      </c>
      <c r="E11" s="3">
        <f t="shared" si="2"/>
        <v>221445</v>
      </c>
      <c r="F11" s="3">
        <f t="shared" si="2"/>
        <v>506160</v>
      </c>
      <c r="G11" s="3">
        <f t="shared" si="2"/>
        <v>189810</v>
      </c>
      <c r="H11" s="3">
        <f t="shared" si="2"/>
        <v>0</v>
      </c>
      <c r="I11" s="3">
        <f t="shared" si="2"/>
        <v>253080</v>
      </c>
      <c r="J11" s="3">
        <f t="shared" si="2"/>
        <v>0</v>
      </c>
      <c r="K11" s="15">
        <f t="shared" si="2"/>
        <v>0</v>
      </c>
      <c r="L11" s="3">
        <f t="shared" si="2"/>
        <v>0</v>
      </c>
      <c r="M11" s="3">
        <f t="shared" si="2"/>
        <v>406</v>
      </c>
      <c r="N11" s="3">
        <f t="shared" si="2"/>
        <v>1496516</v>
      </c>
      <c r="O11" s="3">
        <f t="shared" si="2"/>
        <v>0</v>
      </c>
      <c r="P11" s="3">
        <f t="shared" si="2"/>
        <v>0</v>
      </c>
      <c r="Q11" s="3">
        <f t="shared" si="2"/>
        <v>666.52</v>
      </c>
      <c r="R11" s="3">
        <f t="shared" si="2"/>
        <v>1999560</v>
      </c>
      <c r="S11" s="3">
        <f t="shared" si="2"/>
        <v>0</v>
      </c>
      <c r="T11" s="3">
        <f t="shared" si="2"/>
        <v>0</v>
      </c>
      <c r="U11" s="3">
        <f t="shared" si="2"/>
        <v>1200000</v>
      </c>
      <c r="V11" s="18">
        <f>C11+C338+C761</f>
        <v>28422971</v>
      </c>
    </row>
    <row r="12" spans="1:22" ht="21.95" customHeight="1" x14ac:dyDescent="0.25">
      <c r="A12" s="1" t="s">
        <v>837</v>
      </c>
      <c r="B12" s="20" t="s">
        <v>21</v>
      </c>
      <c r="C12" s="3">
        <f t="shared" ref="C12:C71" si="3">D12+L12+N12+P12+R12+S12+T12+U12</f>
        <v>3101011</v>
      </c>
      <c r="D12" s="4">
        <f>SUM(E12:J12)</f>
        <v>625115</v>
      </c>
      <c r="E12" s="4">
        <f>350*337.9</f>
        <v>118264.99999999999</v>
      </c>
      <c r="F12" s="4">
        <f>800*337.9</f>
        <v>270320</v>
      </c>
      <c r="G12" s="4">
        <f>300*337.9</f>
        <v>101370</v>
      </c>
      <c r="H12" s="4">
        <f>500*0</f>
        <v>0</v>
      </c>
      <c r="I12" s="4">
        <f>400*337.9</f>
        <v>135160</v>
      </c>
      <c r="J12" s="4">
        <f>350*0</f>
        <v>0</v>
      </c>
      <c r="K12" s="5">
        <v>0</v>
      </c>
      <c r="L12" s="4">
        <v>0</v>
      </c>
      <c r="M12" s="4">
        <v>196</v>
      </c>
      <c r="N12" s="4">
        <f>M12*3686</f>
        <v>722456</v>
      </c>
      <c r="O12" s="4">
        <v>0</v>
      </c>
      <c r="P12" s="4">
        <v>0</v>
      </c>
      <c r="Q12" s="4">
        <v>384.48</v>
      </c>
      <c r="R12" s="4">
        <f>Q12*3000</f>
        <v>1153440</v>
      </c>
      <c r="S12" s="4">
        <v>0</v>
      </c>
      <c r="T12" s="4">
        <v>0</v>
      </c>
      <c r="U12" s="4">
        <v>600000</v>
      </c>
      <c r="V12" s="7">
        <f>N12/M12</f>
        <v>3686</v>
      </c>
    </row>
    <row r="13" spans="1:22" ht="21.95" customHeight="1" x14ac:dyDescent="0.25">
      <c r="A13" s="1" t="s">
        <v>838</v>
      </c>
      <c r="B13" s="20" t="s">
        <v>22</v>
      </c>
      <c r="C13" s="3">
        <f t="shared" si="3"/>
        <v>2765560</v>
      </c>
      <c r="D13" s="4">
        <f>SUM(E13:J13)</f>
        <v>545380</v>
      </c>
      <c r="E13" s="4">
        <f>350*294.8</f>
        <v>103180</v>
      </c>
      <c r="F13" s="4">
        <f>800*294.8</f>
        <v>235840</v>
      </c>
      <c r="G13" s="4">
        <f>300*294.8</f>
        <v>88440</v>
      </c>
      <c r="H13" s="4">
        <f>500*0</f>
        <v>0</v>
      </c>
      <c r="I13" s="4">
        <f>400*294.8</f>
        <v>117920</v>
      </c>
      <c r="J13" s="4">
        <f>350*0</f>
        <v>0</v>
      </c>
      <c r="K13" s="5">
        <v>0</v>
      </c>
      <c r="L13" s="4">
        <v>0</v>
      </c>
      <c r="M13" s="4">
        <v>210</v>
      </c>
      <c r="N13" s="4">
        <f>M13*3686</f>
        <v>774060</v>
      </c>
      <c r="O13" s="4">
        <v>0</v>
      </c>
      <c r="P13" s="4">
        <v>0</v>
      </c>
      <c r="Q13" s="4">
        <v>282.04000000000002</v>
      </c>
      <c r="R13" s="4">
        <f>Q13*3000</f>
        <v>846120.00000000012</v>
      </c>
      <c r="S13" s="4">
        <v>0</v>
      </c>
      <c r="T13" s="4">
        <v>0</v>
      </c>
      <c r="U13" s="4">
        <v>600000</v>
      </c>
      <c r="V13" s="7">
        <f>N13/M13</f>
        <v>3686</v>
      </c>
    </row>
    <row r="14" spans="1:22" ht="45" customHeight="1" x14ac:dyDescent="0.25">
      <c r="A14" s="55" t="s">
        <v>0</v>
      </c>
      <c r="B14" s="55"/>
      <c r="C14" s="3">
        <f t="shared" ref="C14:U14" si="4">SUM(C15:C28)</f>
        <v>46916089.829999998</v>
      </c>
      <c r="D14" s="3">
        <f t="shared" si="4"/>
        <v>2055897.5</v>
      </c>
      <c r="E14" s="3">
        <f t="shared" si="4"/>
        <v>306197.5</v>
      </c>
      <c r="F14" s="3">
        <f t="shared" si="4"/>
        <v>699880</v>
      </c>
      <c r="G14" s="3">
        <f t="shared" si="4"/>
        <v>262455</v>
      </c>
      <c r="H14" s="3">
        <f t="shared" si="4"/>
        <v>437425</v>
      </c>
      <c r="I14" s="3">
        <f t="shared" si="4"/>
        <v>349940</v>
      </c>
      <c r="J14" s="3">
        <f t="shared" si="4"/>
        <v>0</v>
      </c>
      <c r="K14" s="15">
        <f t="shared" si="4"/>
        <v>0</v>
      </c>
      <c r="L14" s="3">
        <f t="shared" si="4"/>
        <v>0</v>
      </c>
      <c r="M14" s="3">
        <f t="shared" si="4"/>
        <v>7419.5700000000006</v>
      </c>
      <c r="N14" s="3">
        <f t="shared" si="4"/>
        <v>37027241.989999995</v>
      </c>
      <c r="O14" s="3">
        <f t="shared" si="4"/>
        <v>182.3</v>
      </c>
      <c r="P14" s="3">
        <f t="shared" si="4"/>
        <v>218760</v>
      </c>
      <c r="Q14" s="3">
        <f t="shared" si="4"/>
        <v>1884.9</v>
      </c>
      <c r="R14" s="3">
        <f t="shared" si="4"/>
        <v>4994655</v>
      </c>
      <c r="S14" s="3">
        <f t="shared" si="4"/>
        <v>273000</v>
      </c>
      <c r="T14" s="3">
        <f t="shared" si="4"/>
        <v>0</v>
      </c>
      <c r="U14" s="3">
        <f t="shared" si="4"/>
        <v>2346535.34</v>
      </c>
      <c r="V14" s="21">
        <f>C14+C341+C764</f>
        <v>311286509.08999997</v>
      </c>
    </row>
    <row r="15" spans="1:22" ht="21.95" customHeight="1" x14ac:dyDescent="0.25">
      <c r="A15" s="1" t="s">
        <v>1620</v>
      </c>
      <c r="B15" s="22" t="s">
        <v>39</v>
      </c>
      <c r="C15" s="3">
        <f t="shared" si="3"/>
        <v>7150453.5</v>
      </c>
      <c r="D15" s="4">
        <f>SUM(E15:J15)</f>
        <v>2055897.5</v>
      </c>
      <c r="E15" s="4">
        <f>350*874.85</f>
        <v>306197.5</v>
      </c>
      <c r="F15" s="4">
        <f>800*874.85</f>
        <v>699880</v>
      </c>
      <c r="G15" s="4">
        <f>300*874.85</f>
        <v>262455</v>
      </c>
      <c r="H15" s="4">
        <f>500*874.85</f>
        <v>437425</v>
      </c>
      <c r="I15" s="4">
        <f>400*874.85</f>
        <v>349940</v>
      </c>
      <c r="J15" s="4">
        <f>350*0</f>
        <v>0</v>
      </c>
      <c r="K15" s="5">
        <v>0</v>
      </c>
      <c r="L15" s="4">
        <v>0</v>
      </c>
      <c r="M15" s="4">
        <v>617</v>
      </c>
      <c r="N15" s="23">
        <v>3270100</v>
      </c>
      <c r="O15" s="4">
        <v>182.3</v>
      </c>
      <c r="P15" s="4">
        <v>218760</v>
      </c>
      <c r="Q15" s="4">
        <v>435.2</v>
      </c>
      <c r="R15" s="4">
        <v>1133696</v>
      </c>
      <c r="S15" s="4">
        <v>273000</v>
      </c>
      <c r="T15" s="4">
        <v>0</v>
      </c>
      <c r="U15" s="4">
        <v>199000</v>
      </c>
      <c r="V15" s="7">
        <f t="shared" ref="V15:V28" si="5">N15/M15</f>
        <v>5300</v>
      </c>
    </row>
    <row r="16" spans="1:22" ht="21.95" customHeight="1" x14ac:dyDescent="0.25">
      <c r="A16" s="1" t="s">
        <v>1621</v>
      </c>
      <c r="B16" s="22" t="s">
        <v>41</v>
      </c>
      <c r="C16" s="3">
        <f t="shared" si="3"/>
        <v>8261688.6799999997</v>
      </c>
      <c r="D16" s="4">
        <f>SUM(E16:J16)</f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5">
        <v>0</v>
      </c>
      <c r="L16" s="4">
        <v>0</v>
      </c>
      <c r="M16" s="4">
        <v>835.4</v>
      </c>
      <c r="N16" s="23">
        <v>4208619.5999999996</v>
      </c>
      <c r="O16" s="4">
        <v>0</v>
      </c>
      <c r="P16" s="4">
        <v>0</v>
      </c>
      <c r="Q16" s="4">
        <v>1449.7</v>
      </c>
      <c r="R16" s="4">
        <v>3860959</v>
      </c>
      <c r="S16" s="4">
        <v>0</v>
      </c>
      <c r="T16" s="4">
        <v>0</v>
      </c>
      <c r="U16" s="4">
        <v>192110.07999999999</v>
      </c>
      <c r="V16" s="21">
        <f t="shared" si="5"/>
        <v>5037.8496528609048</v>
      </c>
    </row>
    <row r="17" spans="1:22" ht="21.95" customHeight="1" x14ac:dyDescent="0.25">
      <c r="A17" s="1" t="s">
        <v>1622</v>
      </c>
      <c r="B17" s="9" t="s">
        <v>43</v>
      </c>
      <c r="C17" s="3">
        <f>D17+L17+N17+P17+R17+S17+T17+U17</f>
        <v>4437593.3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5">
        <v>0</v>
      </c>
      <c r="L17" s="4">
        <v>0</v>
      </c>
      <c r="M17" s="4">
        <v>861.3</v>
      </c>
      <c r="N17" s="23">
        <v>4328404.8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109188.5</v>
      </c>
      <c r="V17" s="7">
        <f>N17/M17</f>
        <v>5025.4322535701849</v>
      </c>
    </row>
    <row r="18" spans="1:22" ht="21.95" customHeight="1" x14ac:dyDescent="0.25">
      <c r="A18" s="1" t="s">
        <v>1623</v>
      </c>
      <c r="B18" s="9" t="s">
        <v>44</v>
      </c>
      <c r="C18" s="3">
        <f>D18+L18+N18+P18+R18+S18+T18+U18</f>
        <v>95605.06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5">
        <v>0</v>
      </c>
      <c r="L18" s="4">
        <v>0</v>
      </c>
      <c r="M18" s="4">
        <v>0</v>
      </c>
      <c r="N18" s="23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95605.06</v>
      </c>
      <c r="V18" s="7" t="e">
        <f>N18/M18</f>
        <v>#DIV/0!</v>
      </c>
    </row>
    <row r="19" spans="1:22" ht="21.95" customHeight="1" x14ac:dyDescent="0.25">
      <c r="A19" s="1" t="s">
        <v>1624</v>
      </c>
      <c r="B19" s="9" t="s">
        <v>45</v>
      </c>
      <c r="C19" s="3">
        <f>D19+L19+N19+P19+R19+S19+T19+U19</f>
        <v>2539303.1100000003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5">
        <v>0</v>
      </c>
      <c r="L19" s="4">
        <v>0</v>
      </c>
      <c r="M19" s="4">
        <v>467.35</v>
      </c>
      <c r="N19" s="23">
        <v>2476859.87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62443.24</v>
      </c>
      <c r="V19" s="7">
        <f>N19/M19</f>
        <v>5299.7964480582004</v>
      </c>
    </row>
    <row r="20" spans="1:22" ht="21.95" customHeight="1" x14ac:dyDescent="0.25">
      <c r="A20" s="1" t="s">
        <v>1625</v>
      </c>
      <c r="B20" s="9" t="s">
        <v>42</v>
      </c>
      <c r="C20" s="3">
        <f t="shared" si="3"/>
        <v>3344548.04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5">
        <v>0</v>
      </c>
      <c r="L20" s="4">
        <v>0</v>
      </c>
      <c r="M20" s="4">
        <v>615.20000000000005</v>
      </c>
      <c r="N20" s="23">
        <v>3260560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83988.04</v>
      </c>
      <c r="V20" s="7">
        <f t="shared" si="5"/>
        <v>5300</v>
      </c>
    </row>
    <row r="21" spans="1:22" ht="21.95" customHeight="1" x14ac:dyDescent="0.25">
      <c r="A21" s="1" t="s">
        <v>1626</v>
      </c>
      <c r="B21" s="9" t="s">
        <v>48</v>
      </c>
      <c r="C21" s="3">
        <f t="shared" si="3"/>
        <v>3039549.67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5">
        <v>0</v>
      </c>
      <c r="L21" s="4">
        <v>0</v>
      </c>
      <c r="M21" s="4">
        <v>547.4</v>
      </c>
      <c r="N21" s="23">
        <v>2901110.4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138439.26999999999</v>
      </c>
      <c r="V21" s="7">
        <f t="shared" si="5"/>
        <v>5299.7997807818783</v>
      </c>
    </row>
    <row r="22" spans="1:22" ht="21.95" customHeight="1" x14ac:dyDescent="0.25">
      <c r="A22" s="1" t="s">
        <v>1627</v>
      </c>
      <c r="B22" s="22" t="s">
        <v>1406</v>
      </c>
      <c r="C22" s="3">
        <f t="shared" si="3"/>
        <v>3856760.0000000005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5">
        <v>0</v>
      </c>
      <c r="L22" s="4">
        <v>0</v>
      </c>
      <c r="M22" s="4">
        <v>610.32000000000005</v>
      </c>
      <c r="N22" s="23">
        <f>M22*5500</f>
        <v>3356760.0000000005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500000</v>
      </c>
      <c r="V22" s="7">
        <f t="shared" si="5"/>
        <v>5500</v>
      </c>
    </row>
    <row r="23" spans="1:22" ht="21.95" customHeight="1" x14ac:dyDescent="0.25">
      <c r="A23" s="1" t="s">
        <v>1628</v>
      </c>
      <c r="B23" s="9" t="s">
        <v>54</v>
      </c>
      <c r="C23" s="3">
        <f>D23+L23+N23+P23+R23+S23+T23+U23</f>
        <v>2745000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5">
        <v>0</v>
      </c>
      <c r="L23" s="4">
        <v>0</v>
      </c>
      <c r="M23" s="4">
        <v>390</v>
      </c>
      <c r="N23" s="23">
        <f>M23*5500</f>
        <v>2145000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600000</v>
      </c>
      <c r="V23" s="7">
        <f>N23/M23</f>
        <v>5500</v>
      </c>
    </row>
    <row r="24" spans="1:22" ht="21.95" customHeight="1" x14ac:dyDescent="0.25">
      <c r="A24" s="1" t="s">
        <v>1629</v>
      </c>
      <c r="B24" s="9" t="s">
        <v>50</v>
      </c>
      <c r="C24" s="3">
        <f t="shared" si="3"/>
        <v>1620190.78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5">
        <v>0</v>
      </c>
      <c r="L24" s="4">
        <v>0</v>
      </c>
      <c r="M24" s="4">
        <v>482</v>
      </c>
      <c r="N24" s="23">
        <v>1590599.04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29591.74</v>
      </c>
      <c r="V24" s="7">
        <f t="shared" si="5"/>
        <v>3299.9980082987554</v>
      </c>
    </row>
    <row r="25" spans="1:22" ht="21.95" customHeight="1" x14ac:dyDescent="0.25">
      <c r="A25" s="1" t="s">
        <v>1630</v>
      </c>
      <c r="B25" s="9" t="s">
        <v>53</v>
      </c>
      <c r="C25" s="3">
        <f t="shared" si="3"/>
        <v>1518810.69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5">
        <v>0</v>
      </c>
      <c r="L25" s="4">
        <v>0</v>
      </c>
      <c r="M25" s="4">
        <v>283.60000000000002</v>
      </c>
      <c r="N25" s="23">
        <v>1434500.4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84310.29</v>
      </c>
      <c r="V25" s="7">
        <f t="shared" si="5"/>
        <v>5058.1819464033842</v>
      </c>
    </row>
    <row r="26" spans="1:22" ht="21.95" customHeight="1" x14ac:dyDescent="0.25">
      <c r="A26" s="1" t="s">
        <v>1631</v>
      </c>
      <c r="B26" s="22" t="s">
        <v>56</v>
      </c>
      <c r="C26" s="3">
        <f>D26+L26+N26+P26+R26+S26+T26+U26</f>
        <v>2818103.6199999996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5">
        <v>0</v>
      </c>
      <c r="L26" s="4">
        <v>0</v>
      </c>
      <c r="M26" s="4">
        <v>620</v>
      </c>
      <c r="N26" s="23">
        <v>2734627.8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83475.820000000007</v>
      </c>
      <c r="V26" s="7">
        <f>N26/M26</f>
        <v>4410.6899999999996</v>
      </c>
    </row>
    <row r="27" spans="1:22" ht="21.95" customHeight="1" x14ac:dyDescent="0.25">
      <c r="A27" s="1" t="s">
        <v>1632</v>
      </c>
      <c r="B27" s="22" t="s">
        <v>57</v>
      </c>
      <c r="C27" s="3">
        <f>D27+L27+N27+P27+R27+S27+T27+U27</f>
        <v>2684363.89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5">
        <v>0</v>
      </c>
      <c r="L27" s="4">
        <v>0</v>
      </c>
      <c r="M27" s="4">
        <v>545.6</v>
      </c>
      <c r="N27" s="23">
        <v>2600172.2400000002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84191.65</v>
      </c>
      <c r="V27" s="7">
        <f>N27/M27</f>
        <v>4765.7115835777131</v>
      </c>
    </row>
    <row r="28" spans="1:22" ht="21.95" customHeight="1" x14ac:dyDescent="0.25">
      <c r="A28" s="1" t="s">
        <v>1633</v>
      </c>
      <c r="B28" s="22" t="s">
        <v>55</v>
      </c>
      <c r="C28" s="3">
        <f t="shared" si="3"/>
        <v>2804119.4899999998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5">
        <v>0</v>
      </c>
      <c r="L28" s="4">
        <v>0</v>
      </c>
      <c r="M28" s="4">
        <v>544.4</v>
      </c>
      <c r="N28" s="23">
        <v>2719927.84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84191.65</v>
      </c>
      <c r="V28" s="7">
        <f t="shared" si="5"/>
        <v>4996.1936811168262</v>
      </c>
    </row>
    <row r="29" spans="1:22" ht="45" customHeight="1" x14ac:dyDescent="0.25">
      <c r="A29" s="55" t="s">
        <v>1201</v>
      </c>
      <c r="B29" s="55"/>
      <c r="C29" s="3">
        <f>SUM(C30)</f>
        <v>2310609.41</v>
      </c>
      <c r="D29" s="3">
        <f t="shared" ref="D29:U29" si="6">SUM(D30)</f>
        <v>0</v>
      </c>
      <c r="E29" s="3">
        <f t="shared" si="6"/>
        <v>0</v>
      </c>
      <c r="F29" s="3">
        <f t="shared" si="6"/>
        <v>0</v>
      </c>
      <c r="G29" s="3">
        <f t="shared" si="6"/>
        <v>0</v>
      </c>
      <c r="H29" s="3">
        <f t="shared" si="6"/>
        <v>0</v>
      </c>
      <c r="I29" s="3">
        <f t="shared" si="6"/>
        <v>0</v>
      </c>
      <c r="J29" s="3">
        <f t="shared" si="6"/>
        <v>0</v>
      </c>
      <c r="K29" s="15">
        <f t="shared" si="6"/>
        <v>0</v>
      </c>
      <c r="L29" s="3">
        <f t="shared" si="6"/>
        <v>0</v>
      </c>
      <c r="M29" s="3">
        <f t="shared" si="6"/>
        <v>545.4</v>
      </c>
      <c r="N29" s="3">
        <f t="shared" si="6"/>
        <v>2256173.66</v>
      </c>
      <c r="O29" s="3">
        <f t="shared" si="6"/>
        <v>0</v>
      </c>
      <c r="P29" s="3">
        <f t="shared" si="6"/>
        <v>0</v>
      </c>
      <c r="Q29" s="3">
        <f t="shared" si="6"/>
        <v>0</v>
      </c>
      <c r="R29" s="3">
        <f t="shared" si="6"/>
        <v>0</v>
      </c>
      <c r="S29" s="3">
        <f t="shared" si="6"/>
        <v>0</v>
      </c>
      <c r="T29" s="3">
        <f t="shared" si="6"/>
        <v>0</v>
      </c>
      <c r="U29" s="3">
        <f t="shared" si="6"/>
        <v>54435.75</v>
      </c>
      <c r="V29" s="21">
        <f>C29</f>
        <v>2310609.41</v>
      </c>
    </row>
    <row r="30" spans="1:22" ht="21.95" customHeight="1" x14ac:dyDescent="0.25">
      <c r="A30" s="1" t="s">
        <v>1634</v>
      </c>
      <c r="B30" s="9" t="s">
        <v>27</v>
      </c>
      <c r="C30" s="3">
        <f t="shared" si="3"/>
        <v>2310609.41</v>
      </c>
      <c r="D30" s="4">
        <f>SUM(E30:J30)</f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5">
        <v>0</v>
      </c>
      <c r="L30" s="4">
        <v>0</v>
      </c>
      <c r="M30" s="4">
        <v>545.4</v>
      </c>
      <c r="N30" s="23">
        <v>2256173.66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54435.75</v>
      </c>
      <c r="V30" s="7">
        <f>N30/M30</f>
        <v>4136.7320498716545</v>
      </c>
    </row>
    <row r="31" spans="1:22" ht="45" customHeight="1" x14ac:dyDescent="0.25">
      <c r="A31" s="55" t="s">
        <v>1382</v>
      </c>
      <c r="B31" s="55"/>
      <c r="C31" s="3">
        <f>SUM(C32)</f>
        <v>5159513</v>
      </c>
      <c r="D31" s="3">
        <f t="shared" ref="D31:U31" si="7">SUM(D32)</f>
        <v>0</v>
      </c>
      <c r="E31" s="3">
        <f t="shared" si="7"/>
        <v>0</v>
      </c>
      <c r="F31" s="3">
        <f t="shared" si="7"/>
        <v>0</v>
      </c>
      <c r="G31" s="3">
        <f t="shared" si="7"/>
        <v>0</v>
      </c>
      <c r="H31" s="3">
        <f t="shared" si="7"/>
        <v>0</v>
      </c>
      <c r="I31" s="3">
        <f t="shared" si="7"/>
        <v>0</v>
      </c>
      <c r="J31" s="3">
        <f t="shared" si="7"/>
        <v>0</v>
      </c>
      <c r="K31" s="15">
        <f t="shared" si="7"/>
        <v>0</v>
      </c>
      <c r="L31" s="3">
        <f t="shared" si="7"/>
        <v>0</v>
      </c>
      <c r="M31" s="3">
        <f t="shared" si="7"/>
        <v>1345.5</v>
      </c>
      <c r="N31" s="3">
        <f t="shared" si="7"/>
        <v>4959513</v>
      </c>
      <c r="O31" s="3">
        <f t="shared" si="7"/>
        <v>0</v>
      </c>
      <c r="P31" s="3">
        <f t="shared" si="7"/>
        <v>0</v>
      </c>
      <c r="Q31" s="3">
        <f t="shared" si="7"/>
        <v>0</v>
      </c>
      <c r="R31" s="3">
        <f t="shared" si="7"/>
        <v>0</v>
      </c>
      <c r="S31" s="3">
        <f t="shared" si="7"/>
        <v>0</v>
      </c>
      <c r="T31" s="3">
        <f t="shared" si="7"/>
        <v>0</v>
      </c>
      <c r="U31" s="3">
        <f t="shared" si="7"/>
        <v>200000</v>
      </c>
      <c r="V31" s="21">
        <f>C31</f>
        <v>5159513</v>
      </c>
    </row>
    <row r="32" spans="1:22" ht="21.95" customHeight="1" x14ac:dyDescent="0.25">
      <c r="A32" s="1" t="s">
        <v>1635</v>
      </c>
      <c r="B32" s="9" t="s">
        <v>1383</v>
      </c>
      <c r="C32" s="3">
        <f t="shared" si="3"/>
        <v>5159513</v>
      </c>
      <c r="D32" s="4">
        <f>SUM(E32:J32)</f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5">
        <v>0</v>
      </c>
      <c r="L32" s="4">
        <v>0</v>
      </c>
      <c r="M32" s="4">
        <v>1345.5</v>
      </c>
      <c r="N32" s="23">
        <f>M32*3686</f>
        <v>4959513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200000</v>
      </c>
      <c r="V32" s="7">
        <f>N32/M32</f>
        <v>3686</v>
      </c>
    </row>
    <row r="33" spans="1:22" ht="45" customHeight="1" x14ac:dyDescent="0.25">
      <c r="A33" s="55" t="s">
        <v>74</v>
      </c>
      <c r="B33" s="55"/>
      <c r="C33" s="3">
        <f>SUM(C34)</f>
        <v>1334845.79</v>
      </c>
      <c r="D33" s="3">
        <f t="shared" ref="D33:U33" si="8">SUM(D34)</f>
        <v>98442.83</v>
      </c>
      <c r="E33" s="3">
        <f t="shared" si="8"/>
        <v>98442.83</v>
      </c>
      <c r="F33" s="3">
        <f t="shared" si="8"/>
        <v>0</v>
      </c>
      <c r="G33" s="3">
        <f t="shared" si="8"/>
        <v>0</v>
      </c>
      <c r="H33" s="3">
        <f t="shared" si="8"/>
        <v>0</v>
      </c>
      <c r="I33" s="3">
        <f t="shared" si="8"/>
        <v>0</v>
      </c>
      <c r="J33" s="3">
        <f t="shared" si="8"/>
        <v>0</v>
      </c>
      <c r="K33" s="15">
        <f t="shared" si="8"/>
        <v>0</v>
      </c>
      <c r="L33" s="3">
        <f t="shared" si="8"/>
        <v>0</v>
      </c>
      <c r="M33" s="3">
        <f t="shared" si="8"/>
        <v>254.8</v>
      </c>
      <c r="N33" s="3">
        <f t="shared" si="8"/>
        <v>1159135.44</v>
      </c>
      <c r="O33" s="3">
        <f t="shared" si="8"/>
        <v>0</v>
      </c>
      <c r="P33" s="3">
        <f t="shared" si="8"/>
        <v>0</v>
      </c>
      <c r="Q33" s="3">
        <f t="shared" si="8"/>
        <v>0</v>
      </c>
      <c r="R33" s="3">
        <f t="shared" si="8"/>
        <v>0</v>
      </c>
      <c r="S33" s="3">
        <f t="shared" si="8"/>
        <v>0</v>
      </c>
      <c r="T33" s="3">
        <f t="shared" si="8"/>
        <v>0</v>
      </c>
      <c r="U33" s="3">
        <f t="shared" si="8"/>
        <v>77267.520000000004</v>
      </c>
      <c r="V33" s="21">
        <f>C33+C363+C787</f>
        <v>24255740.789999999</v>
      </c>
    </row>
    <row r="34" spans="1:22" ht="23.1" customHeight="1" x14ac:dyDescent="0.25">
      <c r="A34" s="24" t="s">
        <v>1636</v>
      </c>
      <c r="B34" s="9" t="s">
        <v>73</v>
      </c>
      <c r="C34" s="3">
        <f t="shared" si="3"/>
        <v>1334845.79</v>
      </c>
      <c r="D34" s="4">
        <f>SUM(E34:J34)</f>
        <v>98442.83</v>
      </c>
      <c r="E34" s="4">
        <v>98442.83</v>
      </c>
      <c r="F34" s="4">
        <f>800*0</f>
        <v>0</v>
      </c>
      <c r="G34" s="4">
        <f>300*0</f>
        <v>0</v>
      </c>
      <c r="H34" s="4">
        <f>500*0</f>
        <v>0</v>
      </c>
      <c r="I34" s="4">
        <f>400*0</f>
        <v>0</v>
      </c>
      <c r="J34" s="4">
        <f>350*0</f>
        <v>0</v>
      </c>
      <c r="K34" s="12">
        <v>0</v>
      </c>
      <c r="L34" s="6">
        <v>0</v>
      </c>
      <c r="M34" s="6">
        <v>254.8</v>
      </c>
      <c r="N34" s="23">
        <v>1159135.44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77267.520000000004</v>
      </c>
      <c r="V34" s="7">
        <f>N34/M34</f>
        <v>4549.1971742543165</v>
      </c>
    </row>
    <row r="35" spans="1:22" ht="45" customHeight="1" x14ac:dyDescent="0.25">
      <c r="A35" s="55" t="s">
        <v>1447</v>
      </c>
      <c r="B35" s="55"/>
      <c r="C35" s="3">
        <f>SUM(C36)</f>
        <v>2051640.0000000002</v>
      </c>
      <c r="D35" s="3">
        <f t="shared" ref="D35:U35" si="9">SUM(D36)</f>
        <v>0</v>
      </c>
      <c r="E35" s="3">
        <f t="shared" si="9"/>
        <v>0</v>
      </c>
      <c r="F35" s="3">
        <f t="shared" si="9"/>
        <v>0</v>
      </c>
      <c r="G35" s="3">
        <f t="shared" si="9"/>
        <v>0</v>
      </c>
      <c r="H35" s="3">
        <f t="shared" si="9"/>
        <v>0</v>
      </c>
      <c r="I35" s="3">
        <f t="shared" si="9"/>
        <v>0</v>
      </c>
      <c r="J35" s="3">
        <f t="shared" si="9"/>
        <v>0</v>
      </c>
      <c r="K35" s="15">
        <f t="shared" si="9"/>
        <v>0</v>
      </c>
      <c r="L35" s="3">
        <f t="shared" si="9"/>
        <v>0</v>
      </c>
      <c r="M35" s="3">
        <f t="shared" si="9"/>
        <v>0</v>
      </c>
      <c r="N35" s="3">
        <f t="shared" si="9"/>
        <v>0</v>
      </c>
      <c r="O35" s="3">
        <f t="shared" si="9"/>
        <v>323.25</v>
      </c>
      <c r="P35" s="3">
        <f t="shared" si="9"/>
        <v>387900</v>
      </c>
      <c r="Q35" s="3">
        <f t="shared" si="9"/>
        <v>554.58000000000004</v>
      </c>
      <c r="R35" s="3">
        <f t="shared" si="9"/>
        <v>1663740.0000000002</v>
      </c>
      <c r="S35" s="3">
        <f t="shared" si="9"/>
        <v>0</v>
      </c>
      <c r="T35" s="3">
        <f t="shared" si="9"/>
        <v>0</v>
      </c>
      <c r="U35" s="3">
        <f t="shared" si="9"/>
        <v>0</v>
      </c>
      <c r="V35" s="21">
        <f>C35</f>
        <v>2051640.0000000002</v>
      </c>
    </row>
    <row r="36" spans="1:22" ht="27" customHeight="1" x14ac:dyDescent="0.25">
      <c r="A36" s="1" t="s">
        <v>1637</v>
      </c>
      <c r="B36" s="9" t="s">
        <v>1448</v>
      </c>
      <c r="C36" s="3">
        <f t="shared" si="3"/>
        <v>2051640.0000000002</v>
      </c>
      <c r="D36" s="4">
        <f>SUM(E36:J36)</f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5">
        <v>0</v>
      </c>
      <c r="L36" s="4">
        <v>0</v>
      </c>
      <c r="M36" s="4">
        <v>0</v>
      </c>
      <c r="N36" s="4">
        <v>0</v>
      </c>
      <c r="O36" s="4">
        <v>323.25</v>
      </c>
      <c r="P36" s="4">
        <f>O36*1200</f>
        <v>387900</v>
      </c>
      <c r="Q36" s="4">
        <v>554.58000000000004</v>
      </c>
      <c r="R36" s="4">
        <f>Q36*3000</f>
        <v>1663740.0000000002</v>
      </c>
      <c r="S36" s="4">
        <v>0</v>
      </c>
      <c r="T36" s="4">
        <v>0</v>
      </c>
      <c r="U36" s="4">
        <v>0</v>
      </c>
      <c r="V36" s="7" t="e">
        <f>N36/M36</f>
        <v>#DIV/0!</v>
      </c>
    </row>
    <row r="37" spans="1:22" ht="45" customHeight="1" x14ac:dyDescent="0.25">
      <c r="A37" s="55" t="s">
        <v>2</v>
      </c>
      <c r="B37" s="55"/>
      <c r="C37" s="3">
        <f>SUM(C38:C39)</f>
        <v>1938064.1099999999</v>
      </c>
      <c r="D37" s="3">
        <f t="shared" ref="D37:U37" si="10">SUM(D38:D39)</f>
        <v>0</v>
      </c>
      <c r="E37" s="3">
        <f t="shared" si="10"/>
        <v>0</v>
      </c>
      <c r="F37" s="3">
        <f t="shared" si="10"/>
        <v>0</v>
      </c>
      <c r="G37" s="3">
        <f t="shared" si="10"/>
        <v>0</v>
      </c>
      <c r="H37" s="3">
        <f t="shared" si="10"/>
        <v>0</v>
      </c>
      <c r="I37" s="3">
        <f t="shared" si="10"/>
        <v>0</v>
      </c>
      <c r="J37" s="3">
        <f t="shared" si="10"/>
        <v>0</v>
      </c>
      <c r="K37" s="15">
        <f t="shared" si="10"/>
        <v>0</v>
      </c>
      <c r="L37" s="3">
        <f t="shared" si="10"/>
        <v>0</v>
      </c>
      <c r="M37" s="3">
        <f t="shared" si="10"/>
        <v>496</v>
      </c>
      <c r="N37" s="3">
        <f t="shared" si="10"/>
        <v>1830260.64</v>
      </c>
      <c r="O37" s="3">
        <f t="shared" si="10"/>
        <v>0</v>
      </c>
      <c r="P37" s="3">
        <f t="shared" si="10"/>
        <v>0</v>
      </c>
      <c r="Q37" s="3">
        <f t="shared" si="10"/>
        <v>0</v>
      </c>
      <c r="R37" s="3">
        <f t="shared" si="10"/>
        <v>0</v>
      </c>
      <c r="S37" s="3">
        <f t="shared" si="10"/>
        <v>0</v>
      </c>
      <c r="T37" s="3">
        <f t="shared" si="10"/>
        <v>0</v>
      </c>
      <c r="U37" s="3">
        <f t="shared" si="10"/>
        <v>107803.47</v>
      </c>
      <c r="V37" s="21">
        <f>C37+C367+C791</f>
        <v>16738889.109999999</v>
      </c>
    </row>
    <row r="38" spans="1:22" ht="20.100000000000001" customHeight="1" x14ac:dyDescent="0.25">
      <c r="A38" s="1" t="s">
        <v>1638</v>
      </c>
      <c r="B38" s="9" t="s">
        <v>77</v>
      </c>
      <c r="C38" s="3">
        <f t="shared" si="3"/>
        <v>53254.81</v>
      </c>
      <c r="D38" s="4">
        <f t="shared" ref="D38:D39" si="11">SUM(E38:J38)</f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5">
        <v>0</v>
      </c>
      <c r="L38" s="4">
        <v>0</v>
      </c>
      <c r="M38" s="6">
        <v>0</v>
      </c>
      <c r="N38" s="6">
        <v>0</v>
      </c>
      <c r="O38" s="4">
        <v>0</v>
      </c>
      <c r="P38" s="4">
        <v>0</v>
      </c>
      <c r="Q38" s="4">
        <v>0</v>
      </c>
      <c r="R38" s="4">
        <v>0</v>
      </c>
      <c r="S38" s="6">
        <v>0</v>
      </c>
      <c r="T38" s="4">
        <v>0</v>
      </c>
      <c r="U38" s="4">
        <v>53254.81</v>
      </c>
      <c r="V38" s="7" t="e">
        <f t="shared" ref="V38:V39" si="12">N38/M38</f>
        <v>#DIV/0!</v>
      </c>
    </row>
    <row r="39" spans="1:22" s="7" customFormat="1" ht="20.100000000000001" customHeight="1" x14ac:dyDescent="0.25">
      <c r="A39" s="1" t="s">
        <v>1639</v>
      </c>
      <c r="B39" s="9" t="s">
        <v>78</v>
      </c>
      <c r="C39" s="3">
        <f>D39+L39+N39+P39+R39+S39+T39+U39</f>
        <v>1884809.2999999998</v>
      </c>
      <c r="D39" s="4">
        <f t="shared" si="11"/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2">
        <v>0</v>
      </c>
      <c r="L39" s="6">
        <v>0</v>
      </c>
      <c r="M39" s="6">
        <v>496</v>
      </c>
      <c r="N39" s="6">
        <v>1830260.64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4">
        <v>0</v>
      </c>
      <c r="U39" s="6">
        <v>54548.66</v>
      </c>
      <c r="V39" s="7">
        <f t="shared" si="12"/>
        <v>3690.0416129032255</v>
      </c>
    </row>
    <row r="40" spans="1:22" ht="45" customHeight="1" x14ac:dyDescent="0.25">
      <c r="A40" s="55" t="s">
        <v>832</v>
      </c>
      <c r="B40" s="55"/>
      <c r="C40" s="3">
        <f>SUM(C41:C42)</f>
        <v>3063142.18</v>
      </c>
      <c r="D40" s="3">
        <f t="shared" ref="D40:U40" si="13">SUM(D41:D42)</f>
        <v>0</v>
      </c>
      <c r="E40" s="3">
        <f t="shared" si="13"/>
        <v>0</v>
      </c>
      <c r="F40" s="3">
        <f t="shared" si="13"/>
        <v>0</v>
      </c>
      <c r="G40" s="3">
        <f t="shared" si="13"/>
        <v>0</v>
      </c>
      <c r="H40" s="3">
        <f t="shared" si="13"/>
        <v>0</v>
      </c>
      <c r="I40" s="3">
        <f t="shared" si="13"/>
        <v>0</v>
      </c>
      <c r="J40" s="3">
        <f t="shared" si="13"/>
        <v>0</v>
      </c>
      <c r="K40" s="15">
        <f t="shared" si="13"/>
        <v>0</v>
      </c>
      <c r="L40" s="3">
        <f t="shared" si="13"/>
        <v>0</v>
      </c>
      <c r="M40" s="3">
        <f t="shared" si="13"/>
        <v>890</v>
      </c>
      <c r="N40" s="3">
        <f t="shared" si="13"/>
        <v>2846578.81</v>
      </c>
      <c r="O40" s="3">
        <f t="shared" si="13"/>
        <v>0</v>
      </c>
      <c r="P40" s="3">
        <f t="shared" si="13"/>
        <v>0</v>
      </c>
      <c r="Q40" s="3">
        <f t="shared" si="13"/>
        <v>0</v>
      </c>
      <c r="R40" s="3">
        <f t="shared" si="13"/>
        <v>0</v>
      </c>
      <c r="S40" s="3">
        <f t="shared" si="13"/>
        <v>0</v>
      </c>
      <c r="T40" s="3">
        <f t="shared" si="13"/>
        <v>0</v>
      </c>
      <c r="U40" s="3">
        <f t="shared" si="13"/>
        <v>216563.37</v>
      </c>
      <c r="V40" s="21">
        <f>C40+C373+C797</f>
        <v>21601623.579999998</v>
      </c>
    </row>
    <row r="41" spans="1:22" ht="20.100000000000001" customHeight="1" x14ac:dyDescent="0.25">
      <c r="A41" s="1" t="s">
        <v>1640</v>
      </c>
      <c r="B41" s="9" t="s">
        <v>87</v>
      </c>
      <c r="C41" s="3">
        <f t="shared" si="3"/>
        <v>239642.18</v>
      </c>
      <c r="D41" s="4">
        <f t="shared" ref="D41:D42" si="14">SUM(E41:J41)</f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5">
        <v>0</v>
      </c>
      <c r="L41" s="4">
        <v>0</v>
      </c>
      <c r="M41" s="4">
        <v>95</v>
      </c>
      <c r="N41" s="23">
        <v>223078.81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16563.37</v>
      </c>
      <c r="V41" s="7">
        <f t="shared" ref="V41:V42" si="15">N41/M41</f>
        <v>2348.1979999999999</v>
      </c>
    </row>
    <row r="42" spans="1:22" ht="20.100000000000001" customHeight="1" x14ac:dyDescent="0.25">
      <c r="A42" s="1" t="s">
        <v>1641</v>
      </c>
      <c r="B42" s="9" t="s">
        <v>88</v>
      </c>
      <c r="C42" s="3">
        <f t="shared" si="3"/>
        <v>2823500</v>
      </c>
      <c r="D42" s="4">
        <f t="shared" si="14"/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5">
        <v>0</v>
      </c>
      <c r="L42" s="4">
        <v>0</v>
      </c>
      <c r="M42" s="4">
        <v>795</v>
      </c>
      <c r="N42" s="23">
        <v>2623500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200000</v>
      </c>
      <c r="V42" s="7">
        <f t="shared" si="15"/>
        <v>3300</v>
      </c>
    </row>
    <row r="43" spans="1:22" ht="45" customHeight="1" x14ac:dyDescent="0.25">
      <c r="A43" s="55" t="s">
        <v>93</v>
      </c>
      <c r="B43" s="55"/>
      <c r="C43" s="3">
        <f>SUM(C44:C46)</f>
        <v>9825719.9299999997</v>
      </c>
      <c r="D43" s="3">
        <f t="shared" ref="D43:U43" si="16">SUM(D44:D46)</f>
        <v>281710</v>
      </c>
      <c r="E43" s="3">
        <f t="shared" si="16"/>
        <v>151690</v>
      </c>
      <c r="F43" s="3">
        <f t="shared" si="16"/>
        <v>0</v>
      </c>
      <c r="G43" s="3">
        <f t="shared" si="16"/>
        <v>130020</v>
      </c>
      <c r="H43" s="3">
        <f t="shared" si="16"/>
        <v>0</v>
      </c>
      <c r="I43" s="3">
        <f t="shared" si="16"/>
        <v>0</v>
      </c>
      <c r="J43" s="3">
        <f t="shared" si="16"/>
        <v>0</v>
      </c>
      <c r="K43" s="15">
        <f t="shared" si="16"/>
        <v>4</v>
      </c>
      <c r="L43" s="3">
        <f t="shared" si="16"/>
        <v>9200000</v>
      </c>
      <c r="M43" s="3">
        <f t="shared" si="16"/>
        <v>0</v>
      </c>
      <c r="N43" s="3">
        <f t="shared" si="16"/>
        <v>0</v>
      </c>
      <c r="O43" s="3">
        <f t="shared" si="16"/>
        <v>0</v>
      </c>
      <c r="P43" s="3">
        <f t="shared" si="16"/>
        <v>0</v>
      </c>
      <c r="Q43" s="3">
        <f t="shared" si="16"/>
        <v>0</v>
      </c>
      <c r="R43" s="3">
        <f t="shared" si="16"/>
        <v>0</v>
      </c>
      <c r="S43" s="3">
        <f t="shared" si="16"/>
        <v>0</v>
      </c>
      <c r="T43" s="3">
        <f t="shared" si="16"/>
        <v>0</v>
      </c>
      <c r="U43" s="3">
        <f t="shared" si="16"/>
        <v>344009.93</v>
      </c>
      <c r="V43" s="21">
        <f>C43+C378+C803</f>
        <v>30591094.050000001</v>
      </c>
    </row>
    <row r="44" spans="1:22" s="7" customFormat="1" ht="21.95" customHeight="1" x14ac:dyDescent="0.25">
      <c r="A44" s="24" t="s">
        <v>1642</v>
      </c>
      <c r="B44" s="9" t="s">
        <v>95</v>
      </c>
      <c r="C44" s="3">
        <f t="shared" si="3"/>
        <v>481710</v>
      </c>
      <c r="D44" s="4">
        <f t="shared" ref="D44:D46" si="17">SUM(E44:J44)</f>
        <v>281710</v>
      </c>
      <c r="E44" s="6">
        <f>350*433.4</f>
        <v>151690</v>
      </c>
      <c r="F44" s="6">
        <f>800*0</f>
        <v>0</v>
      </c>
      <c r="G44" s="6">
        <f>300*433.4</f>
        <v>130020</v>
      </c>
      <c r="H44" s="6">
        <f>500*0</f>
        <v>0</v>
      </c>
      <c r="I44" s="6">
        <v>0</v>
      </c>
      <c r="J44" s="6">
        <f>350*0</f>
        <v>0</v>
      </c>
      <c r="K44" s="12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200000</v>
      </c>
      <c r="V44" s="7" t="e">
        <f t="shared" ref="V44:V46" si="18">N44/M44</f>
        <v>#DIV/0!</v>
      </c>
    </row>
    <row r="45" spans="1:22" ht="21.95" customHeight="1" x14ac:dyDescent="0.25">
      <c r="A45" s="24" t="s">
        <v>1643</v>
      </c>
      <c r="B45" s="9" t="s">
        <v>96</v>
      </c>
      <c r="C45" s="3">
        <f t="shared" si="3"/>
        <v>4671995.4800000004</v>
      </c>
      <c r="D45" s="4">
        <f t="shared" si="17"/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5">
        <v>2</v>
      </c>
      <c r="L45" s="4">
        <v>4600000</v>
      </c>
      <c r="M45" s="6">
        <v>0</v>
      </c>
      <c r="N45" s="6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71995.48</v>
      </c>
      <c r="V45" s="7" t="e">
        <f t="shared" si="18"/>
        <v>#DIV/0!</v>
      </c>
    </row>
    <row r="46" spans="1:22" ht="21.95" customHeight="1" x14ac:dyDescent="0.25">
      <c r="A46" s="24" t="s">
        <v>1644</v>
      </c>
      <c r="B46" s="9" t="s">
        <v>99</v>
      </c>
      <c r="C46" s="3">
        <f t="shared" si="3"/>
        <v>4672014.45</v>
      </c>
      <c r="D46" s="4">
        <f t="shared" si="17"/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5">
        <v>2</v>
      </c>
      <c r="L46" s="4">
        <v>4600000</v>
      </c>
      <c r="M46" s="6">
        <v>0</v>
      </c>
      <c r="N46" s="6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72014.45</v>
      </c>
      <c r="V46" s="7" t="e">
        <f t="shared" si="18"/>
        <v>#DIV/0!</v>
      </c>
    </row>
    <row r="47" spans="1:22" ht="45" customHeight="1" x14ac:dyDescent="0.25">
      <c r="A47" s="55" t="s">
        <v>102</v>
      </c>
      <c r="B47" s="55"/>
      <c r="C47" s="3">
        <f>SUM(C48:C51)</f>
        <v>16547857.800000001</v>
      </c>
      <c r="D47" s="3">
        <f t="shared" ref="D47:U47" si="19">SUM(D48:D51)</f>
        <v>0</v>
      </c>
      <c r="E47" s="3">
        <f t="shared" si="19"/>
        <v>0</v>
      </c>
      <c r="F47" s="3">
        <f t="shared" si="19"/>
        <v>0</v>
      </c>
      <c r="G47" s="3">
        <f t="shared" si="19"/>
        <v>0</v>
      </c>
      <c r="H47" s="3">
        <f t="shared" si="19"/>
        <v>0</v>
      </c>
      <c r="I47" s="3">
        <f t="shared" si="19"/>
        <v>0</v>
      </c>
      <c r="J47" s="3">
        <f t="shared" si="19"/>
        <v>0</v>
      </c>
      <c r="K47" s="15">
        <f t="shared" si="19"/>
        <v>0</v>
      </c>
      <c r="L47" s="3">
        <f t="shared" si="19"/>
        <v>0</v>
      </c>
      <c r="M47" s="3">
        <f t="shared" si="19"/>
        <v>3014.3</v>
      </c>
      <c r="N47" s="3">
        <f t="shared" si="19"/>
        <v>16141870</v>
      </c>
      <c r="O47" s="3">
        <f t="shared" si="19"/>
        <v>0</v>
      </c>
      <c r="P47" s="3">
        <f t="shared" si="19"/>
        <v>0</v>
      </c>
      <c r="Q47" s="3">
        <f t="shared" si="19"/>
        <v>0</v>
      </c>
      <c r="R47" s="3">
        <f t="shared" si="19"/>
        <v>0</v>
      </c>
      <c r="S47" s="3">
        <f t="shared" si="19"/>
        <v>0</v>
      </c>
      <c r="T47" s="3">
        <f t="shared" si="19"/>
        <v>0</v>
      </c>
      <c r="U47" s="3">
        <f t="shared" si="19"/>
        <v>405987.8</v>
      </c>
      <c r="V47" s="21">
        <f>C47+C383+C806</f>
        <v>55916167.799999997</v>
      </c>
    </row>
    <row r="48" spans="1:22" ht="21" customHeight="1" x14ac:dyDescent="0.25">
      <c r="A48" s="1" t="s">
        <v>1645</v>
      </c>
      <c r="B48" s="9" t="s">
        <v>108</v>
      </c>
      <c r="C48" s="3">
        <f t="shared" si="3"/>
        <v>4767200</v>
      </c>
      <c r="D48" s="4">
        <f t="shared" ref="D48:D51" si="20">SUM(E48:J48)</f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5">
        <v>0</v>
      </c>
      <c r="L48" s="4">
        <v>0</v>
      </c>
      <c r="M48" s="6">
        <v>830.4</v>
      </c>
      <c r="N48" s="6">
        <v>4567200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200000</v>
      </c>
      <c r="V48" s="7">
        <f t="shared" ref="V48:V51" si="21">N48/M48</f>
        <v>5500</v>
      </c>
    </row>
    <row r="49" spans="1:22" ht="21.95" customHeight="1" x14ac:dyDescent="0.25">
      <c r="A49" s="1" t="s">
        <v>1646</v>
      </c>
      <c r="B49" s="9" t="s">
        <v>110</v>
      </c>
      <c r="C49" s="3">
        <f t="shared" si="3"/>
        <v>4075640.8</v>
      </c>
      <c r="D49" s="4">
        <f t="shared" si="20"/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5">
        <v>0</v>
      </c>
      <c r="L49" s="4">
        <v>0</v>
      </c>
      <c r="M49" s="6">
        <v>756</v>
      </c>
      <c r="N49" s="23">
        <f>M49*5300</f>
        <v>4006800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68840.800000000003</v>
      </c>
      <c r="V49" s="7">
        <f t="shared" si="21"/>
        <v>5300</v>
      </c>
    </row>
    <row r="50" spans="1:22" ht="21.95" customHeight="1" x14ac:dyDescent="0.25">
      <c r="A50" s="1" t="s">
        <v>1647</v>
      </c>
      <c r="B50" s="9" t="s">
        <v>111</v>
      </c>
      <c r="C50" s="3">
        <f t="shared" si="3"/>
        <v>4076591.56</v>
      </c>
      <c r="D50" s="4">
        <f t="shared" si="20"/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5">
        <v>0</v>
      </c>
      <c r="L50" s="4">
        <v>0</v>
      </c>
      <c r="M50" s="6">
        <v>756</v>
      </c>
      <c r="N50" s="23">
        <f>M50*5300</f>
        <v>4006800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69791.56</v>
      </c>
      <c r="V50" s="7">
        <f t="shared" si="21"/>
        <v>5300</v>
      </c>
    </row>
    <row r="51" spans="1:22" ht="21.95" customHeight="1" x14ac:dyDescent="0.25">
      <c r="A51" s="1" t="s">
        <v>1648</v>
      </c>
      <c r="B51" s="9" t="s">
        <v>112</v>
      </c>
      <c r="C51" s="3">
        <f t="shared" si="3"/>
        <v>3628425.44</v>
      </c>
      <c r="D51" s="4">
        <f t="shared" si="20"/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5">
        <v>0</v>
      </c>
      <c r="L51" s="4">
        <v>0</v>
      </c>
      <c r="M51" s="4">
        <v>671.9</v>
      </c>
      <c r="N51" s="23">
        <f>M51*5300</f>
        <v>3561070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67355.44</v>
      </c>
      <c r="V51" s="7">
        <f t="shared" si="21"/>
        <v>5300</v>
      </c>
    </row>
    <row r="52" spans="1:22" ht="45" customHeight="1" x14ac:dyDescent="0.25">
      <c r="A52" s="55" t="s">
        <v>1445</v>
      </c>
      <c r="B52" s="55"/>
      <c r="C52" s="3">
        <f>SUM(C53)</f>
        <v>2818731.24</v>
      </c>
      <c r="D52" s="3">
        <f t="shared" ref="D52:U52" si="22">SUM(D53)</f>
        <v>0</v>
      </c>
      <c r="E52" s="3">
        <f t="shared" si="22"/>
        <v>0</v>
      </c>
      <c r="F52" s="3">
        <f t="shared" si="22"/>
        <v>0</v>
      </c>
      <c r="G52" s="3">
        <f t="shared" si="22"/>
        <v>0</v>
      </c>
      <c r="H52" s="3">
        <f t="shared" si="22"/>
        <v>0</v>
      </c>
      <c r="I52" s="3">
        <f t="shared" si="22"/>
        <v>0</v>
      </c>
      <c r="J52" s="3">
        <f t="shared" si="22"/>
        <v>0</v>
      </c>
      <c r="K52" s="15">
        <f t="shared" si="22"/>
        <v>0</v>
      </c>
      <c r="L52" s="3">
        <f t="shared" si="22"/>
        <v>0</v>
      </c>
      <c r="M52" s="3">
        <f t="shared" si="22"/>
        <v>585.66</v>
      </c>
      <c r="N52" s="3">
        <f t="shared" si="22"/>
        <v>2818731.24</v>
      </c>
      <c r="O52" s="3">
        <f t="shared" si="22"/>
        <v>0</v>
      </c>
      <c r="P52" s="3">
        <f t="shared" si="22"/>
        <v>0</v>
      </c>
      <c r="Q52" s="3">
        <f t="shared" si="22"/>
        <v>0</v>
      </c>
      <c r="R52" s="3">
        <f t="shared" si="22"/>
        <v>0</v>
      </c>
      <c r="S52" s="3">
        <f t="shared" si="22"/>
        <v>0</v>
      </c>
      <c r="T52" s="3">
        <f t="shared" si="22"/>
        <v>0</v>
      </c>
      <c r="U52" s="3">
        <f t="shared" si="22"/>
        <v>0</v>
      </c>
      <c r="V52" s="21">
        <f>C52</f>
        <v>2818731.24</v>
      </c>
    </row>
    <row r="53" spans="1:22" ht="21.95" customHeight="1" x14ac:dyDescent="0.25">
      <c r="A53" s="24" t="s">
        <v>1649</v>
      </c>
      <c r="B53" s="9" t="s">
        <v>1446</v>
      </c>
      <c r="C53" s="3">
        <f t="shared" si="3"/>
        <v>2818731.24</v>
      </c>
      <c r="D53" s="4">
        <f>SUM(E53:J53)</f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12">
        <v>0</v>
      </c>
      <c r="L53" s="6">
        <v>0</v>
      </c>
      <c r="M53" s="6">
        <v>585.66</v>
      </c>
      <c r="N53" s="6">
        <v>2818731.24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7">
        <f>N53/M53</f>
        <v>4812.9140456920404</v>
      </c>
    </row>
    <row r="54" spans="1:22" ht="45" customHeight="1" x14ac:dyDescent="0.25">
      <c r="A54" s="55" t="s">
        <v>124</v>
      </c>
      <c r="B54" s="55"/>
      <c r="C54" s="3">
        <f>SUM(C55:C56)</f>
        <v>6303335.6400000006</v>
      </c>
      <c r="D54" s="3">
        <f t="shared" ref="D54:U54" si="23">SUM(D55:D56)</f>
        <v>0</v>
      </c>
      <c r="E54" s="3">
        <f t="shared" si="23"/>
        <v>0</v>
      </c>
      <c r="F54" s="3">
        <f t="shared" si="23"/>
        <v>0</v>
      </c>
      <c r="G54" s="3">
        <f t="shared" si="23"/>
        <v>0</v>
      </c>
      <c r="H54" s="3">
        <f t="shared" si="23"/>
        <v>0</v>
      </c>
      <c r="I54" s="3">
        <f t="shared" si="23"/>
        <v>0</v>
      </c>
      <c r="J54" s="3">
        <f t="shared" si="23"/>
        <v>0</v>
      </c>
      <c r="K54" s="15">
        <f t="shared" si="23"/>
        <v>0</v>
      </c>
      <c r="L54" s="3">
        <f t="shared" si="23"/>
        <v>0</v>
      </c>
      <c r="M54" s="3">
        <f t="shared" si="23"/>
        <v>1021.25</v>
      </c>
      <c r="N54" s="3">
        <f t="shared" si="23"/>
        <v>4404252.05</v>
      </c>
      <c r="O54" s="3">
        <f t="shared" si="23"/>
        <v>0</v>
      </c>
      <c r="P54" s="3">
        <f t="shared" si="23"/>
        <v>0</v>
      </c>
      <c r="Q54" s="3">
        <f t="shared" si="23"/>
        <v>600</v>
      </c>
      <c r="R54" s="3">
        <f t="shared" si="23"/>
        <v>1248132.32</v>
      </c>
      <c r="S54" s="3">
        <f t="shared" si="23"/>
        <v>0</v>
      </c>
      <c r="T54" s="3">
        <f t="shared" si="23"/>
        <v>0</v>
      </c>
      <c r="U54" s="3">
        <f t="shared" si="23"/>
        <v>650951.27</v>
      </c>
      <c r="V54" s="21">
        <f>C54+C395+C821</f>
        <v>13779185.640000001</v>
      </c>
    </row>
    <row r="55" spans="1:22" ht="21.95" customHeight="1" x14ac:dyDescent="0.25">
      <c r="A55" s="24" t="s">
        <v>1650</v>
      </c>
      <c r="B55" s="9" t="s">
        <v>1224</v>
      </c>
      <c r="C55" s="3">
        <f t="shared" si="3"/>
        <v>3111460.64</v>
      </c>
      <c r="D55" s="4">
        <f t="shared" ref="D55:D56" si="24">SUM(E55:J55)</f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2">
        <v>0</v>
      </c>
      <c r="L55" s="6">
        <v>0</v>
      </c>
      <c r="M55" s="6">
        <v>550</v>
      </c>
      <c r="N55" s="6">
        <v>1812377.05</v>
      </c>
      <c r="O55" s="6">
        <v>0</v>
      </c>
      <c r="P55" s="6">
        <v>0</v>
      </c>
      <c r="Q55" s="6">
        <v>600</v>
      </c>
      <c r="R55" s="6">
        <v>1248132.32</v>
      </c>
      <c r="S55" s="6">
        <v>0</v>
      </c>
      <c r="T55" s="6">
        <v>0</v>
      </c>
      <c r="U55" s="6">
        <v>50951.27</v>
      </c>
      <c r="V55" s="7">
        <f t="shared" ref="V55:V56" si="25">N55/M55</f>
        <v>3295.2310000000002</v>
      </c>
    </row>
    <row r="56" spans="1:22" ht="21.95" customHeight="1" x14ac:dyDescent="0.25">
      <c r="A56" s="24" t="s">
        <v>1651</v>
      </c>
      <c r="B56" s="2" t="s">
        <v>122</v>
      </c>
      <c r="C56" s="3">
        <f t="shared" si="3"/>
        <v>3191875</v>
      </c>
      <c r="D56" s="4">
        <f t="shared" si="24"/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12">
        <v>0</v>
      </c>
      <c r="L56" s="6">
        <v>0</v>
      </c>
      <c r="M56" s="6">
        <v>471.25</v>
      </c>
      <c r="N56" s="6">
        <f>M56*5500</f>
        <v>2591875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600000</v>
      </c>
      <c r="V56" s="7">
        <f t="shared" si="25"/>
        <v>5500</v>
      </c>
    </row>
    <row r="57" spans="1:22" ht="45" customHeight="1" x14ac:dyDescent="0.25">
      <c r="A57" s="55" t="s">
        <v>131</v>
      </c>
      <c r="B57" s="55"/>
      <c r="C57" s="3">
        <f>SUM(C58)</f>
        <v>43691.17</v>
      </c>
      <c r="D57" s="3">
        <f t="shared" ref="D57:U57" si="26">SUM(D58)</f>
        <v>0</v>
      </c>
      <c r="E57" s="3">
        <f t="shared" si="26"/>
        <v>0</v>
      </c>
      <c r="F57" s="3">
        <f t="shared" si="26"/>
        <v>0</v>
      </c>
      <c r="G57" s="3">
        <f t="shared" si="26"/>
        <v>0</v>
      </c>
      <c r="H57" s="3">
        <f t="shared" si="26"/>
        <v>0</v>
      </c>
      <c r="I57" s="3">
        <f t="shared" si="26"/>
        <v>0</v>
      </c>
      <c r="J57" s="3">
        <f t="shared" si="26"/>
        <v>0</v>
      </c>
      <c r="K57" s="15">
        <f t="shared" si="26"/>
        <v>0</v>
      </c>
      <c r="L57" s="3">
        <f t="shared" si="26"/>
        <v>0</v>
      </c>
      <c r="M57" s="3">
        <f t="shared" si="26"/>
        <v>0</v>
      </c>
      <c r="N57" s="3">
        <f t="shared" si="26"/>
        <v>0</v>
      </c>
      <c r="O57" s="3">
        <f t="shared" si="26"/>
        <v>0</v>
      </c>
      <c r="P57" s="3">
        <f t="shared" si="26"/>
        <v>0</v>
      </c>
      <c r="Q57" s="3">
        <f t="shared" si="26"/>
        <v>0</v>
      </c>
      <c r="R57" s="3">
        <f t="shared" si="26"/>
        <v>0</v>
      </c>
      <c r="S57" s="3">
        <f t="shared" si="26"/>
        <v>0</v>
      </c>
      <c r="T57" s="3">
        <f t="shared" si="26"/>
        <v>0</v>
      </c>
      <c r="U57" s="3">
        <f t="shared" si="26"/>
        <v>43691.17</v>
      </c>
      <c r="V57" s="21">
        <f>C57+C400</f>
        <v>7615991.1699999999</v>
      </c>
    </row>
    <row r="58" spans="1:22" ht="21.95" customHeight="1" x14ac:dyDescent="0.25">
      <c r="A58" s="1" t="s">
        <v>1652</v>
      </c>
      <c r="B58" s="9" t="s">
        <v>128</v>
      </c>
      <c r="C58" s="3">
        <f t="shared" si="3"/>
        <v>43691.17</v>
      </c>
      <c r="D58" s="4">
        <f>SUM(E58:J58)</f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5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6">
        <v>0</v>
      </c>
      <c r="S58" s="4">
        <v>0</v>
      </c>
      <c r="T58" s="4">
        <v>0</v>
      </c>
      <c r="U58" s="4">
        <v>43691.17</v>
      </c>
      <c r="V58" s="7" t="e">
        <f>N58/M58</f>
        <v>#DIV/0!</v>
      </c>
    </row>
    <row r="59" spans="1:22" ht="45" customHeight="1" x14ac:dyDescent="0.25">
      <c r="A59" s="55" t="s">
        <v>133</v>
      </c>
      <c r="B59" s="55"/>
      <c r="C59" s="3">
        <f>SUM(C60:C62)</f>
        <v>17448023.940000001</v>
      </c>
      <c r="D59" s="3">
        <f t="shared" ref="D59:U59" si="27">SUM(D60:D62)</f>
        <v>0</v>
      </c>
      <c r="E59" s="3">
        <f t="shared" si="27"/>
        <v>0</v>
      </c>
      <c r="F59" s="3">
        <f t="shared" si="27"/>
        <v>0</v>
      </c>
      <c r="G59" s="3">
        <f t="shared" si="27"/>
        <v>0</v>
      </c>
      <c r="H59" s="3">
        <f t="shared" si="27"/>
        <v>0</v>
      </c>
      <c r="I59" s="3">
        <f t="shared" si="27"/>
        <v>0</v>
      </c>
      <c r="J59" s="3">
        <f t="shared" si="27"/>
        <v>0</v>
      </c>
      <c r="K59" s="15">
        <f t="shared" si="27"/>
        <v>0</v>
      </c>
      <c r="L59" s="3">
        <f t="shared" si="27"/>
        <v>0</v>
      </c>
      <c r="M59" s="3">
        <f t="shared" si="27"/>
        <v>3370.6800000000003</v>
      </c>
      <c r="N59" s="3">
        <f t="shared" si="27"/>
        <v>10939928.98</v>
      </c>
      <c r="O59" s="3">
        <f t="shared" si="27"/>
        <v>0</v>
      </c>
      <c r="P59" s="3">
        <f t="shared" si="27"/>
        <v>0</v>
      </c>
      <c r="Q59" s="3">
        <f t="shared" si="27"/>
        <v>2934</v>
      </c>
      <c r="R59" s="3">
        <f t="shared" si="27"/>
        <v>6223562.8200000003</v>
      </c>
      <c r="S59" s="3">
        <f t="shared" si="27"/>
        <v>0</v>
      </c>
      <c r="T59" s="3">
        <f t="shared" si="27"/>
        <v>0</v>
      </c>
      <c r="U59" s="3">
        <f t="shared" si="27"/>
        <v>284532.14</v>
      </c>
      <c r="V59" s="21">
        <f>C59+C405</f>
        <v>21041873.940000001</v>
      </c>
    </row>
    <row r="60" spans="1:22" ht="21.95" customHeight="1" x14ac:dyDescent="0.25">
      <c r="A60" s="1" t="s">
        <v>1653</v>
      </c>
      <c r="B60" s="9" t="s">
        <v>134</v>
      </c>
      <c r="C60" s="3">
        <f t="shared" si="3"/>
        <v>3640602.32</v>
      </c>
      <c r="D60" s="4">
        <f t="shared" ref="D60:D62" si="28">SUM(E60:J60)</f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5">
        <v>0</v>
      </c>
      <c r="L60" s="4">
        <v>0</v>
      </c>
      <c r="M60" s="4">
        <v>1140.68</v>
      </c>
      <c r="N60" s="4">
        <v>3580928.98</v>
      </c>
      <c r="O60" s="4">
        <v>0</v>
      </c>
      <c r="P60" s="4">
        <v>0</v>
      </c>
      <c r="Q60" s="4">
        <v>0</v>
      </c>
      <c r="R60" s="6">
        <v>0</v>
      </c>
      <c r="S60" s="4">
        <v>0</v>
      </c>
      <c r="T60" s="4">
        <v>0</v>
      </c>
      <c r="U60" s="4">
        <v>59673.34</v>
      </c>
      <c r="V60" s="7">
        <f t="shared" ref="V60:V62" si="29">N60/M60</f>
        <v>3139.2932110670827</v>
      </c>
    </row>
    <row r="61" spans="1:22" ht="21.95" customHeight="1" x14ac:dyDescent="0.25">
      <c r="A61" s="1" t="s">
        <v>1654</v>
      </c>
      <c r="B61" s="9" t="s">
        <v>135</v>
      </c>
      <c r="C61" s="3">
        <f t="shared" si="3"/>
        <v>4053269.14</v>
      </c>
      <c r="D61" s="4">
        <f t="shared" si="28"/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5">
        <v>0</v>
      </c>
      <c r="L61" s="4">
        <v>0</v>
      </c>
      <c r="M61" s="4">
        <v>1210</v>
      </c>
      <c r="N61" s="4">
        <f>M61*3300</f>
        <v>3993000</v>
      </c>
      <c r="O61" s="4">
        <v>0</v>
      </c>
      <c r="P61" s="4">
        <v>0</v>
      </c>
      <c r="Q61" s="4">
        <v>0</v>
      </c>
      <c r="R61" s="6">
        <v>0</v>
      </c>
      <c r="S61" s="4">
        <v>0</v>
      </c>
      <c r="T61" s="4">
        <v>0</v>
      </c>
      <c r="U61" s="4">
        <v>60269.14</v>
      </c>
      <c r="V61" s="7">
        <f t="shared" si="29"/>
        <v>3300</v>
      </c>
    </row>
    <row r="62" spans="1:22" ht="21.95" customHeight="1" x14ac:dyDescent="0.25">
      <c r="A62" s="1" t="s">
        <v>1655</v>
      </c>
      <c r="B62" s="9" t="s">
        <v>136</v>
      </c>
      <c r="C62" s="3">
        <f t="shared" si="3"/>
        <v>9754152.4800000004</v>
      </c>
      <c r="D62" s="4">
        <f t="shared" si="28"/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5">
        <v>0</v>
      </c>
      <c r="L62" s="4">
        <v>0</v>
      </c>
      <c r="M62" s="4">
        <v>1020</v>
      </c>
      <c r="N62" s="4">
        <v>3366000</v>
      </c>
      <c r="O62" s="4">
        <v>0</v>
      </c>
      <c r="P62" s="4">
        <v>0</v>
      </c>
      <c r="Q62" s="4">
        <v>2934</v>
      </c>
      <c r="R62" s="6">
        <v>6223562.8200000003</v>
      </c>
      <c r="S62" s="4">
        <v>0</v>
      </c>
      <c r="T62" s="4">
        <v>0</v>
      </c>
      <c r="U62" s="4">
        <v>164589.66</v>
      </c>
      <c r="V62" s="7">
        <f t="shared" si="29"/>
        <v>3300</v>
      </c>
    </row>
    <row r="63" spans="1:22" ht="45" customHeight="1" x14ac:dyDescent="0.25">
      <c r="A63" s="55" t="s">
        <v>1207</v>
      </c>
      <c r="B63" s="55"/>
      <c r="C63" s="3">
        <f>SUM(C64)</f>
        <v>1199702.6400000001</v>
      </c>
      <c r="D63" s="3">
        <f t="shared" ref="D63:U63" si="30">SUM(D64)</f>
        <v>0</v>
      </c>
      <c r="E63" s="3">
        <f t="shared" si="30"/>
        <v>0</v>
      </c>
      <c r="F63" s="3">
        <f t="shared" si="30"/>
        <v>0</v>
      </c>
      <c r="G63" s="3">
        <f t="shared" si="30"/>
        <v>0</v>
      </c>
      <c r="H63" s="3">
        <f t="shared" si="30"/>
        <v>0</v>
      </c>
      <c r="I63" s="3">
        <f t="shared" si="30"/>
        <v>0</v>
      </c>
      <c r="J63" s="3">
        <f t="shared" si="30"/>
        <v>0</v>
      </c>
      <c r="K63" s="15">
        <f t="shared" si="30"/>
        <v>0</v>
      </c>
      <c r="L63" s="3">
        <f t="shared" si="30"/>
        <v>0</v>
      </c>
      <c r="M63" s="3">
        <f t="shared" si="30"/>
        <v>367.1</v>
      </c>
      <c r="N63" s="3">
        <f t="shared" si="30"/>
        <v>1172693.07</v>
      </c>
      <c r="O63" s="3">
        <f t="shared" si="30"/>
        <v>0</v>
      </c>
      <c r="P63" s="3">
        <f t="shared" si="30"/>
        <v>0</v>
      </c>
      <c r="Q63" s="3">
        <f t="shared" si="30"/>
        <v>0</v>
      </c>
      <c r="R63" s="3">
        <f t="shared" si="30"/>
        <v>0</v>
      </c>
      <c r="S63" s="3">
        <f t="shared" si="30"/>
        <v>0</v>
      </c>
      <c r="T63" s="3">
        <f t="shared" si="30"/>
        <v>0</v>
      </c>
      <c r="U63" s="3">
        <f t="shared" si="30"/>
        <v>27009.57</v>
      </c>
      <c r="V63" s="21">
        <f>C63</f>
        <v>1199702.6400000001</v>
      </c>
    </row>
    <row r="64" spans="1:22" ht="21.95" customHeight="1" x14ac:dyDescent="0.25">
      <c r="A64" s="1" t="s">
        <v>1656</v>
      </c>
      <c r="B64" s="9" t="s">
        <v>1208</v>
      </c>
      <c r="C64" s="3">
        <f t="shared" si="3"/>
        <v>1199702.6400000001</v>
      </c>
      <c r="D64" s="4">
        <f>SUM(E64:J64)</f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5">
        <v>0</v>
      </c>
      <c r="L64" s="4">
        <v>0</v>
      </c>
      <c r="M64" s="4">
        <v>367.1</v>
      </c>
      <c r="N64" s="4">
        <v>1172693.07</v>
      </c>
      <c r="O64" s="4">
        <v>0</v>
      </c>
      <c r="P64" s="4">
        <v>0</v>
      </c>
      <c r="Q64" s="4">
        <v>0</v>
      </c>
      <c r="R64" s="6">
        <v>0</v>
      </c>
      <c r="S64" s="4">
        <v>0</v>
      </c>
      <c r="T64" s="4">
        <v>0</v>
      </c>
      <c r="U64" s="4">
        <v>27009.57</v>
      </c>
      <c r="V64" s="7">
        <f>N64/M64</f>
        <v>3194.4785344592756</v>
      </c>
    </row>
    <row r="65" spans="1:22" ht="45" customHeight="1" x14ac:dyDescent="0.25">
      <c r="A65" s="58" t="s">
        <v>132</v>
      </c>
      <c r="B65" s="59"/>
      <c r="C65" s="3">
        <f>SUM(C66)</f>
        <v>2597765</v>
      </c>
      <c r="D65" s="3">
        <f t="shared" ref="D65:U65" si="31">SUM(D66)</f>
        <v>0</v>
      </c>
      <c r="E65" s="3">
        <f t="shared" si="31"/>
        <v>0</v>
      </c>
      <c r="F65" s="3">
        <f t="shared" si="31"/>
        <v>0</v>
      </c>
      <c r="G65" s="3">
        <f t="shared" si="31"/>
        <v>0</v>
      </c>
      <c r="H65" s="3">
        <f t="shared" si="31"/>
        <v>0</v>
      </c>
      <c r="I65" s="3">
        <f t="shared" si="31"/>
        <v>0</v>
      </c>
      <c r="J65" s="3">
        <f t="shared" si="31"/>
        <v>0</v>
      </c>
      <c r="K65" s="15">
        <f t="shared" si="31"/>
        <v>0</v>
      </c>
      <c r="L65" s="3">
        <f t="shared" si="31"/>
        <v>0</v>
      </c>
      <c r="M65" s="3">
        <f t="shared" si="31"/>
        <v>366.8</v>
      </c>
      <c r="N65" s="3">
        <f t="shared" si="31"/>
        <v>1150285</v>
      </c>
      <c r="O65" s="3">
        <f t="shared" si="31"/>
        <v>0</v>
      </c>
      <c r="P65" s="3">
        <f t="shared" si="31"/>
        <v>0</v>
      </c>
      <c r="Q65" s="3">
        <f t="shared" si="31"/>
        <v>496</v>
      </c>
      <c r="R65" s="3">
        <f t="shared" si="31"/>
        <v>1292080</v>
      </c>
      <c r="S65" s="3">
        <f t="shared" si="31"/>
        <v>155400</v>
      </c>
      <c r="T65" s="3">
        <f t="shared" si="31"/>
        <v>0</v>
      </c>
      <c r="U65" s="3">
        <f t="shared" si="31"/>
        <v>0</v>
      </c>
      <c r="V65" s="21" t="e">
        <f>C65+#REF!</f>
        <v>#REF!</v>
      </c>
    </row>
    <row r="66" spans="1:22" ht="21" customHeight="1" x14ac:dyDescent="0.25">
      <c r="A66" s="1" t="s">
        <v>1657</v>
      </c>
      <c r="B66" s="9" t="s">
        <v>1435</v>
      </c>
      <c r="C66" s="3">
        <f t="shared" si="3"/>
        <v>2597765</v>
      </c>
      <c r="D66" s="4">
        <f>SUM(E66:J66)</f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5">
        <v>0</v>
      </c>
      <c r="L66" s="4">
        <v>0</v>
      </c>
      <c r="M66" s="4">
        <v>366.8</v>
      </c>
      <c r="N66" s="4">
        <v>1150285</v>
      </c>
      <c r="O66" s="4">
        <v>0</v>
      </c>
      <c r="P66" s="4">
        <v>0</v>
      </c>
      <c r="Q66" s="4">
        <v>496</v>
      </c>
      <c r="R66" s="4">
        <v>1292080</v>
      </c>
      <c r="S66" s="4">
        <v>155400</v>
      </c>
      <c r="T66" s="4">
        <v>0</v>
      </c>
      <c r="U66" s="4">
        <v>0</v>
      </c>
      <c r="V66" s="7">
        <f>N66/M66</f>
        <v>3136.0005452562705</v>
      </c>
    </row>
    <row r="67" spans="1:22" ht="45" customHeight="1" x14ac:dyDescent="0.25">
      <c r="A67" s="55" t="s">
        <v>139</v>
      </c>
      <c r="B67" s="55"/>
      <c r="C67" s="3">
        <f>SUM(C68:C69)</f>
        <v>2205540.71</v>
      </c>
      <c r="D67" s="3">
        <f t="shared" ref="D67:U67" si="32">SUM(D68:D69)</f>
        <v>0</v>
      </c>
      <c r="E67" s="3">
        <f t="shared" si="32"/>
        <v>0</v>
      </c>
      <c r="F67" s="3">
        <f t="shared" si="32"/>
        <v>0</v>
      </c>
      <c r="G67" s="3">
        <f t="shared" si="32"/>
        <v>0</v>
      </c>
      <c r="H67" s="3">
        <f t="shared" si="32"/>
        <v>0</v>
      </c>
      <c r="I67" s="3">
        <f t="shared" si="32"/>
        <v>0</v>
      </c>
      <c r="J67" s="3">
        <f t="shared" si="32"/>
        <v>0</v>
      </c>
      <c r="K67" s="15">
        <f t="shared" si="32"/>
        <v>0</v>
      </c>
      <c r="L67" s="3">
        <f t="shared" si="32"/>
        <v>0</v>
      </c>
      <c r="M67" s="3">
        <f t="shared" si="32"/>
        <v>798.72</v>
      </c>
      <c r="N67" s="3">
        <f t="shared" si="32"/>
        <v>2156524.85</v>
      </c>
      <c r="O67" s="3">
        <f t="shared" si="32"/>
        <v>0</v>
      </c>
      <c r="P67" s="3">
        <f t="shared" si="32"/>
        <v>0</v>
      </c>
      <c r="Q67" s="3">
        <f t="shared" si="32"/>
        <v>0</v>
      </c>
      <c r="R67" s="3">
        <f t="shared" si="32"/>
        <v>0</v>
      </c>
      <c r="S67" s="3">
        <f t="shared" si="32"/>
        <v>0</v>
      </c>
      <c r="T67" s="3">
        <f t="shared" si="32"/>
        <v>0</v>
      </c>
      <c r="U67" s="3">
        <f t="shared" si="32"/>
        <v>49015.86</v>
      </c>
      <c r="V67" s="21">
        <f>C67+C409</f>
        <v>5722185.71</v>
      </c>
    </row>
    <row r="68" spans="1:22" ht="32.25" customHeight="1" x14ac:dyDescent="0.25">
      <c r="A68" s="25" t="s">
        <v>1658</v>
      </c>
      <c r="B68" s="9" t="s">
        <v>1436</v>
      </c>
      <c r="C68" s="3">
        <f t="shared" si="3"/>
        <v>1563527.48</v>
      </c>
      <c r="D68" s="4">
        <f t="shared" ref="D68:D69" si="33">SUM(E68:J68)</f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5">
        <v>0</v>
      </c>
      <c r="L68" s="4">
        <v>0</v>
      </c>
      <c r="M68" s="4">
        <v>424.18</v>
      </c>
      <c r="N68" s="6">
        <f>M68*3686</f>
        <v>1563527.48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7">
        <f t="shared" ref="V68:V69" si="34">N68/M68</f>
        <v>3686</v>
      </c>
    </row>
    <row r="69" spans="1:22" ht="20.100000000000001" customHeight="1" x14ac:dyDescent="0.25">
      <c r="A69" s="1" t="s">
        <v>1659</v>
      </c>
      <c r="B69" s="9" t="s">
        <v>141</v>
      </c>
      <c r="C69" s="3">
        <f t="shared" si="3"/>
        <v>642013.23</v>
      </c>
      <c r="D69" s="4">
        <f t="shared" si="33"/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5">
        <v>0</v>
      </c>
      <c r="L69" s="4">
        <v>0</v>
      </c>
      <c r="M69" s="4">
        <v>374.54</v>
      </c>
      <c r="N69" s="6">
        <v>592997.37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49015.86</v>
      </c>
      <c r="V69" s="7">
        <f t="shared" si="34"/>
        <v>1583.2684626475143</v>
      </c>
    </row>
    <row r="70" spans="1:22" ht="45" customHeight="1" x14ac:dyDescent="0.25">
      <c r="A70" s="55" t="s">
        <v>1440</v>
      </c>
      <c r="B70" s="55"/>
      <c r="C70" s="3">
        <f>SUM(C71)</f>
        <v>1027363.6</v>
      </c>
      <c r="D70" s="3">
        <f t="shared" ref="D70:U70" si="35">SUM(D71)</f>
        <v>0</v>
      </c>
      <c r="E70" s="3">
        <f t="shared" si="35"/>
        <v>0</v>
      </c>
      <c r="F70" s="3">
        <f t="shared" si="35"/>
        <v>0</v>
      </c>
      <c r="G70" s="3">
        <f t="shared" si="35"/>
        <v>0</v>
      </c>
      <c r="H70" s="3">
        <f t="shared" si="35"/>
        <v>0</v>
      </c>
      <c r="I70" s="3">
        <f t="shared" si="35"/>
        <v>0</v>
      </c>
      <c r="J70" s="3">
        <f t="shared" si="35"/>
        <v>0</v>
      </c>
      <c r="K70" s="15">
        <f t="shared" si="35"/>
        <v>0</v>
      </c>
      <c r="L70" s="3">
        <f t="shared" si="35"/>
        <v>0</v>
      </c>
      <c r="M70" s="3">
        <f t="shared" si="35"/>
        <v>327.60000000000002</v>
      </c>
      <c r="N70" s="3">
        <f t="shared" si="35"/>
        <v>1027363.6</v>
      </c>
      <c r="O70" s="3">
        <f t="shared" si="35"/>
        <v>0</v>
      </c>
      <c r="P70" s="3">
        <f t="shared" si="35"/>
        <v>0</v>
      </c>
      <c r="Q70" s="3">
        <f t="shared" si="35"/>
        <v>0</v>
      </c>
      <c r="R70" s="3">
        <f t="shared" si="35"/>
        <v>0</v>
      </c>
      <c r="S70" s="3">
        <f t="shared" si="35"/>
        <v>0</v>
      </c>
      <c r="T70" s="3">
        <f t="shared" si="35"/>
        <v>0</v>
      </c>
      <c r="U70" s="3">
        <f t="shared" si="35"/>
        <v>0</v>
      </c>
      <c r="V70" s="21">
        <f>C70</f>
        <v>1027363.6</v>
      </c>
    </row>
    <row r="71" spans="1:22" ht="21.75" customHeight="1" x14ac:dyDescent="0.25">
      <c r="A71" s="1" t="s">
        <v>1660</v>
      </c>
      <c r="B71" s="9" t="s">
        <v>1441</v>
      </c>
      <c r="C71" s="3">
        <f t="shared" si="3"/>
        <v>1027363.6</v>
      </c>
      <c r="D71" s="4">
        <f>SUM(E71:J71)</f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5">
        <v>0</v>
      </c>
      <c r="L71" s="4">
        <v>0</v>
      </c>
      <c r="M71" s="4">
        <v>327.60000000000002</v>
      </c>
      <c r="N71" s="6">
        <v>1027363.6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7">
        <f>N71/M71</f>
        <v>3136.0305250305246</v>
      </c>
    </row>
    <row r="72" spans="1:22" ht="45" customHeight="1" x14ac:dyDescent="0.25">
      <c r="A72" s="55" t="s">
        <v>145</v>
      </c>
      <c r="B72" s="55"/>
      <c r="C72" s="3">
        <f>SUM(C73)</f>
        <v>4638499.9000000004</v>
      </c>
      <c r="D72" s="3">
        <f t="shared" ref="D72:U72" si="36">SUM(D73)</f>
        <v>1066990.6299999999</v>
      </c>
      <c r="E72" s="3">
        <f t="shared" si="36"/>
        <v>301560</v>
      </c>
      <c r="F72" s="3">
        <f t="shared" si="36"/>
        <v>579500.93999999994</v>
      </c>
      <c r="G72" s="3">
        <f t="shared" si="36"/>
        <v>111741.49</v>
      </c>
      <c r="H72" s="3">
        <f t="shared" si="36"/>
        <v>0</v>
      </c>
      <c r="I72" s="3">
        <f t="shared" si="36"/>
        <v>74188.2</v>
      </c>
      <c r="J72" s="3">
        <f t="shared" si="36"/>
        <v>0</v>
      </c>
      <c r="K72" s="15">
        <f t="shared" si="36"/>
        <v>0</v>
      </c>
      <c r="L72" s="3">
        <f t="shared" si="36"/>
        <v>0</v>
      </c>
      <c r="M72" s="3">
        <f t="shared" si="36"/>
        <v>684</v>
      </c>
      <c r="N72" s="3">
        <f t="shared" si="36"/>
        <v>3414950.45</v>
      </c>
      <c r="O72" s="3">
        <f t="shared" si="36"/>
        <v>0</v>
      </c>
      <c r="P72" s="3">
        <f t="shared" si="36"/>
        <v>0</v>
      </c>
      <c r="Q72" s="3">
        <f t="shared" si="36"/>
        <v>0</v>
      </c>
      <c r="R72" s="3">
        <f t="shared" si="36"/>
        <v>0</v>
      </c>
      <c r="S72" s="3">
        <f t="shared" si="36"/>
        <v>0</v>
      </c>
      <c r="T72" s="3">
        <f t="shared" si="36"/>
        <v>0</v>
      </c>
      <c r="U72" s="3">
        <f t="shared" si="36"/>
        <v>156558.82</v>
      </c>
      <c r="V72" s="21">
        <f>C72</f>
        <v>4638499.9000000004</v>
      </c>
    </row>
    <row r="73" spans="1:22" ht="21.95" customHeight="1" x14ac:dyDescent="0.25">
      <c r="A73" s="1" t="s">
        <v>1661</v>
      </c>
      <c r="B73" s="9" t="s">
        <v>1223</v>
      </c>
      <c r="C73" s="3">
        <f t="shared" ref="C73:C136" si="37">D73+L73+N73+P73+R73+S73+T73+U73</f>
        <v>4638499.9000000004</v>
      </c>
      <c r="D73" s="4">
        <f>SUM(E73:J73)</f>
        <v>1066990.6299999999</v>
      </c>
      <c r="E73" s="4">
        <f>350*861.6</f>
        <v>301560</v>
      </c>
      <c r="F73" s="4">
        <v>579500.93999999994</v>
      </c>
      <c r="G73" s="4">
        <v>111741.49</v>
      </c>
      <c r="H73" s="4">
        <f>500*0</f>
        <v>0</v>
      </c>
      <c r="I73" s="4">
        <v>74188.2</v>
      </c>
      <c r="J73" s="4">
        <f>350*0</f>
        <v>0</v>
      </c>
      <c r="K73" s="5">
        <v>0</v>
      </c>
      <c r="L73" s="4">
        <v>0</v>
      </c>
      <c r="M73" s="4">
        <v>684</v>
      </c>
      <c r="N73" s="4">
        <v>3414950.45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156558.82</v>
      </c>
      <c r="V73" s="7">
        <f>N73/M73</f>
        <v>4992.6176169590644</v>
      </c>
    </row>
    <row r="74" spans="1:22" ht="45" customHeight="1" x14ac:dyDescent="0.25">
      <c r="A74" s="55" t="s">
        <v>148</v>
      </c>
      <c r="B74" s="55"/>
      <c r="C74" s="3">
        <f>SUM(C75:C76)</f>
        <v>4603498.0599999996</v>
      </c>
      <c r="D74" s="3">
        <f t="shared" ref="D74:U74" si="38">SUM(D75:D76)</f>
        <v>0</v>
      </c>
      <c r="E74" s="3">
        <f t="shared" si="38"/>
        <v>0</v>
      </c>
      <c r="F74" s="3">
        <f t="shared" si="38"/>
        <v>0</v>
      </c>
      <c r="G74" s="3">
        <f t="shared" si="38"/>
        <v>0</v>
      </c>
      <c r="H74" s="3">
        <f t="shared" si="38"/>
        <v>0</v>
      </c>
      <c r="I74" s="3">
        <f t="shared" si="38"/>
        <v>0</v>
      </c>
      <c r="J74" s="3">
        <f t="shared" si="38"/>
        <v>0</v>
      </c>
      <c r="K74" s="15">
        <f t="shared" si="38"/>
        <v>0</v>
      </c>
      <c r="L74" s="3">
        <f t="shared" si="38"/>
        <v>0</v>
      </c>
      <c r="M74" s="3">
        <f t="shared" si="38"/>
        <v>1228.1500000000001</v>
      </c>
      <c r="N74" s="3">
        <f t="shared" si="38"/>
        <v>4458689.3599999994</v>
      </c>
      <c r="O74" s="3">
        <f t="shared" si="38"/>
        <v>0</v>
      </c>
      <c r="P74" s="3">
        <f t="shared" si="38"/>
        <v>0</v>
      </c>
      <c r="Q74" s="3">
        <f t="shared" si="38"/>
        <v>0</v>
      </c>
      <c r="R74" s="3">
        <f t="shared" si="38"/>
        <v>0</v>
      </c>
      <c r="S74" s="3">
        <f t="shared" si="38"/>
        <v>0</v>
      </c>
      <c r="T74" s="3">
        <f t="shared" si="38"/>
        <v>0</v>
      </c>
      <c r="U74" s="3">
        <f t="shared" si="38"/>
        <v>144808.70000000001</v>
      </c>
      <c r="V74" s="21">
        <f>C74+C415+C833</f>
        <v>33015218.059999999</v>
      </c>
    </row>
    <row r="75" spans="1:22" ht="21.95" customHeight="1" x14ac:dyDescent="0.25">
      <c r="A75" s="1" t="s">
        <v>1662</v>
      </c>
      <c r="B75" s="9" t="s">
        <v>153</v>
      </c>
      <c r="C75" s="3">
        <f t="shared" si="37"/>
        <v>3593361.92</v>
      </c>
      <c r="D75" s="4">
        <f t="shared" ref="D75:D76" si="39">SUM(E75:J75)</f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5">
        <v>0</v>
      </c>
      <c r="L75" s="4">
        <v>0</v>
      </c>
      <c r="M75" s="4">
        <v>833.65</v>
      </c>
      <c r="N75" s="4">
        <v>3472004.82</v>
      </c>
      <c r="O75" s="4">
        <v>0</v>
      </c>
      <c r="P75" s="4">
        <v>0</v>
      </c>
      <c r="Q75" s="4">
        <v>0</v>
      </c>
      <c r="R75" s="6">
        <v>0</v>
      </c>
      <c r="S75" s="4">
        <v>0</v>
      </c>
      <c r="T75" s="4">
        <v>0</v>
      </c>
      <c r="U75" s="4">
        <v>121357.1</v>
      </c>
      <c r="V75" s="7">
        <f t="shared" ref="V75:V76" si="40">N75/M75</f>
        <v>4164.8231512025432</v>
      </c>
    </row>
    <row r="76" spans="1:22" ht="21.95" customHeight="1" x14ac:dyDescent="0.25">
      <c r="A76" s="1" t="s">
        <v>1663</v>
      </c>
      <c r="B76" s="9" t="s">
        <v>157</v>
      </c>
      <c r="C76" s="3">
        <f t="shared" si="37"/>
        <v>1010136.14</v>
      </c>
      <c r="D76" s="4">
        <f t="shared" si="39"/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5">
        <v>0</v>
      </c>
      <c r="L76" s="4">
        <v>0</v>
      </c>
      <c r="M76" s="4">
        <v>394.5</v>
      </c>
      <c r="N76" s="4">
        <v>986684.54</v>
      </c>
      <c r="O76" s="4">
        <v>0</v>
      </c>
      <c r="P76" s="4">
        <v>0</v>
      </c>
      <c r="Q76" s="4">
        <v>0</v>
      </c>
      <c r="R76" s="6">
        <v>0</v>
      </c>
      <c r="S76" s="4">
        <v>0</v>
      </c>
      <c r="T76" s="4">
        <v>0</v>
      </c>
      <c r="U76" s="4">
        <v>23451.599999999999</v>
      </c>
      <c r="V76" s="7">
        <f t="shared" si="40"/>
        <v>2501.1014955640053</v>
      </c>
    </row>
    <row r="77" spans="1:22" ht="45" customHeight="1" x14ac:dyDescent="0.25">
      <c r="A77" s="55" t="s">
        <v>1603</v>
      </c>
      <c r="B77" s="55"/>
      <c r="C77" s="3">
        <f>SUM(C78)</f>
        <v>1038347.45</v>
      </c>
      <c r="D77" s="3">
        <f t="shared" ref="D77:U77" si="41">SUM(D78)</f>
        <v>0</v>
      </c>
      <c r="E77" s="3">
        <f t="shared" si="41"/>
        <v>0</v>
      </c>
      <c r="F77" s="3">
        <f t="shared" si="41"/>
        <v>0</v>
      </c>
      <c r="G77" s="3">
        <f t="shared" si="41"/>
        <v>0</v>
      </c>
      <c r="H77" s="3">
        <f t="shared" si="41"/>
        <v>0</v>
      </c>
      <c r="I77" s="3">
        <f t="shared" si="41"/>
        <v>0</v>
      </c>
      <c r="J77" s="3">
        <f t="shared" si="41"/>
        <v>0</v>
      </c>
      <c r="K77" s="15">
        <f t="shared" si="41"/>
        <v>0</v>
      </c>
      <c r="L77" s="3">
        <f t="shared" si="41"/>
        <v>0</v>
      </c>
      <c r="M77" s="3">
        <f t="shared" si="41"/>
        <v>297</v>
      </c>
      <c r="N77" s="3">
        <f t="shared" si="41"/>
        <v>989234.72</v>
      </c>
      <c r="O77" s="3">
        <f t="shared" si="41"/>
        <v>0</v>
      </c>
      <c r="P77" s="3">
        <f t="shared" si="41"/>
        <v>0</v>
      </c>
      <c r="Q77" s="3">
        <f t="shared" si="41"/>
        <v>0</v>
      </c>
      <c r="R77" s="3">
        <f t="shared" si="41"/>
        <v>0</v>
      </c>
      <c r="S77" s="3">
        <f t="shared" si="41"/>
        <v>0</v>
      </c>
      <c r="T77" s="3">
        <f t="shared" si="41"/>
        <v>0</v>
      </c>
      <c r="U77" s="3">
        <f t="shared" si="41"/>
        <v>49112.73</v>
      </c>
      <c r="V77" s="21">
        <f>C77+C422+C838</f>
        <v>3668887.45</v>
      </c>
    </row>
    <row r="78" spans="1:22" ht="21.95" customHeight="1" x14ac:dyDescent="0.25">
      <c r="A78" s="1" t="s">
        <v>1664</v>
      </c>
      <c r="B78" s="9" t="s">
        <v>158</v>
      </c>
      <c r="C78" s="3">
        <f t="shared" si="37"/>
        <v>1038347.45</v>
      </c>
      <c r="D78" s="4">
        <f>SUM(E78:J78)</f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5">
        <v>0</v>
      </c>
      <c r="L78" s="4">
        <v>0</v>
      </c>
      <c r="M78" s="4">
        <v>297</v>
      </c>
      <c r="N78" s="4">
        <v>989234.72</v>
      </c>
      <c r="O78" s="4">
        <v>0</v>
      </c>
      <c r="P78" s="4">
        <v>0</v>
      </c>
      <c r="Q78" s="4">
        <v>0</v>
      </c>
      <c r="R78" s="6">
        <v>0</v>
      </c>
      <c r="S78" s="4">
        <v>0</v>
      </c>
      <c r="T78" s="4">
        <v>0</v>
      </c>
      <c r="U78" s="4">
        <v>49112.73</v>
      </c>
      <c r="V78" s="7">
        <f>N78/M78</f>
        <v>3330.756632996633</v>
      </c>
    </row>
    <row r="79" spans="1:22" ht="45" customHeight="1" x14ac:dyDescent="0.25">
      <c r="A79" s="55" t="s">
        <v>161</v>
      </c>
      <c r="B79" s="55"/>
      <c r="C79" s="3">
        <f>SUM(C80)</f>
        <v>2269053.58</v>
      </c>
      <c r="D79" s="3">
        <f t="shared" ref="D79:U79" si="42">SUM(D80)</f>
        <v>0</v>
      </c>
      <c r="E79" s="3">
        <f t="shared" si="42"/>
        <v>0</v>
      </c>
      <c r="F79" s="3">
        <f t="shared" si="42"/>
        <v>0</v>
      </c>
      <c r="G79" s="3">
        <f t="shared" si="42"/>
        <v>0</v>
      </c>
      <c r="H79" s="3">
        <f t="shared" si="42"/>
        <v>0</v>
      </c>
      <c r="I79" s="3">
        <f t="shared" si="42"/>
        <v>0</v>
      </c>
      <c r="J79" s="3">
        <f t="shared" si="42"/>
        <v>0</v>
      </c>
      <c r="K79" s="15">
        <f t="shared" si="42"/>
        <v>0</v>
      </c>
      <c r="L79" s="3">
        <f t="shared" si="42"/>
        <v>0</v>
      </c>
      <c r="M79" s="3">
        <f t="shared" si="42"/>
        <v>710</v>
      </c>
      <c r="N79" s="3">
        <f t="shared" si="42"/>
        <v>2234087.79</v>
      </c>
      <c r="O79" s="3">
        <f t="shared" si="42"/>
        <v>0</v>
      </c>
      <c r="P79" s="3">
        <f t="shared" si="42"/>
        <v>0</v>
      </c>
      <c r="Q79" s="3">
        <f t="shared" si="42"/>
        <v>0</v>
      </c>
      <c r="R79" s="3">
        <f t="shared" si="42"/>
        <v>0</v>
      </c>
      <c r="S79" s="3">
        <f t="shared" si="42"/>
        <v>0</v>
      </c>
      <c r="T79" s="3">
        <f t="shared" si="42"/>
        <v>0</v>
      </c>
      <c r="U79" s="3">
        <f t="shared" si="42"/>
        <v>34965.79</v>
      </c>
      <c r="V79" s="21">
        <f>C79</f>
        <v>2269053.58</v>
      </c>
    </row>
    <row r="80" spans="1:22" ht="21.95" customHeight="1" x14ac:dyDescent="0.25">
      <c r="A80" s="1" t="s">
        <v>1665</v>
      </c>
      <c r="B80" s="9" t="s">
        <v>162</v>
      </c>
      <c r="C80" s="3">
        <f t="shared" si="37"/>
        <v>2269053.58</v>
      </c>
      <c r="D80" s="4">
        <f>SUM(E80:J80)</f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5">
        <v>0</v>
      </c>
      <c r="L80" s="4">
        <v>0</v>
      </c>
      <c r="M80" s="4">
        <v>710</v>
      </c>
      <c r="N80" s="4">
        <v>2234087.79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34965.79</v>
      </c>
      <c r="V80" s="7">
        <f>N80/M80</f>
        <v>3146.6025211267606</v>
      </c>
    </row>
    <row r="81" spans="1:22" ht="45" customHeight="1" x14ac:dyDescent="0.25">
      <c r="A81" s="55" t="s">
        <v>163</v>
      </c>
      <c r="B81" s="55"/>
      <c r="C81" s="3">
        <f>SUM(C83:C100)</f>
        <v>117552170.97999999</v>
      </c>
      <c r="D81" s="3">
        <f t="shared" ref="D81:U81" si="43">SUM(D83:D100)</f>
        <v>28496214.800000001</v>
      </c>
      <c r="E81" s="3">
        <f t="shared" si="43"/>
        <v>5188435.8899999997</v>
      </c>
      <c r="F81" s="3">
        <f t="shared" si="43"/>
        <v>11979214.030000001</v>
      </c>
      <c r="G81" s="3">
        <f t="shared" si="43"/>
        <v>2839086.7399999998</v>
      </c>
      <c r="H81" s="3">
        <f t="shared" si="43"/>
        <v>4815888.5600000005</v>
      </c>
      <c r="I81" s="3">
        <f t="shared" si="43"/>
        <v>3673589.58</v>
      </c>
      <c r="J81" s="3">
        <f t="shared" si="43"/>
        <v>0</v>
      </c>
      <c r="K81" s="15">
        <f t="shared" si="43"/>
        <v>0</v>
      </c>
      <c r="L81" s="3">
        <f t="shared" si="43"/>
        <v>0</v>
      </c>
      <c r="M81" s="3">
        <f t="shared" si="43"/>
        <v>12141.27</v>
      </c>
      <c r="N81" s="3">
        <f t="shared" si="43"/>
        <v>43241503.239999995</v>
      </c>
      <c r="O81" s="3">
        <f t="shared" si="43"/>
        <v>0</v>
      </c>
      <c r="P81" s="3">
        <f t="shared" si="43"/>
        <v>0</v>
      </c>
      <c r="Q81" s="3">
        <f t="shared" si="43"/>
        <v>17119.579999999998</v>
      </c>
      <c r="R81" s="3">
        <f t="shared" si="43"/>
        <v>37680838.880000003</v>
      </c>
      <c r="S81" s="3">
        <f t="shared" si="43"/>
        <v>5714519.1100000003</v>
      </c>
      <c r="T81" s="3">
        <f t="shared" si="43"/>
        <v>0</v>
      </c>
      <c r="U81" s="3">
        <f t="shared" si="43"/>
        <v>2419094.9499999997</v>
      </c>
      <c r="V81" s="21">
        <f>C81+C424+C840</f>
        <v>329879918.62</v>
      </c>
    </row>
    <row r="82" spans="1:22" ht="21.95" customHeight="1" x14ac:dyDescent="0.25">
      <c r="A82" s="1" t="s">
        <v>1666</v>
      </c>
      <c r="B82" s="26" t="s">
        <v>165</v>
      </c>
      <c r="C82" s="3">
        <f>D82+L82+N82+P82+R82+S82+T82+U82</f>
        <v>15306941.550000001</v>
      </c>
      <c r="D82" s="4">
        <f>SUM(E82:J82)</f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5">
        <v>0</v>
      </c>
      <c r="L82" s="4">
        <v>0</v>
      </c>
      <c r="M82" s="4">
        <v>1739.49</v>
      </c>
      <c r="N82" s="4">
        <v>4959902.4000000004</v>
      </c>
      <c r="O82" s="4">
        <v>0</v>
      </c>
      <c r="P82" s="4">
        <v>0</v>
      </c>
      <c r="Q82" s="6">
        <v>3485</v>
      </c>
      <c r="R82" s="4">
        <v>10155964.800000001</v>
      </c>
      <c r="S82" s="4">
        <v>0</v>
      </c>
      <c r="T82" s="4">
        <v>0</v>
      </c>
      <c r="U82" s="4">
        <v>191074.35</v>
      </c>
      <c r="V82" s="7">
        <f>N82/M82</f>
        <v>2851.3543624855565</v>
      </c>
    </row>
    <row r="83" spans="1:22" ht="21.95" customHeight="1" x14ac:dyDescent="0.25">
      <c r="A83" s="1" t="s">
        <v>1667</v>
      </c>
      <c r="B83" s="9" t="s">
        <v>1429</v>
      </c>
      <c r="C83" s="3">
        <f t="shared" si="37"/>
        <v>3609210</v>
      </c>
      <c r="D83" s="4">
        <f t="shared" ref="D83:D100" si="44">SUM(E83:J83)</f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5">
        <v>0</v>
      </c>
      <c r="L83" s="4">
        <v>0</v>
      </c>
      <c r="M83" s="6">
        <v>1093.7</v>
      </c>
      <c r="N83" s="6">
        <v>3609210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7">
        <f t="shared" ref="V83:V100" si="45">N83/M83</f>
        <v>3300</v>
      </c>
    </row>
    <row r="84" spans="1:22" ht="21.95" customHeight="1" x14ac:dyDescent="0.25">
      <c r="A84" s="1" t="s">
        <v>1668</v>
      </c>
      <c r="B84" s="26" t="s">
        <v>166</v>
      </c>
      <c r="C84" s="3">
        <f t="shared" si="37"/>
        <v>16536342.01</v>
      </c>
      <c r="D84" s="4">
        <f t="shared" si="44"/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5">
        <v>0</v>
      </c>
      <c r="L84" s="4">
        <v>0</v>
      </c>
      <c r="M84" s="4">
        <v>1338.87</v>
      </c>
      <c r="N84" s="4">
        <v>3764455.14</v>
      </c>
      <c r="O84" s="4">
        <v>0</v>
      </c>
      <c r="P84" s="4">
        <v>0</v>
      </c>
      <c r="Q84" s="6">
        <v>6041.48</v>
      </c>
      <c r="R84" s="4">
        <v>12572886.859999999</v>
      </c>
      <c r="S84" s="4">
        <v>0</v>
      </c>
      <c r="T84" s="4">
        <v>0</v>
      </c>
      <c r="U84" s="4">
        <v>199000.01</v>
      </c>
      <c r="V84" s="7">
        <f t="shared" si="45"/>
        <v>2811.6659122991782</v>
      </c>
    </row>
    <row r="85" spans="1:22" ht="21.95" customHeight="1" x14ac:dyDescent="0.25">
      <c r="A85" s="1" t="s">
        <v>1669</v>
      </c>
      <c r="B85" s="26" t="s">
        <v>169</v>
      </c>
      <c r="C85" s="3">
        <f>D85+L85+N85+P85+R85+S85+T85+U85</f>
        <v>12696722.070000002</v>
      </c>
      <c r="D85" s="4">
        <f>SUM(E85:J85)</f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5">
        <v>0</v>
      </c>
      <c r="L85" s="4">
        <v>0</v>
      </c>
      <c r="M85" s="4">
        <v>1512.8</v>
      </c>
      <c r="N85" s="4">
        <v>4992225.04</v>
      </c>
      <c r="O85" s="4">
        <v>0</v>
      </c>
      <c r="P85" s="4">
        <v>0</v>
      </c>
      <c r="Q85" s="6">
        <v>3763.5</v>
      </c>
      <c r="R85" s="4">
        <v>7518300.4000000004</v>
      </c>
      <c r="S85" s="4">
        <v>0</v>
      </c>
      <c r="T85" s="4">
        <v>0</v>
      </c>
      <c r="U85" s="4">
        <v>186196.63</v>
      </c>
      <c r="V85" s="7">
        <f>N85/M85</f>
        <v>3299.9901110523533</v>
      </c>
    </row>
    <row r="86" spans="1:22" ht="21.95" customHeight="1" x14ac:dyDescent="0.25">
      <c r="A86" s="1" t="s">
        <v>1670</v>
      </c>
      <c r="B86" s="26" t="s">
        <v>170</v>
      </c>
      <c r="C86" s="3">
        <f>D86+L86+N86+P86+R86+S86+T86+U86</f>
        <v>15553270.66</v>
      </c>
      <c r="D86" s="4">
        <f>SUM(E86:J86)</f>
        <v>10651150.620000001</v>
      </c>
      <c r="E86" s="4">
        <v>2086057.91</v>
      </c>
      <c r="F86" s="4">
        <v>5166607.25</v>
      </c>
      <c r="G86" s="4">
        <v>705614.98</v>
      </c>
      <c r="H86" s="4">
        <v>1961688.56</v>
      </c>
      <c r="I86" s="4">
        <v>731181.92</v>
      </c>
      <c r="J86" s="4">
        <f t="shared" ref="J86" si="46">350*0</f>
        <v>0</v>
      </c>
      <c r="K86" s="5">
        <v>0</v>
      </c>
      <c r="L86" s="4">
        <v>0</v>
      </c>
      <c r="M86" s="4">
        <v>1648.7</v>
      </c>
      <c r="N86" s="4">
        <v>4704120.04</v>
      </c>
      <c r="O86" s="4">
        <v>0</v>
      </c>
      <c r="P86" s="4">
        <v>0</v>
      </c>
      <c r="Q86" s="6">
        <v>0</v>
      </c>
      <c r="R86" s="4">
        <v>0</v>
      </c>
      <c r="S86" s="4">
        <v>0</v>
      </c>
      <c r="T86" s="4">
        <v>0</v>
      </c>
      <c r="U86" s="4">
        <v>198000</v>
      </c>
      <c r="V86" s="7">
        <f>N86/M86</f>
        <v>2853.2298416934555</v>
      </c>
    </row>
    <row r="87" spans="1:22" ht="21.95" customHeight="1" x14ac:dyDescent="0.25">
      <c r="A87" s="1" t="s">
        <v>1671</v>
      </c>
      <c r="B87" s="26" t="s">
        <v>167</v>
      </c>
      <c r="C87" s="3">
        <f t="shared" si="37"/>
        <v>3384995.6</v>
      </c>
      <c r="D87" s="4">
        <f t="shared" si="44"/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5">
        <v>0</v>
      </c>
      <c r="L87" s="4">
        <v>0</v>
      </c>
      <c r="M87" s="4">
        <v>1032.0999999999999</v>
      </c>
      <c r="N87" s="4">
        <v>3289346.4</v>
      </c>
      <c r="O87" s="4">
        <v>0</v>
      </c>
      <c r="P87" s="4">
        <v>0</v>
      </c>
      <c r="Q87" s="6">
        <v>0</v>
      </c>
      <c r="R87" s="4">
        <v>0</v>
      </c>
      <c r="S87" s="4">
        <v>0</v>
      </c>
      <c r="T87" s="4">
        <v>0</v>
      </c>
      <c r="U87" s="4">
        <v>95649.2</v>
      </c>
      <c r="V87" s="7">
        <f t="shared" si="45"/>
        <v>3187.0423408584443</v>
      </c>
    </row>
    <row r="88" spans="1:22" ht="21.95" customHeight="1" x14ac:dyDescent="0.25">
      <c r="A88" s="1" t="s">
        <v>1672</v>
      </c>
      <c r="B88" s="26" t="s">
        <v>168</v>
      </c>
      <c r="C88" s="3">
        <f t="shared" si="37"/>
        <v>13614740</v>
      </c>
      <c r="D88" s="4">
        <f t="shared" si="44"/>
        <v>13414740</v>
      </c>
      <c r="E88" s="4">
        <f>350*5708.4</f>
        <v>1997939.9999999998</v>
      </c>
      <c r="F88" s="4">
        <f>800*5708.4</f>
        <v>4566720</v>
      </c>
      <c r="G88" s="4">
        <f>300*5708.4</f>
        <v>1712520</v>
      </c>
      <c r="H88" s="4">
        <f>500*5708.4</f>
        <v>2854200</v>
      </c>
      <c r="I88" s="4">
        <f>400*5708.4</f>
        <v>2283360</v>
      </c>
      <c r="J88" s="4">
        <f t="shared" ref="J88" si="47">350*0</f>
        <v>0</v>
      </c>
      <c r="K88" s="5">
        <v>0</v>
      </c>
      <c r="L88" s="4">
        <v>0</v>
      </c>
      <c r="M88" s="4">
        <v>0</v>
      </c>
      <c r="N88" s="4">
        <f t="shared" ref="N88" si="48">M88*3300</f>
        <v>0</v>
      </c>
      <c r="O88" s="4">
        <v>0</v>
      </c>
      <c r="P88" s="4">
        <v>0</v>
      </c>
      <c r="Q88" s="6">
        <v>0</v>
      </c>
      <c r="R88" s="4">
        <f>Q88*2605</f>
        <v>0</v>
      </c>
      <c r="S88" s="4">
        <v>0</v>
      </c>
      <c r="T88" s="4">
        <v>0</v>
      </c>
      <c r="U88" s="4">
        <v>200000</v>
      </c>
      <c r="V88" s="7" t="e">
        <f t="shared" si="45"/>
        <v>#DIV/0!</v>
      </c>
    </row>
    <row r="89" spans="1:22" ht="21.95" customHeight="1" x14ac:dyDescent="0.25">
      <c r="A89" s="1" t="s">
        <v>1673</v>
      </c>
      <c r="B89" s="9" t="s">
        <v>1444</v>
      </c>
      <c r="C89" s="3">
        <f t="shared" si="37"/>
        <v>20043863.609999999</v>
      </c>
      <c r="D89" s="4">
        <f t="shared" si="44"/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5">
        <v>0</v>
      </c>
      <c r="L89" s="6">
        <v>0</v>
      </c>
      <c r="M89" s="4">
        <v>1528.1</v>
      </c>
      <c r="N89" s="6">
        <v>4584300</v>
      </c>
      <c r="O89" s="4">
        <v>0</v>
      </c>
      <c r="P89" s="4">
        <v>0</v>
      </c>
      <c r="Q89" s="4">
        <v>3740.9</v>
      </c>
      <c r="R89" s="4">
        <v>9745044.5</v>
      </c>
      <c r="S89" s="4">
        <v>5714519.1100000003</v>
      </c>
      <c r="T89" s="4">
        <v>0</v>
      </c>
      <c r="U89" s="4">
        <v>0</v>
      </c>
      <c r="V89" s="7">
        <f t="shared" si="45"/>
        <v>3000</v>
      </c>
    </row>
    <row r="90" spans="1:22" ht="21.95" customHeight="1" x14ac:dyDescent="0.25">
      <c r="A90" s="1" t="s">
        <v>1674</v>
      </c>
      <c r="B90" s="2" t="s">
        <v>171</v>
      </c>
      <c r="C90" s="3">
        <f t="shared" si="37"/>
        <v>2190763.4900000002</v>
      </c>
      <c r="D90" s="4">
        <f t="shared" si="44"/>
        <v>246557.52</v>
      </c>
      <c r="E90" s="4">
        <v>113918.51</v>
      </c>
      <c r="F90" s="4">
        <v>103701.71</v>
      </c>
      <c r="G90" s="4">
        <v>18613.580000000002</v>
      </c>
      <c r="H90" s="4">
        <v>0</v>
      </c>
      <c r="I90" s="4">
        <v>10323.719999999999</v>
      </c>
      <c r="J90" s="4">
        <f t="shared" ref="J90:J91" si="49">350*0</f>
        <v>0</v>
      </c>
      <c r="K90" s="5">
        <v>0</v>
      </c>
      <c r="L90" s="4">
        <v>0</v>
      </c>
      <c r="M90" s="4">
        <v>268</v>
      </c>
      <c r="N90" s="4">
        <v>1108047.6000000001</v>
      </c>
      <c r="O90" s="4">
        <v>0</v>
      </c>
      <c r="P90" s="4">
        <v>0</v>
      </c>
      <c r="Q90" s="6">
        <v>520</v>
      </c>
      <c r="R90" s="4">
        <v>651824.71</v>
      </c>
      <c r="S90" s="4">
        <f>S893</f>
        <v>0</v>
      </c>
      <c r="T90" s="4">
        <v>0</v>
      </c>
      <c r="U90" s="4">
        <v>184333.66</v>
      </c>
      <c r="V90" s="7">
        <f t="shared" si="45"/>
        <v>4134.5059701492537</v>
      </c>
    </row>
    <row r="91" spans="1:22" ht="21.95" customHeight="1" x14ac:dyDescent="0.25">
      <c r="A91" s="1" t="s">
        <v>1675</v>
      </c>
      <c r="B91" s="2" t="s">
        <v>172</v>
      </c>
      <c r="C91" s="3">
        <f t="shared" si="37"/>
        <v>2306617.94</v>
      </c>
      <c r="D91" s="4">
        <f t="shared" si="44"/>
        <v>254595.78999999998</v>
      </c>
      <c r="E91" s="4">
        <v>188278.99</v>
      </c>
      <c r="F91" s="4">
        <f>800*0</f>
        <v>0</v>
      </c>
      <c r="G91" s="4">
        <v>17206.8</v>
      </c>
      <c r="H91" s="4">
        <f>500*0</f>
        <v>0</v>
      </c>
      <c r="I91" s="4">
        <v>49110</v>
      </c>
      <c r="J91" s="4">
        <f t="shared" si="49"/>
        <v>0</v>
      </c>
      <c r="K91" s="5">
        <v>0</v>
      </c>
      <c r="L91" s="4">
        <v>0</v>
      </c>
      <c r="M91" s="4">
        <v>276.5</v>
      </c>
      <c r="N91" s="4">
        <v>1059726</v>
      </c>
      <c r="O91" s="4">
        <v>0</v>
      </c>
      <c r="P91" s="4">
        <v>0</v>
      </c>
      <c r="Q91" s="4">
        <v>450</v>
      </c>
      <c r="R91" s="4">
        <v>827373.6</v>
      </c>
      <c r="S91" s="4">
        <f>S919</f>
        <v>0</v>
      </c>
      <c r="T91" s="4">
        <v>0</v>
      </c>
      <c r="U91" s="4">
        <v>164922.54999999999</v>
      </c>
      <c r="V91" s="7">
        <f t="shared" si="45"/>
        <v>3832.6437613019893</v>
      </c>
    </row>
    <row r="92" spans="1:22" ht="26.25" customHeight="1" x14ac:dyDescent="0.25">
      <c r="A92" s="1" t="s">
        <v>1676</v>
      </c>
      <c r="B92" s="2" t="s">
        <v>836</v>
      </c>
      <c r="C92" s="3">
        <f t="shared" si="37"/>
        <v>58827.5</v>
      </c>
      <c r="D92" s="4">
        <f t="shared" si="44"/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5">
        <v>0</v>
      </c>
      <c r="L92" s="4">
        <v>0</v>
      </c>
      <c r="M92" s="4">
        <v>0</v>
      </c>
      <c r="N92" s="4">
        <f t="shared" ref="N92:N99" si="50">M92*5300</f>
        <v>0</v>
      </c>
      <c r="O92" s="4">
        <v>0</v>
      </c>
      <c r="P92" s="4">
        <f>O92*410</f>
        <v>0</v>
      </c>
      <c r="Q92" s="4">
        <v>0</v>
      </c>
      <c r="R92" s="4">
        <f t="shared" ref="R92:R99" si="51">Q92*2605</f>
        <v>0</v>
      </c>
      <c r="S92" s="4">
        <v>0</v>
      </c>
      <c r="T92" s="4">
        <v>0</v>
      </c>
      <c r="U92" s="4">
        <v>58827.5</v>
      </c>
      <c r="V92" s="7" t="e">
        <f t="shared" si="45"/>
        <v>#DIV/0!</v>
      </c>
    </row>
    <row r="93" spans="1:22" ht="21.95" customHeight="1" x14ac:dyDescent="0.25">
      <c r="A93" s="1" t="s">
        <v>1677</v>
      </c>
      <c r="B93" s="2" t="s">
        <v>173</v>
      </c>
      <c r="C93" s="3">
        <f t="shared" si="37"/>
        <v>5261291.6399999997</v>
      </c>
      <c r="D93" s="4">
        <f t="shared" si="44"/>
        <v>765959.44</v>
      </c>
      <c r="E93" s="4">
        <v>182430.47</v>
      </c>
      <c r="F93" s="4">
        <v>411937.81</v>
      </c>
      <c r="G93" s="4">
        <v>70034.98</v>
      </c>
      <c r="H93" s="4">
        <f>500*0</f>
        <v>0</v>
      </c>
      <c r="I93" s="4">
        <v>101556.18</v>
      </c>
      <c r="J93" s="4">
        <f t="shared" ref="J93:J94" si="52">350*0</f>
        <v>0</v>
      </c>
      <c r="K93" s="5">
        <v>0</v>
      </c>
      <c r="L93" s="4">
        <v>0</v>
      </c>
      <c r="M93" s="4">
        <v>595</v>
      </c>
      <c r="N93" s="4">
        <v>2692274.11</v>
      </c>
      <c r="O93" s="4">
        <v>0</v>
      </c>
      <c r="P93" s="4">
        <v>0</v>
      </c>
      <c r="Q93" s="4">
        <v>761</v>
      </c>
      <c r="R93" s="4">
        <v>1605058.09</v>
      </c>
      <c r="S93" s="4">
        <f>S920</f>
        <v>0</v>
      </c>
      <c r="T93" s="4">
        <v>0</v>
      </c>
      <c r="U93" s="4">
        <v>198000</v>
      </c>
      <c r="V93" s="7">
        <f t="shared" si="45"/>
        <v>4524.8304369747893</v>
      </c>
    </row>
    <row r="94" spans="1:22" ht="21.95" customHeight="1" x14ac:dyDescent="0.25">
      <c r="A94" s="1" t="s">
        <v>1678</v>
      </c>
      <c r="B94" s="2" t="s">
        <v>174</v>
      </c>
      <c r="C94" s="3">
        <f t="shared" si="37"/>
        <v>7324935.5599999996</v>
      </c>
      <c r="D94" s="4">
        <f t="shared" si="44"/>
        <v>1668226.43</v>
      </c>
      <c r="E94" s="4">
        <v>336975.01</v>
      </c>
      <c r="F94" s="4">
        <v>1083767.26</v>
      </c>
      <c r="G94" s="4">
        <v>72666.399999999994</v>
      </c>
      <c r="H94" s="4">
        <f>500*0</f>
        <v>0</v>
      </c>
      <c r="I94" s="4">
        <v>174817.76</v>
      </c>
      <c r="J94" s="4">
        <f t="shared" si="52"/>
        <v>0</v>
      </c>
      <c r="K94" s="5">
        <v>0</v>
      </c>
      <c r="L94" s="4">
        <v>0</v>
      </c>
      <c r="M94" s="4">
        <v>958</v>
      </c>
      <c r="N94" s="4">
        <v>3423448.91</v>
      </c>
      <c r="O94" s="4">
        <v>0</v>
      </c>
      <c r="P94" s="4">
        <f>O94*410</f>
        <v>0</v>
      </c>
      <c r="Q94" s="4">
        <v>796.6</v>
      </c>
      <c r="R94" s="4">
        <v>2035260.22</v>
      </c>
      <c r="S94" s="4">
        <f>S921</f>
        <v>0</v>
      </c>
      <c r="T94" s="4">
        <v>0</v>
      </c>
      <c r="U94" s="4">
        <v>198000</v>
      </c>
      <c r="V94" s="7">
        <f t="shared" si="45"/>
        <v>3573.5374843423801</v>
      </c>
    </row>
    <row r="95" spans="1:22" ht="21.95" customHeight="1" x14ac:dyDescent="0.25">
      <c r="A95" s="1" t="s">
        <v>1679</v>
      </c>
      <c r="B95" s="2" t="s">
        <v>175</v>
      </c>
      <c r="C95" s="3">
        <f t="shared" si="37"/>
        <v>124764.64</v>
      </c>
      <c r="D95" s="4">
        <f t="shared" si="44"/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5">
        <v>0</v>
      </c>
      <c r="L95" s="4">
        <v>0</v>
      </c>
      <c r="M95" s="4">
        <v>0</v>
      </c>
      <c r="N95" s="4">
        <v>0</v>
      </c>
      <c r="O95" s="4">
        <v>0</v>
      </c>
      <c r="P95" s="4">
        <f>O95*410</f>
        <v>0</v>
      </c>
      <c r="Q95" s="4">
        <v>0</v>
      </c>
      <c r="R95" s="4">
        <f t="shared" si="51"/>
        <v>0</v>
      </c>
      <c r="S95" s="4">
        <v>0</v>
      </c>
      <c r="T95" s="4">
        <v>0</v>
      </c>
      <c r="U95" s="4">
        <v>124764.64</v>
      </c>
      <c r="V95" s="7" t="e">
        <f t="shared" si="45"/>
        <v>#DIV/0!</v>
      </c>
    </row>
    <row r="96" spans="1:22" ht="21.95" customHeight="1" x14ac:dyDescent="0.25">
      <c r="A96" s="1" t="s">
        <v>1680</v>
      </c>
      <c r="B96" s="2" t="s">
        <v>176</v>
      </c>
      <c r="C96" s="3">
        <f t="shared" si="37"/>
        <v>4375705.5</v>
      </c>
      <c r="D96" s="4">
        <f t="shared" si="44"/>
        <v>737040</v>
      </c>
      <c r="E96" s="4">
        <f>350*398.4</f>
        <v>139440</v>
      </c>
      <c r="F96" s="4">
        <f>800*398.4</f>
        <v>318720</v>
      </c>
      <c r="G96" s="4">
        <f>300*398.4</f>
        <v>119520</v>
      </c>
      <c r="H96" s="4">
        <f>500*0</f>
        <v>0</v>
      </c>
      <c r="I96" s="4">
        <f>400*398.4</f>
        <v>159360</v>
      </c>
      <c r="J96" s="4">
        <f t="shared" ref="J96:J97" si="53">350*0</f>
        <v>0</v>
      </c>
      <c r="K96" s="5">
        <v>0</v>
      </c>
      <c r="L96" s="4">
        <v>0</v>
      </c>
      <c r="M96" s="4">
        <v>432</v>
      </c>
      <c r="N96" s="4">
        <f t="shared" si="50"/>
        <v>2289600</v>
      </c>
      <c r="O96" s="4">
        <v>0</v>
      </c>
      <c r="P96" s="4">
        <v>0</v>
      </c>
      <c r="Q96" s="4">
        <v>441.1</v>
      </c>
      <c r="R96" s="4">
        <f t="shared" si="51"/>
        <v>1149065.5</v>
      </c>
      <c r="S96" s="4">
        <v>0</v>
      </c>
      <c r="T96" s="4">
        <v>0</v>
      </c>
      <c r="U96" s="4">
        <v>200000</v>
      </c>
      <c r="V96" s="7">
        <f t="shared" si="45"/>
        <v>5300</v>
      </c>
    </row>
    <row r="97" spans="1:22" ht="21.95" customHeight="1" x14ac:dyDescent="0.25">
      <c r="A97" s="1" t="s">
        <v>1681</v>
      </c>
      <c r="B97" s="2" t="s">
        <v>177</v>
      </c>
      <c r="C97" s="3">
        <f t="shared" si="37"/>
        <v>4457654.04</v>
      </c>
      <c r="D97" s="4">
        <f t="shared" si="44"/>
        <v>757945</v>
      </c>
      <c r="E97" s="4">
        <f>350*409.7</f>
        <v>143395</v>
      </c>
      <c r="F97" s="4">
        <f>800*409.7</f>
        <v>327760</v>
      </c>
      <c r="G97" s="4">
        <f>300*409.7</f>
        <v>122910</v>
      </c>
      <c r="H97" s="4">
        <f>500*0</f>
        <v>0</v>
      </c>
      <c r="I97" s="4">
        <f>400*409.7</f>
        <v>163880</v>
      </c>
      <c r="J97" s="4">
        <f t="shared" si="53"/>
        <v>0</v>
      </c>
      <c r="K97" s="5">
        <v>0</v>
      </c>
      <c r="L97" s="4">
        <v>0</v>
      </c>
      <c r="M97" s="4">
        <v>374.1</v>
      </c>
      <c r="N97" s="4">
        <f t="shared" si="50"/>
        <v>1982730.0000000002</v>
      </c>
      <c r="O97" s="4">
        <v>0</v>
      </c>
      <c r="P97" s="4">
        <v>0</v>
      </c>
      <c r="Q97" s="4">
        <v>605</v>
      </c>
      <c r="R97" s="4">
        <f t="shared" si="51"/>
        <v>1576025</v>
      </c>
      <c r="S97" s="4">
        <f>S882</f>
        <v>0</v>
      </c>
      <c r="T97" s="4">
        <v>0</v>
      </c>
      <c r="U97" s="4">
        <v>140954.04</v>
      </c>
      <c r="V97" s="7">
        <f t="shared" si="45"/>
        <v>5300</v>
      </c>
    </row>
    <row r="98" spans="1:22" ht="21.95" customHeight="1" x14ac:dyDescent="0.25">
      <c r="A98" s="1" t="s">
        <v>1682</v>
      </c>
      <c r="B98" s="26" t="s">
        <v>178</v>
      </c>
      <c r="C98" s="3">
        <f t="shared" si="37"/>
        <v>52206.080000000002</v>
      </c>
      <c r="D98" s="4">
        <f t="shared" si="44"/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5">
        <v>0</v>
      </c>
      <c r="L98" s="4">
        <v>0</v>
      </c>
      <c r="M98" s="4">
        <v>0</v>
      </c>
      <c r="N98" s="4">
        <f t="shared" si="50"/>
        <v>0</v>
      </c>
      <c r="O98" s="4">
        <v>0</v>
      </c>
      <c r="P98" s="4">
        <v>0</v>
      </c>
      <c r="Q98" s="4">
        <v>0</v>
      </c>
      <c r="R98" s="4">
        <f t="shared" si="51"/>
        <v>0</v>
      </c>
      <c r="S98" s="4">
        <f>S883</f>
        <v>0</v>
      </c>
      <c r="T98" s="4">
        <v>0</v>
      </c>
      <c r="U98" s="4">
        <v>52206.080000000002</v>
      </c>
      <c r="V98" s="7" t="e">
        <f t="shared" si="45"/>
        <v>#DIV/0!</v>
      </c>
    </row>
    <row r="99" spans="1:22" ht="21.95" customHeight="1" x14ac:dyDescent="0.25">
      <c r="A99" s="1" t="s">
        <v>1683</v>
      </c>
      <c r="B99" s="26" t="s">
        <v>179</v>
      </c>
      <c r="C99" s="3">
        <f t="shared" si="37"/>
        <v>49933.51</v>
      </c>
      <c r="D99" s="4">
        <f t="shared" si="44"/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5">
        <v>0</v>
      </c>
      <c r="L99" s="4">
        <v>0</v>
      </c>
      <c r="M99" s="4">
        <v>0</v>
      </c>
      <c r="N99" s="4">
        <f t="shared" si="50"/>
        <v>0</v>
      </c>
      <c r="O99" s="4">
        <v>0</v>
      </c>
      <c r="P99" s="4">
        <v>0</v>
      </c>
      <c r="Q99" s="4">
        <v>0</v>
      </c>
      <c r="R99" s="4">
        <f t="shared" si="51"/>
        <v>0</v>
      </c>
      <c r="S99" s="4">
        <f>S884</f>
        <v>0</v>
      </c>
      <c r="T99" s="4">
        <v>0</v>
      </c>
      <c r="U99" s="4">
        <v>49933.51</v>
      </c>
      <c r="V99" s="7" t="e">
        <f t="shared" si="45"/>
        <v>#DIV/0!</v>
      </c>
    </row>
    <row r="100" spans="1:22" ht="21.95" customHeight="1" x14ac:dyDescent="0.25">
      <c r="A100" s="1" t="s">
        <v>1684</v>
      </c>
      <c r="B100" s="9" t="s">
        <v>1415</v>
      </c>
      <c r="C100" s="3">
        <f t="shared" si="37"/>
        <v>5910327.1299999999</v>
      </c>
      <c r="D100" s="4">
        <f t="shared" si="44"/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5">
        <v>0</v>
      </c>
      <c r="L100" s="4">
        <v>0</v>
      </c>
      <c r="M100" s="6">
        <v>1083.4000000000001</v>
      </c>
      <c r="N100" s="6">
        <v>5742020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168307.13</v>
      </c>
      <c r="V100" s="7">
        <f t="shared" si="45"/>
        <v>5300</v>
      </c>
    </row>
    <row r="101" spans="1:22" ht="45" customHeight="1" x14ac:dyDescent="0.25">
      <c r="A101" s="55" t="s">
        <v>223</v>
      </c>
      <c r="B101" s="55"/>
      <c r="C101" s="3">
        <f>SUM(C102:C103)</f>
        <v>2725549.1</v>
      </c>
      <c r="D101" s="3">
        <f t="shared" ref="D101:U101" si="54">SUM(D102:D103)</f>
        <v>454084.26000000007</v>
      </c>
      <c r="E101" s="3">
        <f t="shared" si="54"/>
        <v>145809.64000000001</v>
      </c>
      <c r="F101" s="3">
        <f t="shared" si="54"/>
        <v>202522</v>
      </c>
      <c r="G101" s="3">
        <f t="shared" si="54"/>
        <v>48192.91</v>
      </c>
      <c r="H101" s="3">
        <f t="shared" si="54"/>
        <v>0</v>
      </c>
      <c r="I101" s="3">
        <f t="shared" si="54"/>
        <v>57559.71</v>
      </c>
      <c r="J101" s="3">
        <f t="shared" si="54"/>
        <v>0</v>
      </c>
      <c r="K101" s="15">
        <f t="shared" si="54"/>
        <v>0</v>
      </c>
      <c r="L101" s="3">
        <f t="shared" si="54"/>
        <v>0</v>
      </c>
      <c r="M101" s="3">
        <f t="shared" si="54"/>
        <v>240</v>
      </c>
      <c r="N101" s="3">
        <f t="shared" si="54"/>
        <v>1032050.92</v>
      </c>
      <c r="O101" s="3">
        <f t="shared" si="54"/>
        <v>0</v>
      </c>
      <c r="P101" s="3">
        <f t="shared" si="54"/>
        <v>0</v>
      </c>
      <c r="Q101" s="3">
        <f t="shared" si="54"/>
        <v>408.6</v>
      </c>
      <c r="R101" s="3">
        <f t="shared" si="54"/>
        <v>1063447.25</v>
      </c>
      <c r="S101" s="3">
        <f t="shared" si="54"/>
        <v>123480</v>
      </c>
      <c r="T101" s="3">
        <f t="shared" si="54"/>
        <v>0</v>
      </c>
      <c r="U101" s="3">
        <f t="shared" si="54"/>
        <v>52486.67</v>
      </c>
      <c r="V101" s="21">
        <f>C101+C444</f>
        <v>6927589.5999999996</v>
      </c>
    </row>
    <row r="102" spans="1:22" ht="20.100000000000001" customHeight="1" x14ac:dyDescent="0.25">
      <c r="A102" s="1" t="s">
        <v>1685</v>
      </c>
      <c r="B102" s="9" t="s">
        <v>224</v>
      </c>
      <c r="C102" s="3">
        <f t="shared" si="37"/>
        <v>2673062.4300000002</v>
      </c>
      <c r="D102" s="4">
        <f t="shared" ref="D102:D103" si="55">SUM(E102:J102)</f>
        <v>454084.26000000007</v>
      </c>
      <c r="E102" s="4">
        <v>145809.64000000001</v>
      </c>
      <c r="F102" s="4">
        <v>202522</v>
      </c>
      <c r="G102" s="4">
        <v>48192.91</v>
      </c>
      <c r="H102" s="4">
        <v>0</v>
      </c>
      <c r="I102" s="4">
        <v>57559.71</v>
      </c>
      <c r="J102" s="4">
        <f>350*0</f>
        <v>0</v>
      </c>
      <c r="K102" s="5">
        <v>0</v>
      </c>
      <c r="L102" s="4">
        <v>0</v>
      </c>
      <c r="M102" s="4">
        <v>240</v>
      </c>
      <c r="N102" s="4">
        <v>1032050.92</v>
      </c>
      <c r="O102" s="4">
        <v>0</v>
      </c>
      <c r="P102" s="4">
        <v>0</v>
      </c>
      <c r="Q102" s="4">
        <v>408.6</v>
      </c>
      <c r="R102" s="4">
        <v>1063447.25</v>
      </c>
      <c r="S102" s="4">
        <v>123480</v>
      </c>
      <c r="T102" s="4">
        <v>0</v>
      </c>
      <c r="U102" s="4">
        <v>0</v>
      </c>
      <c r="V102" s="7">
        <f t="shared" ref="V102:V103" si="56">N102/M102</f>
        <v>4300.2121666666671</v>
      </c>
    </row>
    <row r="103" spans="1:22" ht="20.100000000000001" customHeight="1" x14ac:dyDescent="0.25">
      <c r="A103" s="1" t="s">
        <v>1686</v>
      </c>
      <c r="B103" s="9" t="s">
        <v>225</v>
      </c>
      <c r="C103" s="3">
        <f t="shared" si="37"/>
        <v>52486.67</v>
      </c>
      <c r="D103" s="4">
        <f t="shared" si="55"/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5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52486.67</v>
      </c>
      <c r="V103" s="7" t="e">
        <f t="shared" si="56"/>
        <v>#DIV/0!</v>
      </c>
    </row>
    <row r="104" spans="1:22" ht="45" customHeight="1" x14ac:dyDescent="0.25">
      <c r="A104" s="55" t="s">
        <v>222</v>
      </c>
      <c r="B104" s="55"/>
      <c r="C104" s="3">
        <f>SUM(C105:C110)</f>
        <v>5107653.43</v>
      </c>
      <c r="D104" s="3">
        <f t="shared" ref="D104:U104" si="57">SUM(D105:D110)</f>
        <v>203812.47</v>
      </c>
      <c r="E104" s="3">
        <f t="shared" si="57"/>
        <v>203812.47</v>
      </c>
      <c r="F104" s="3">
        <f t="shared" si="57"/>
        <v>0</v>
      </c>
      <c r="G104" s="3">
        <f t="shared" si="57"/>
        <v>0</v>
      </c>
      <c r="H104" s="3">
        <f t="shared" si="57"/>
        <v>0</v>
      </c>
      <c r="I104" s="3">
        <f t="shared" si="57"/>
        <v>0</v>
      </c>
      <c r="J104" s="3">
        <f t="shared" si="57"/>
        <v>0</v>
      </c>
      <c r="K104" s="15">
        <f t="shared" si="57"/>
        <v>0</v>
      </c>
      <c r="L104" s="3">
        <f t="shared" si="57"/>
        <v>0</v>
      </c>
      <c r="M104" s="3">
        <f t="shared" si="57"/>
        <v>370</v>
      </c>
      <c r="N104" s="3">
        <f t="shared" si="57"/>
        <v>1939364.18</v>
      </c>
      <c r="O104" s="3">
        <f t="shared" si="57"/>
        <v>0</v>
      </c>
      <c r="P104" s="3">
        <f t="shared" si="57"/>
        <v>0</v>
      </c>
      <c r="Q104" s="3">
        <f t="shared" si="57"/>
        <v>1446</v>
      </c>
      <c r="R104" s="3">
        <f t="shared" si="57"/>
        <v>2815839.54</v>
      </c>
      <c r="S104" s="3">
        <f t="shared" si="57"/>
        <v>0</v>
      </c>
      <c r="T104" s="3">
        <f t="shared" si="57"/>
        <v>0</v>
      </c>
      <c r="U104" s="3">
        <f t="shared" si="57"/>
        <v>148637.24</v>
      </c>
      <c r="V104" s="21">
        <f>C104+C446+C856</f>
        <v>55802014.93</v>
      </c>
    </row>
    <row r="105" spans="1:22" ht="21.95" customHeight="1" x14ac:dyDescent="0.25">
      <c r="A105" s="1" t="s">
        <v>1687</v>
      </c>
      <c r="B105" s="9" t="s">
        <v>213</v>
      </c>
      <c r="C105" s="3">
        <f t="shared" si="37"/>
        <v>61829.57</v>
      </c>
      <c r="D105" s="4">
        <f t="shared" ref="D105:D110" si="58">SUM(E105:J105)</f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5">
        <v>0</v>
      </c>
      <c r="L105" s="4">
        <v>0</v>
      </c>
      <c r="M105" s="6">
        <v>0</v>
      </c>
      <c r="N105" s="6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61829.57</v>
      </c>
      <c r="V105" s="7" t="e">
        <f t="shared" ref="V105:V110" si="59">N105/M105</f>
        <v>#DIV/0!</v>
      </c>
    </row>
    <row r="106" spans="1:22" ht="21.95" customHeight="1" x14ac:dyDescent="0.25">
      <c r="A106" s="1" t="s">
        <v>1688</v>
      </c>
      <c r="B106" s="9" t="s">
        <v>216</v>
      </c>
      <c r="C106" s="3">
        <f t="shared" si="37"/>
        <v>32637.59</v>
      </c>
      <c r="D106" s="4">
        <f t="shared" si="58"/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5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32637.59</v>
      </c>
      <c r="V106" s="7" t="e">
        <f t="shared" si="59"/>
        <v>#DIV/0!</v>
      </c>
    </row>
    <row r="107" spans="1:22" ht="21.95" customHeight="1" x14ac:dyDescent="0.25">
      <c r="A107" s="1" t="s">
        <v>1689</v>
      </c>
      <c r="B107" s="9" t="s">
        <v>1430</v>
      </c>
      <c r="C107" s="3">
        <f t="shared" si="37"/>
        <v>1368354.4</v>
      </c>
      <c r="D107" s="4">
        <f t="shared" si="58"/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5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582</v>
      </c>
      <c r="R107" s="4">
        <v>1368354.4</v>
      </c>
      <c r="S107" s="4">
        <v>0</v>
      </c>
      <c r="T107" s="4">
        <v>0</v>
      </c>
      <c r="U107" s="4">
        <v>0</v>
      </c>
      <c r="V107" s="7" t="e">
        <f t="shared" si="59"/>
        <v>#DIV/0!</v>
      </c>
    </row>
    <row r="108" spans="1:22" ht="21.95" customHeight="1" x14ac:dyDescent="0.25">
      <c r="A108" s="1" t="s">
        <v>1690</v>
      </c>
      <c r="B108" s="9" t="s">
        <v>217</v>
      </c>
      <c r="C108" s="3">
        <f t="shared" si="37"/>
        <v>54170.080000000002</v>
      </c>
      <c r="D108" s="4">
        <f t="shared" si="58"/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5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54170.080000000002</v>
      </c>
      <c r="V108" s="7" t="e">
        <f t="shared" si="59"/>
        <v>#DIV/0!</v>
      </c>
    </row>
    <row r="109" spans="1:22" ht="21.95" customHeight="1" x14ac:dyDescent="0.25">
      <c r="A109" s="1" t="s">
        <v>1691</v>
      </c>
      <c r="B109" s="9" t="s">
        <v>1431</v>
      </c>
      <c r="C109" s="3">
        <f t="shared" si="37"/>
        <v>2637062.5499999998</v>
      </c>
      <c r="D109" s="4">
        <f t="shared" si="58"/>
        <v>102147.08</v>
      </c>
      <c r="E109" s="4">
        <v>102147.08</v>
      </c>
      <c r="F109" s="4">
        <f>800*0</f>
        <v>0</v>
      </c>
      <c r="G109" s="4">
        <f>300*0</f>
        <v>0</v>
      </c>
      <c r="H109" s="4">
        <f>500*0</f>
        <v>0</v>
      </c>
      <c r="I109" s="4">
        <f>400*0</f>
        <v>0</v>
      </c>
      <c r="J109" s="4">
        <f>350*0</f>
        <v>0</v>
      </c>
      <c r="K109" s="5">
        <v>0</v>
      </c>
      <c r="L109" s="4">
        <v>0</v>
      </c>
      <c r="M109" s="6">
        <v>370</v>
      </c>
      <c r="N109" s="6">
        <v>1939364.18</v>
      </c>
      <c r="O109" s="4">
        <v>0</v>
      </c>
      <c r="P109" s="4">
        <v>0</v>
      </c>
      <c r="Q109" s="4">
        <v>432</v>
      </c>
      <c r="R109" s="4">
        <v>595551.29</v>
      </c>
      <c r="S109" s="4">
        <v>0</v>
      </c>
      <c r="T109" s="4">
        <v>0</v>
      </c>
      <c r="U109" s="4">
        <v>0</v>
      </c>
      <c r="V109" s="7">
        <f t="shared" si="59"/>
        <v>5241.5248108108108</v>
      </c>
    </row>
    <row r="110" spans="1:22" ht="21.95" customHeight="1" x14ac:dyDescent="0.25">
      <c r="A110" s="1" t="s">
        <v>1692</v>
      </c>
      <c r="B110" s="9" t="s">
        <v>1432</v>
      </c>
      <c r="C110" s="3">
        <f t="shared" si="37"/>
        <v>953599.24</v>
      </c>
      <c r="D110" s="4">
        <f t="shared" si="58"/>
        <v>101665.39</v>
      </c>
      <c r="E110" s="4">
        <v>101665.39</v>
      </c>
      <c r="F110" s="4">
        <f>800*0</f>
        <v>0</v>
      </c>
      <c r="G110" s="4">
        <f>300*0</f>
        <v>0</v>
      </c>
      <c r="H110" s="4">
        <f>500*0</f>
        <v>0</v>
      </c>
      <c r="I110" s="4">
        <f>400*0</f>
        <v>0</v>
      </c>
      <c r="J110" s="4">
        <f>350*0</f>
        <v>0</v>
      </c>
      <c r="K110" s="5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6">
        <v>432</v>
      </c>
      <c r="R110" s="6">
        <v>851933.85</v>
      </c>
      <c r="S110" s="4">
        <v>0</v>
      </c>
      <c r="T110" s="4">
        <v>0</v>
      </c>
      <c r="U110" s="4">
        <v>0</v>
      </c>
      <c r="V110" s="7" t="e">
        <f t="shared" si="59"/>
        <v>#DIV/0!</v>
      </c>
    </row>
    <row r="111" spans="1:22" ht="45" customHeight="1" x14ac:dyDescent="0.25">
      <c r="A111" s="55" t="s">
        <v>226</v>
      </c>
      <c r="B111" s="55"/>
      <c r="C111" s="3">
        <f>SUM(C113:C118)</f>
        <v>12022863.18</v>
      </c>
      <c r="D111" s="3">
        <f t="shared" ref="D111:U111" si="60">SUM(D113:D118)</f>
        <v>3810290</v>
      </c>
      <c r="E111" s="3">
        <f t="shared" si="60"/>
        <v>567490</v>
      </c>
      <c r="F111" s="3">
        <f t="shared" si="60"/>
        <v>1297120</v>
      </c>
      <c r="G111" s="3">
        <f t="shared" si="60"/>
        <v>486420</v>
      </c>
      <c r="H111" s="3">
        <f t="shared" si="60"/>
        <v>810700</v>
      </c>
      <c r="I111" s="3">
        <f t="shared" si="60"/>
        <v>648560</v>
      </c>
      <c r="J111" s="3">
        <f t="shared" si="60"/>
        <v>0</v>
      </c>
      <c r="K111" s="15">
        <f t="shared" si="60"/>
        <v>0</v>
      </c>
      <c r="L111" s="3">
        <f t="shared" si="60"/>
        <v>0</v>
      </c>
      <c r="M111" s="3">
        <f t="shared" si="60"/>
        <v>1657</v>
      </c>
      <c r="N111" s="3">
        <f t="shared" si="60"/>
        <v>5861911.0800000001</v>
      </c>
      <c r="O111" s="3">
        <f t="shared" si="60"/>
        <v>0</v>
      </c>
      <c r="P111" s="3">
        <f t="shared" si="60"/>
        <v>0</v>
      </c>
      <c r="Q111" s="3">
        <f t="shared" si="60"/>
        <v>692</v>
      </c>
      <c r="R111" s="3">
        <f t="shared" si="60"/>
        <v>1802660</v>
      </c>
      <c r="S111" s="3">
        <f t="shared" si="60"/>
        <v>0</v>
      </c>
      <c r="T111" s="3">
        <f t="shared" si="60"/>
        <v>0</v>
      </c>
      <c r="U111" s="3">
        <f t="shared" si="60"/>
        <v>548002.1</v>
      </c>
      <c r="V111" s="21">
        <f>C111+C456+C861</f>
        <v>57166290.68</v>
      </c>
    </row>
    <row r="112" spans="1:22" ht="21.95" customHeight="1" x14ac:dyDescent="0.25">
      <c r="A112" s="1" t="s">
        <v>1693</v>
      </c>
      <c r="B112" s="9" t="s">
        <v>232</v>
      </c>
      <c r="C112" s="3">
        <f>D112+L112+N112+P112+R112+S112+T112+U112</f>
        <v>67931.94</v>
      </c>
      <c r="D112" s="4">
        <f>SUM(E112:J112)</f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5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67931.94</v>
      </c>
      <c r="V112" s="7" t="e">
        <f>N112/M112</f>
        <v>#DIV/0!</v>
      </c>
    </row>
    <row r="113" spans="1:22" ht="21.95" customHeight="1" x14ac:dyDescent="0.25">
      <c r="A113" s="1" t="s">
        <v>1694</v>
      </c>
      <c r="B113" s="9" t="s">
        <v>229</v>
      </c>
      <c r="C113" s="3">
        <f t="shared" si="37"/>
        <v>2492515.17</v>
      </c>
      <c r="D113" s="4">
        <f t="shared" ref="D113:D118" si="61">SUM(E113:J113)</f>
        <v>2364100</v>
      </c>
      <c r="E113" s="4">
        <f>350*1006</f>
        <v>352100</v>
      </c>
      <c r="F113" s="4">
        <f>800*1006</f>
        <v>804800</v>
      </c>
      <c r="G113" s="4">
        <f>300*1006</f>
        <v>301800</v>
      </c>
      <c r="H113" s="4">
        <f>500*1006</f>
        <v>503000</v>
      </c>
      <c r="I113" s="4">
        <f>400*1006</f>
        <v>402400</v>
      </c>
      <c r="J113" s="4">
        <f>350*0</f>
        <v>0</v>
      </c>
      <c r="K113" s="5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128415.17</v>
      </c>
      <c r="V113" s="7" t="e">
        <f t="shared" ref="V113:V118" si="62">N113/M113</f>
        <v>#DIV/0!</v>
      </c>
    </row>
    <row r="114" spans="1:22" ht="21.95" customHeight="1" x14ac:dyDescent="0.25">
      <c r="A114" s="1" t="s">
        <v>1695</v>
      </c>
      <c r="B114" s="9" t="s">
        <v>230</v>
      </c>
      <c r="C114" s="3">
        <f t="shared" si="37"/>
        <v>3214200.37</v>
      </c>
      <c r="D114" s="4">
        <f t="shared" si="61"/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5">
        <v>0</v>
      </c>
      <c r="L114" s="4">
        <v>0</v>
      </c>
      <c r="M114" s="4">
        <v>1147</v>
      </c>
      <c r="N114" s="4">
        <v>3158911.08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55289.29</v>
      </c>
      <c r="V114" s="7">
        <f t="shared" si="62"/>
        <v>2754.0637140366175</v>
      </c>
    </row>
    <row r="115" spans="1:22" ht="21.95" customHeight="1" x14ac:dyDescent="0.25">
      <c r="A115" s="1" t="s">
        <v>1696</v>
      </c>
      <c r="B115" s="9" t="s">
        <v>231</v>
      </c>
      <c r="C115" s="3">
        <f t="shared" si="37"/>
        <v>1646190</v>
      </c>
      <c r="D115" s="4">
        <f t="shared" si="61"/>
        <v>1446190</v>
      </c>
      <c r="E115" s="4">
        <f>350*615.4</f>
        <v>215390</v>
      </c>
      <c r="F115" s="4">
        <f>800*615.4</f>
        <v>492320</v>
      </c>
      <c r="G115" s="4">
        <f>300*615.4</f>
        <v>184620</v>
      </c>
      <c r="H115" s="4">
        <f>500*615.4</f>
        <v>307700</v>
      </c>
      <c r="I115" s="4">
        <f>400*615.4</f>
        <v>246160</v>
      </c>
      <c r="J115" s="4">
        <f>350*0</f>
        <v>0</v>
      </c>
      <c r="K115" s="5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200000</v>
      </c>
      <c r="V115" s="7" t="e">
        <f t="shared" si="62"/>
        <v>#DIV/0!</v>
      </c>
    </row>
    <row r="116" spans="1:22" ht="21.95" customHeight="1" x14ac:dyDescent="0.25">
      <c r="A116" s="1" t="s">
        <v>1697</v>
      </c>
      <c r="B116" s="9" t="s">
        <v>238</v>
      </c>
      <c r="C116" s="3">
        <f t="shared" si="37"/>
        <v>43502.720000000001</v>
      </c>
      <c r="D116" s="4">
        <f t="shared" si="61"/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5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43502.720000000001</v>
      </c>
      <c r="V116" s="7" t="e">
        <f t="shared" si="62"/>
        <v>#DIV/0!</v>
      </c>
    </row>
    <row r="117" spans="1:22" ht="21.95" customHeight="1" x14ac:dyDescent="0.25">
      <c r="A117" s="1" t="s">
        <v>1698</v>
      </c>
      <c r="B117" s="9" t="s">
        <v>239</v>
      </c>
      <c r="C117" s="3">
        <f t="shared" si="37"/>
        <v>4590420.63</v>
      </c>
      <c r="D117" s="4">
        <f t="shared" si="61"/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5">
        <v>0</v>
      </c>
      <c r="L117" s="4">
        <v>0</v>
      </c>
      <c r="M117" s="4">
        <v>510</v>
      </c>
      <c r="N117" s="4">
        <f>M117*5300</f>
        <v>2703000</v>
      </c>
      <c r="O117" s="4">
        <v>0</v>
      </c>
      <c r="P117" s="4">
        <v>0</v>
      </c>
      <c r="Q117" s="4">
        <v>692</v>
      </c>
      <c r="R117" s="4">
        <v>1802660</v>
      </c>
      <c r="S117" s="4">
        <v>0</v>
      </c>
      <c r="T117" s="4">
        <v>0</v>
      </c>
      <c r="U117" s="4">
        <v>84760.63</v>
      </c>
      <c r="V117" s="7">
        <f t="shared" si="62"/>
        <v>5300</v>
      </c>
    </row>
    <row r="118" spans="1:22" ht="21.95" customHeight="1" x14ac:dyDescent="0.25">
      <c r="A118" s="1" t="s">
        <v>1699</v>
      </c>
      <c r="B118" s="9" t="s">
        <v>240</v>
      </c>
      <c r="C118" s="3">
        <f t="shared" si="37"/>
        <v>36034.29</v>
      </c>
      <c r="D118" s="4">
        <f t="shared" si="61"/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5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36034.29</v>
      </c>
      <c r="V118" s="7" t="e">
        <f t="shared" si="62"/>
        <v>#DIV/0!</v>
      </c>
    </row>
    <row r="119" spans="1:22" ht="45" customHeight="1" x14ac:dyDescent="0.25">
      <c r="A119" s="55" t="s">
        <v>268</v>
      </c>
      <c r="B119" s="55"/>
      <c r="C119" s="3">
        <f>SUM(C120:C128)</f>
        <v>50681508.289999999</v>
      </c>
      <c r="D119" s="3">
        <f t="shared" ref="D119:U119" si="63">SUM(D120:D128)</f>
        <v>8874031.0800000001</v>
      </c>
      <c r="E119" s="3">
        <f t="shared" si="63"/>
        <v>1888577.73</v>
      </c>
      <c r="F119" s="3">
        <f t="shared" si="63"/>
        <v>4196010.34</v>
      </c>
      <c r="G119" s="3">
        <f t="shared" si="63"/>
        <v>1182033.97</v>
      </c>
      <c r="H119" s="3">
        <f t="shared" si="63"/>
        <v>0</v>
      </c>
      <c r="I119" s="3">
        <f t="shared" si="63"/>
        <v>1607409.04</v>
      </c>
      <c r="J119" s="3">
        <f t="shared" si="63"/>
        <v>0</v>
      </c>
      <c r="K119" s="15">
        <f t="shared" si="63"/>
        <v>0</v>
      </c>
      <c r="L119" s="3">
        <f t="shared" si="63"/>
        <v>0</v>
      </c>
      <c r="M119" s="3">
        <f t="shared" si="63"/>
        <v>4510.3999999999996</v>
      </c>
      <c r="N119" s="3">
        <f t="shared" si="63"/>
        <v>19537931.509999998</v>
      </c>
      <c r="O119" s="3">
        <f t="shared" si="63"/>
        <v>1241.1999999999998</v>
      </c>
      <c r="P119" s="3">
        <f t="shared" si="63"/>
        <v>1508101.91</v>
      </c>
      <c r="Q119" s="3">
        <f t="shared" si="63"/>
        <v>7848</v>
      </c>
      <c r="R119" s="3">
        <f t="shared" si="63"/>
        <v>19308061.189999998</v>
      </c>
      <c r="S119" s="3">
        <f t="shared" si="63"/>
        <v>0</v>
      </c>
      <c r="T119" s="3">
        <f t="shared" si="63"/>
        <v>0</v>
      </c>
      <c r="U119" s="3">
        <f t="shared" si="63"/>
        <v>1453382.5999999999</v>
      </c>
      <c r="V119" s="21">
        <f>C119+C468+C868</f>
        <v>217634299.54999998</v>
      </c>
    </row>
    <row r="120" spans="1:22" ht="21.95" customHeight="1" x14ac:dyDescent="0.25">
      <c r="A120" s="1" t="s">
        <v>1700</v>
      </c>
      <c r="B120" s="27" t="s">
        <v>244</v>
      </c>
      <c r="C120" s="3">
        <f t="shared" si="37"/>
        <v>11569870.460000001</v>
      </c>
      <c r="D120" s="4">
        <f t="shared" ref="D120:D128" si="64">SUM(E120:J120)</f>
        <v>2087863.34</v>
      </c>
      <c r="E120" s="4">
        <v>401451.44</v>
      </c>
      <c r="F120" s="4">
        <v>1229649.27</v>
      </c>
      <c r="G120" s="4">
        <v>172503.14</v>
      </c>
      <c r="H120" s="4">
        <f>500*0</f>
        <v>0</v>
      </c>
      <c r="I120" s="4">
        <v>284259.49</v>
      </c>
      <c r="J120" s="4">
        <f>350*0</f>
        <v>0</v>
      </c>
      <c r="K120" s="5">
        <v>0</v>
      </c>
      <c r="L120" s="4">
        <v>0</v>
      </c>
      <c r="M120" s="4">
        <v>965.9</v>
      </c>
      <c r="N120" s="4">
        <v>4920285.6500000004</v>
      </c>
      <c r="O120" s="4">
        <v>644.79999999999995</v>
      </c>
      <c r="P120" s="4">
        <v>887651.47</v>
      </c>
      <c r="Q120" s="4">
        <v>1540</v>
      </c>
      <c r="R120" s="4">
        <v>3475070</v>
      </c>
      <c r="S120" s="4">
        <v>0</v>
      </c>
      <c r="T120" s="4">
        <v>0</v>
      </c>
      <c r="U120" s="4">
        <v>199000</v>
      </c>
      <c r="V120" s="7">
        <f t="shared" ref="V120:V128" si="65">N120/M120</f>
        <v>5093.990734030438</v>
      </c>
    </row>
    <row r="121" spans="1:22" ht="21.95" customHeight="1" x14ac:dyDescent="0.25">
      <c r="A121" s="1" t="s">
        <v>1701</v>
      </c>
      <c r="B121" s="27" t="s">
        <v>245</v>
      </c>
      <c r="C121" s="3">
        <f t="shared" si="37"/>
        <v>8428223.7300000004</v>
      </c>
      <c r="D121" s="4">
        <f t="shared" si="64"/>
        <v>908366.24</v>
      </c>
      <c r="E121" s="4">
        <v>375109.79</v>
      </c>
      <c r="F121" s="4">
        <v>424609.07</v>
      </c>
      <c r="G121" s="4">
        <v>56373.83</v>
      </c>
      <c r="H121" s="4">
        <f>500*0</f>
        <v>0</v>
      </c>
      <c r="I121" s="4">
        <v>52273.55</v>
      </c>
      <c r="J121" s="4">
        <f>350*0</f>
        <v>0</v>
      </c>
      <c r="K121" s="5">
        <v>0</v>
      </c>
      <c r="L121" s="4">
        <v>0</v>
      </c>
      <c r="M121" s="4">
        <v>774</v>
      </c>
      <c r="N121" s="4">
        <v>3676995.86</v>
      </c>
      <c r="O121" s="4">
        <v>505.4</v>
      </c>
      <c r="P121" s="4">
        <v>356550.44</v>
      </c>
      <c r="Q121" s="4">
        <v>1492</v>
      </c>
      <c r="R121" s="4">
        <v>3287311.19</v>
      </c>
      <c r="S121" s="4">
        <v>0</v>
      </c>
      <c r="T121" s="4">
        <v>0</v>
      </c>
      <c r="U121" s="4">
        <v>199000</v>
      </c>
      <c r="V121" s="7">
        <f t="shared" si="65"/>
        <v>4750.6406459948321</v>
      </c>
    </row>
    <row r="122" spans="1:22" ht="21.95" customHeight="1" x14ac:dyDescent="0.25">
      <c r="A122" s="1" t="s">
        <v>1702</v>
      </c>
      <c r="B122" s="27" t="s">
        <v>246</v>
      </c>
      <c r="C122" s="3">
        <f t="shared" si="37"/>
        <v>11213510</v>
      </c>
      <c r="D122" s="4">
        <f t="shared" si="64"/>
        <v>2942055</v>
      </c>
      <c r="E122" s="4">
        <f>350*1590.3</f>
        <v>556605</v>
      </c>
      <c r="F122" s="4">
        <f>800*1590.3</f>
        <v>1272240</v>
      </c>
      <c r="G122" s="4">
        <f>300*1590.3</f>
        <v>477090</v>
      </c>
      <c r="H122" s="4">
        <f>500*0</f>
        <v>0</v>
      </c>
      <c r="I122" s="4">
        <f>400*1590.3</f>
        <v>636120</v>
      </c>
      <c r="J122" s="4">
        <f>350*0</f>
        <v>0</v>
      </c>
      <c r="K122" s="5">
        <v>0</v>
      </c>
      <c r="L122" s="4">
        <v>0</v>
      </c>
      <c r="M122" s="4">
        <v>899</v>
      </c>
      <c r="N122" s="4">
        <f>M122*5300</f>
        <v>4764700</v>
      </c>
      <c r="O122" s="4">
        <v>49.2</v>
      </c>
      <c r="P122" s="4">
        <v>142680</v>
      </c>
      <c r="Q122" s="4">
        <v>1215</v>
      </c>
      <c r="R122" s="4">
        <v>3165075</v>
      </c>
      <c r="S122" s="4">
        <v>0</v>
      </c>
      <c r="T122" s="4">
        <v>0</v>
      </c>
      <c r="U122" s="4">
        <v>199000</v>
      </c>
      <c r="V122" s="7">
        <f t="shared" si="65"/>
        <v>5300</v>
      </c>
    </row>
    <row r="123" spans="1:22" ht="21.95" customHeight="1" x14ac:dyDescent="0.25">
      <c r="A123" s="1" t="s">
        <v>1703</v>
      </c>
      <c r="B123" s="9" t="s">
        <v>248</v>
      </c>
      <c r="C123" s="3">
        <f t="shared" si="37"/>
        <v>9836297.9199999999</v>
      </c>
      <c r="D123" s="4">
        <f t="shared" si="64"/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5">
        <v>0</v>
      </c>
      <c r="L123" s="4">
        <v>0</v>
      </c>
      <c r="M123" s="4">
        <v>994</v>
      </c>
      <c r="N123" s="4">
        <v>3280200</v>
      </c>
      <c r="O123" s="4">
        <v>0</v>
      </c>
      <c r="P123" s="4">
        <v>0</v>
      </c>
      <c r="Q123" s="4">
        <v>2395</v>
      </c>
      <c r="R123" s="4">
        <v>6238975</v>
      </c>
      <c r="S123" s="4">
        <v>0</v>
      </c>
      <c r="T123" s="4">
        <v>0</v>
      </c>
      <c r="U123" s="4">
        <v>317122.92</v>
      </c>
      <c r="V123" s="7">
        <f t="shared" si="65"/>
        <v>3300</v>
      </c>
    </row>
    <row r="124" spans="1:22" ht="21.95" customHeight="1" x14ac:dyDescent="0.25">
      <c r="A124" s="1" t="s">
        <v>1704</v>
      </c>
      <c r="B124" s="27" t="s">
        <v>247</v>
      </c>
      <c r="C124" s="3">
        <f t="shared" si="37"/>
        <v>62427.49</v>
      </c>
      <c r="D124" s="4">
        <f t="shared" si="64"/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5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62427.49</v>
      </c>
      <c r="V124" s="7" t="e">
        <f t="shared" si="65"/>
        <v>#DIV/0!</v>
      </c>
    </row>
    <row r="125" spans="1:22" ht="21.95" customHeight="1" x14ac:dyDescent="0.25">
      <c r="A125" s="1" t="s">
        <v>1705</v>
      </c>
      <c r="B125" s="27" t="s">
        <v>249</v>
      </c>
      <c r="C125" s="3">
        <f t="shared" si="37"/>
        <v>76336.39</v>
      </c>
      <c r="D125" s="4">
        <f t="shared" si="64"/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5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76336.39</v>
      </c>
      <c r="V125" s="7" t="e">
        <f t="shared" si="65"/>
        <v>#DIV/0!</v>
      </c>
    </row>
    <row r="126" spans="1:22" ht="21.95" customHeight="1" x14ac:dyDescent="0.25">
      <c r="A126" s="1" t="s">
        <v>1706</v>
      </c>
      <c r="B126" s="27" t="s">
        <v>250</v>
      </c>
      <c r="C126" s="3">
        <f t="shared" si="37"/>
        <v>9294346.5</v>
      </c>
      <c r="D126" s="4">
        <f t="shared" si="64"/>
        <v>2935746.5</v>
      </c>
      <c r="E126" s="4">
        <f>350*1586.89</f>
        <v>555411.5</v>
      </c>
      <c r="F126" s="4">
        <f>800*1586.89</f>
        <v>1269512</v>
      </c>
      <c r="G126" s="4">
        <f>300*1586.89</f>
        <v>476067.00000000006</v>
      </c>
      <c r="H126" s="4">
        <f>500*0</f>
        <v>0</v>
      </c>
      <c r="I126" s="4">
        <f>400*1586.89</f>
        <v>634756</v>
      </c>
      <c r="J126" s="4">
        <f>350*0</f>
        <v>0</v>
      </c>
      <c r="K126" s="5">
        <v>0</v>
      </c>
      <c r="L126" s="4">
        <v>0</v>
      </c>
      <c r="M126" s="4">
        <v>877.5</v>
      </c>
      <c r="N126" s="4">
        <v>2895750</v>
      </c>
      <c r="O126" s="4">
        <v>41.8</v>
      </c>
      <c r="P126" s="4">
        <v>121220</v>
      </c>
      <c r="Q126" s="4">
        <v>1206</v>
      </c>
      <c r="R126" s="4">
        <f>Q126*2605</f>
        <v>3141630</v>
      </c>
      <c r="S126" s="4">
        <v>0</v>
      </c>
      <c r="T126" s="4">
        <v>0</v>
      </c>
      <c r="U126" s="4">
        <v>200000</v>
      </c>
      <c r="V126" s="7">
        <f t="shared" si="65"/>
        <v>3300</v>
      </c>
    </row>
    <row r="127" spans="1:22" ht="21.95" customHeight="1" x14ac:dyDescent="0.25">
      <c r="A127" s="1" t="s">
        <v>1707</v>
      </c>
      <c r="B127" s="27" t="s">
        <v>259</v>
      </c>
      <c r="C127" s="3">
        <f t="shared" si="37"/>
        <v>81875.320000000007</v>
      </c>
      <c r="D127" s="4">
        <f t="shared" si="64"/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5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81875.320000000007</v>
      </c>
      <c r="V127" s="7" t="e">
        <f t="shared" si="65"/>
        <v>#DIV/0!</v>
      </c>
    </row>
    <row r="128" spans="1:22" ht="21.95" customHeight="1" x14ac:dyDescent="0.25">
      <c r="A128" s="1" t="s">
        <v>1708</v>
      </c>
      <c r="B128" s="27" t="s">
        <v>262</v>
      </c>
      <c r="C128" s="3">
        <f t="shared" si="37"/>
        <v>118620.48</v>
      </c>
      <c r="D128" s="4">
        <f t="shared" si="64"/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5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118620.48</v>
      </c>
      <c r="V128" s="7" t="e">
        <f t="shared" si="65"/>
        <v>#DIV/0!</v>
      </c>
    </row>
    <row r="129" spans="1:22" ht="45" customHeight="1" x14ac:dyDescent="0.25">
      <c r="A129" s="55" t="s">
        <v>1219</v>
      </c>
      <c r="B129" s="55"/>
      <c r="C129" s="3">
        <f>SUM(C130)</f>
        <v>1686325.08</v>
      </c>
      <c r="D129" s="3">
        <f t="shared" ref="D129:U129" si="66">SUM(D130)</f>
        <v>0</v>
      </c>
      <c r="E129" s="3">
        <f t="shared" si="66"/>
        <v>0</v>
      </c>
      <c r="F129" s="3">
        <f t="shared" si="66"/>
        <v>0</v>
      </c>
      <c r="G129" s="3">
        <f t="shared" si="66"/>
        <v>0</v>
      </c>
      <c r="H129" s="3">
        <f t="shared" si="66"/>
        <v>0</v>
      </c>
      <c r="I129" s="3">
        <f t="shared" si="66"/>
        <v>0</v>
      </c>
      <c r="J129" s="3">
        <f t="shared" si="66"/>
        <v>0</v>
      </c>
      <c r="K129" s="15">
        <f t="shared" si="66"/>
        <v>0</v>
      </c>
      <c r="L129" s="3">
        <f t="shared" si="66"/>
        <v>0</v>
      </c>
      <c r="M129" s="3">
        <f t="shared" si="66"/>
        <v>536.4</v>
      </c>
      <c r="N129" s="3">
        <f t="shared" si="66"/>
        <v>1654017.3</v>
      </c>
      <c r="O129" s="3">
        <f t="shared" si="66"/>
        <v>0</v>
      </c>
      <c r="P129" s="3">
        <f t="shared" si="66"/>
        <v>0</v>
      </c>
      <c r="Q129" s="3">
        <f t="shared" si="66"/>
        <v>0</v>
      </c>
      <c r="R129" s="3">
        <f t="shared" si="66"/>
        <v>0</v>
      </c>
      <c r="S129" s="3">
        <f t="shared" si="66"/>
        <v>0</v>
      </c>
      <c r="T129" s="3">
        <f t="shared" si="66"/>
        <v>0</v>
      </c>
      <c r="U129" s="3">
        <f t="shared" si="66"/>
        <v>32307.78</v>
      </c>
      <c r="V129" s="21">
        <f>C129+C484</f>
        <v>3666325.08</v>
      </c>
    </row>
    <row r="130" spans="1:22" ht="21.95" customHeight="1" x14ac:dyDescent="0.25">
      <c r="A130" s="1" t="s">
        <v>1709</v>
      </c>
      <c r="B130" s="27" t="s">
        <v>1220</v>
      </c>
      <c r="C130" s="3">
        <f t="shared" si="37"/>
        <v>1686325.08</v>
      </c>
      <c r="D130" s="4">
        <f>SUM(E130:J130)</f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5">
        <v>0</v>
      </c>
      <c r="L130" s="4">
        <v>0</v>
      </c>
      <c r="M130" s="4">
        <v>536.4</v>
      </c>
      <c r="N130" s="4">
        <v>1654017.3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32307.78</v>
      </c>
      <c r="V130" s="7">
        <f>N130/M130</f>
        <v>3083.5520134228191</v>
      </c>
    </row>
    <row r="131" spans="1:22" ht="45" customHeight="1" x14ac:dyDescent="0.25">
      <c r="A131" s="55" t="s">
        <v>269</v>
      </c>
      <c r="B131" s="55"/>
      <c r="C131" s="3">
        <f>SUM(C132)</f>
        <v>5485546.2000000002</v>
      </c>
      <c r="D131" s="3">
        <f t="shared" ref="D131:U131" si="67">SUM(D132)</f>
        <v>1575745.5</v>
      </c>
      <c r="E131" s="3">
        <f t="shared" si="67"/>
        <v>234685.5</v>
      </c>
      <c r="F131" s="3">
        <f t="shared" si="67"/>
        <v>536424</v>
      </c>
      <c r="G131" s="3">
        <f t="shared" si="67"/>
        <v>201159</v>
      </c>
      <c r="H131" s="3">
        <f t="shared" si="67"/>
        <v>335265</v>
      </c>
      <c r="I131" s="3">
        <f t="shared" si="67"/>
        <v>268212</v>
      </c>
      <c r="J131" s="3">
        <f t="shared" si="67"/>
        <v>0</v>
      </c>
      <c r="K131" s="15">
        <f t="shared" si="67"/>
        <v>0</v>
      </c>
      <c r="L131" s="3">
        <f t="shared" si="67"/>
        <v>0</v>
      </c>
      <c r="M131" s="3">
        <f t="shared" si="67"/>
        <v>473</v>
      </c>
      <c r="N131" s="3">
        <f t="shared" si="67"/>
        <v>1560900</v>
      </c>
      <c r="O131" s="3">
        <f t="shared" si="67"/>
        <v>332.4</v>
      </c>
      <c r="P131" s="3">
        <f t="shared" si="67"/>
        <v>398880</v>
      </c>
      <c r="Q131" s="3">
        <f t="shared" si="67"/>
        <v>684.7</v>
      </c>
      <c r="R131" s="3">
        <f t="shared" si="67"/>
        <v>1783643.5000000002</v>
      </c>
      <c r="S131" s="3">
        <f t="shared" si="67"/>
        <v>0</v>
      </c>
      <c r="T131" s="3">
        <f t="shared" si="67"/>
        <v>0</v>
      </c>
      <c r="U131" s="3">
        <f t="shared" si="67"/>
        <v>166377.20000000001</v>
      </c>
      <c r="V131" s="21">
        <f>C131</f>
        <v>5485546.2000000002</v>
      </c>
    </row>
    <row r="132" spans="1:22" ht="21.95" customHeight="1" x14ac:dyDescent="0.25">
      <c r="A132" s="1" t="s">
        <v>1710</v>
      </c>
      <c r="B132" s="27" t="s">
        <v>270</v>
      </c>
      <c r="C132" s="3">
        <f t="shared" si="37"/>
        <v>5485546.2000000002</v>
      </c>
      <c r="D132" s="4">
        <f>SUM(E132:J132)</f>
        <v>1575745.5</v>
      </c>
      <c r="E132" s="4">
        <f>350*670.53</f>
        <v>234685.5</v>
      </c>
      <c r="F132" s="4">
        <f>670.53*800</f>
        <v>536424</v>
      </c>
      <c r="G132" s="4">
        <f>300*670.53</f>
        <v>201159</v>
      </c>
      <c r="H132" s="4">
        <f>500*670.53</f>
        <v>335265</v>
      </c>
      <c r="I132" s="4">
        <f>400*670.53</f>
        <v>268212</v>
      </c>
      <c r="J132" s="4">
        <f>350*0</f>
        <v>0</v>
      </c>
      <c r="K132" s="5">
        <v>0</v>
      </c>
      <c r="L132" s="4">
        <v>0</v>
      </c>
      <c r="M132" s="4">
        <v>473</v>
      </c>
      <c r="N132" s="4">
        <f>M132*3300</f>
        <v>1560900</v>
      </c>
      <c r="O132" s="4">
        <v>332.4</v>
      </c>
      <c r="P132" s="4">
        <v>398880</v>
      </c>
      <c r="Q132" s="4">
        <v>684.7</v>
      </c>
      <c r="R132" s="4">
        <f>Q132*2605</f>
        <v>1783643.5000000002</v>
      </c>
      <c r="S132" s="4">
        <v>0</v>
      </c>
      <c r="T132" s="4">
        <v>0</v>
      </c>
      <c r="U132" s="4">
        <v>166377.20000000001</v>
      </c>
      <c r="V132" s="7">
        <f>N132/M132</f>
        <v>3300</v>
      </c>
    </row>
    <row r="133" spans="1:22" ht="45" customHeight="1" x14ac:dyDescent="0.25">
      <c r="A133" s="55" t="s">
        <v>1433</v>
      </c>
      <c r="B133" s="55"/>
      <c r="C133" s="3">
        <f>SUM(C134)</f>
        <v>2170164.9699999997</v>
      </c>
      <c r="D133" s="3">
        <f t="shared" ref="D133:U133" si="68">SUM(D134)</f>
        <v>280113.19</v>
      </c>
      <c r="E133" s="3">
        <f t="shared" si="68"/>
        <v>198739.27</v>
      </c>
      <c r="F133" s="3">
        <f t="shared" si="68"/>
        <v>0</v>
      </c>
      <c r="G133" s="3">
        <f t="shared" si="68"/>
        <v>0</v>
      </c>
      <c r="H133" s="3">
        <f t="shared" si="68"/>
        <v>0</v>
      </c>
      <c r="I133" s="3">
        <f t="shared" si="68"/>
        <v>81373.919999999998</v>
      </c>
      <c r="J133" s="3">
        <f t="shared" si="68"/>
        <v>0</v>
      </c>
      <c r="K133" s="15">
        <f t="shared" si="68"/>
        <v>0</v>
      </c>
      <c r="L133" s="3">
        <f t="shared" si="68"/>
        <v>0</v>
      </c>
      <c r="M133" s="3">
        <f t="shared" si="68"/>
        <v>0</v>
      </c>
      <c r="N133" s="3">
        <f t="shared" si="68"/>
        <v>0</v>
      </c>
      <c r="O133" s="3">
        <f t="shared" si="68"/>
        <v>0</v>
      </c>
      <c r="P133" s="3">
        <f t="shared" si="68"/>
        <v>0</v>
      </c>
      <c r="Q133" s="3">
        <f t="shared" si="68"/>
        <v>710</v>
      </c>
      <c r="R133" s="3">
        <f t="shared" si="68"/>
        <v>1743230.17</v>
      </c>
      <c r="S133" s="3">
        <f t="shared" si="68"/>
        <v>0</v>
      </c>
      <c r="T133" s="3">
        <f t="shared" si="68"/>
        <v>0</v>
      </c>
      <c r="U133" s="3">
        <f t="shared" si="68"/>
        <v>146821.60999999999</v>
      </c>
      <c r="V133" s="21">
        <f>C133</f>
        <v>2170164.9699999997</v>
      </c>
    </row>
    <row r="134" spans="1:22" ht="21.95" customHeight="1" x14ac:dyDescent="0.25">
      <c r="A134" s="1" t="s">
        <v>1711</v>
      </c>
      <c r="B134" s="27" t="s">
        <v>1434</v>
      </c>
      <c r="C134" s="3">
        <f t="shared" si="37"/>
        <v>2170164.9699999997</v>
      </c>
      <c r="D134" s="4">
        <f>SUM(E134:J134)</f>
        <v>280113.19</v>
      </c>
      <c r="E134" s="4">
        <v>198739.27</v>
      </c>
      <c r="F134" s="4">
        <f>670.53*0</f>
        <v>0</v>
      </c>
      <c r="G134" s="4">
        <v>0</v>
      </c>
      <c r="H134" s="4">
        <f>500*0</f>
        <v>0</v>
      </c>
      <c r="I134" s="4">
        <v>81373.919999999998</v>
      </c>
      <c r="J134" s="4">
        <f>350*0</f>
        <v>0</v>
      </c>
      <c r="K134" s="5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710</v>
      </c>
      <c r="R134" s="4">
        <v>1743230.17</v>
      </c>
      <c r="S134" s="4">
        <v>0</v>
      </c>
      <c r="T134" s="4">
        <v>0</v>
      </c>
      <c r="U134" s="4">
        <v>146821.60999999999</v>
      </c>
      <c r="V134" s="7" t="e">
        <f>N134/M134</f>
        <v>#DIV/0!</v>
      </c>
    </row>
    <row r="135" spans="1:22" ht="45" customHeight="1" x14ac:dyDescent="0.25">
      <c r="A135" s="55" t="s">
        <v>381</v>
      </c>
      <c r="B135" s="55"/>
      <c r="C135" s="3">
        <f>SUM(C136:C284)</f>
        <v>653471917.12</v>
      </c>
      <c r="D135" s="3">
        <f t="shared" ref="D135:U135" si="69">SUM(D136:D284)</f>
        <v>271543311.22999996</v>
      </c>
      <c r="E135" s="3">
        <f t="shared" si="69"/>
        <v>43495229.539999999</v>
      </c>
      <c r="F135" s="3">
        <f t="shared" si="69"/>
        <v>109063551.28000002</v>
      </c>
      <c r="G135" s="3">
        <f t="shared" si="69"/>
        <v>33488335.649999995</v>
      </c>
      <c r="H135" s="3">
        <f t="shared" si="69"/>
        <v>41837361.240000002</v>
      </c>
      <c r="I135" s="3">
        <f t="shared" si="69"/>
        <v>43658833.519999996</v>
      </c>
      <c r="J135" s="3">
        <f t="shared" si="69"/>
        <v>0</v>
      </c>
      <c r="K135" s="15">
        <f t="shared" si="69"/>
        <v>10</v>
      </c>
      <c r="L135" s="3">
        <f t="shared" si="69"/>
        <v>20667713.030000001</v>
      </c>
      <c r="M135" s="3">
        <f t="shared" si="69"/>
        <v>45057.29</v>
      </c>
      <c r="N135" s="3">
        <f t="shared" si="69"/>
        <v>217000184.27999994</v>
      </c>
      <c r="O135" s="3">
        <f t="shared" si="69"/>
        <v>2279.6</v>
      </c>
      <c r="P135" s="3">
        <f t="shared" si="69"/>
        <v>2731193.94</v>
      </c>
      <c r="Q135" s="3">
        <f t="shared" si="69"/>
        <v>44055.609999999993</v>
      </c>
      <c r="R135" s="3">
        <f t="shared" si="69"/>
        <v>108018817.42999999</v>
      </c>
      <c r="S135" s="3">
        <f t="shared" si="69"/>
        <v>1983112.93</v>
      </c>
      <c r="T135" s="3">
        <f t="shared" si="69"/>
        <v>678303.6</v>
      </c>
      <c r="U135" s="3">
        <f t="shared" si="69"/>
        <v>30849280.68</v>
      </c>
      <c r="V135" s="21">
        <f>C135+C491+C885</f>
        <v>2030450348.8799999</v>
      </c>
    </row>
    <row r="136" spans="1:22" ht="21.95" customHeight="1" x14ac:dyDescent="0.25">
      <c r="A136" s="1" t="s">
        <v>1712</v>
      </c>
      <c r="B136" s="9" t="s">
        <v>476</v>
      </c>
      <c r="C136" s="3">
        <f t="shared" si="37"/>
        <v>3323627.13</v>
      </c>
      <c r="D136" s="4">
        <f t="shared" ref="D136:D197" si="70">SUM(E136:J136)</f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5">
        <v>0</v>
      </c>
      <c r="L136" s="4">
        <v>0</v>
      </c>
      <c r="M136" s="4">
        <v>661</v>
      </c>
      <c r="N136" s="4">
        <v>3215902.69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107724.44</v>
      </c>
      <c r="V136" s="7">
        <f t="shared" ref="V136:V197" si="71">N136/M136</f>
        <v>4865.2083055975791</v>
      </c>
    </row>
    <row r="137" spans="1:22" ht="21.95" customHeight="1" x14ac:dyDescent="0.25">
      <c r="A137" s="1" t="s">
        <v>1713</v>
      </c>
      <c r="B137" s="9" t="s">
        <v>477</v>
      </c>
      <c r="C137" s="3">
        <f t="shared" ref="C137:C198" si="72">D137+L137+N137+P137+R137+S137+T137+U137</f>
        <v>3234332.3800000004</v>
      </c>
      <c r="D137" s="4">
        <f t="shared" si="70"/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5">
        <v>0</v>
      </c>
      <c r="L137" s="4">
        <v>0</v>
      </c>
      <c r="M137" s="4">
        <v>627</v>
      </c>
      <c r="N137" s="4">
        <v>3134023.14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100309.24</v>
      </c>
      <c r="V137" s="7">
        <f t="shared" si="71"/>
        <v>4998.4420095693786</v>
      </c>
    </row>
    <row r="138" spans="1:22" ht="21.95" customHeight="1" x14ac:dyDescent="0.25">
      <c r="A138" s="1" t="s">
        <v>1714</v>
      </c>
      <c r="B138" s="9" t="s">
        <v>492</v>
      </c>
      <c r="C138" s="3">
        <f t="shared" si="72"/>
        <v>4313785.67</v>
      </c>
      <c r="D138" s="4">
        <f t="shared" si="70"/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5">
        <v>0</v>
      </c>
      <c r="L138" s="4">
        <v>0</v>
      </c>
      <c r="M138" s="4">
        <v>797.4</v>
      </c>
      <c r="N138" s="4">
        <f>M138*5300</f>
        <v>4226220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87565.67</v>
      </c>
      <c r="V138" s="7">
        <f t="shared" si="71"/>
        <v>5300</v>
      </c>
    </row>
    <row r="139" spans="1:22" ht="21.95" customHeight="1" x14ac:dyDescent="0.25">
      <c r="A139" s="1" t="s">
        <v>1715</v>
      </c>
      <c r="B139" s="9" t="s">
        <v>434</v>
      </c>
      <c r="C139" s="3">
        <f t="shared" si="72"/>
        <v>163490.91</v>
      </c>
      <c r="D139" s="4">
        <f t="shared" si="70"/>
        <v>126601.81</v>
      </c>
      <c r="E139" s="4">
        <v>126601.81</v>
      </c>
      <c r="F139" s="4">
        <f>800*0</f>
        <v>0</v>
      </c>
      <c r="G139" s="4">
        <v>0</v>
      </c>
      <c r="H139" s="4">
        <f>500*0</f>
        <v>0</v>
      </c>
      <c r="I139" s="4">
        <f>400*0</f>
        <v>0</v>
      </c>
      <c r="J139" s="4">
        <f>350*0</f>
        <v>0</v>
      </c>
      <c r="K139" s="5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36889.1</v>
      </c>
      <c r="V139" s="7" t="e">
        <f t="shared" si="71"/>
        <v>#DIV/0!</v>
      </c>
    </row>
    <row r="140" spans="1:22" ht="21.95" customHeight="1" x14ac:dyDescent="0.25">
      <c r="A140" s="1" t="s">
        <v>1716</v>
      </c>
      <c r="B140" s="9" t="s">
        <v>493</v>
      </c>
      <c r="C140" s="3">
        <f t="shared" si="72"/>
        <v>5037674.1900000004</v>
      </c>
      <c r="D140" s="4">
        <f t="shared" si="70"/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5">
        <v>0</v>
      </c>
      <c r="L140" s="4">
        <v>0</v>
      </c>
      <c r="M140" s="4">
        <v>574</v>
      </c>
      <c r="N140" s="4">
        <v>3042199.57</v>
      </c>
      <c r="O140" s="4">
        <v>0</v>
      </c>
      <c r="P140" s="4">
        <v>0</v>
      </c>
      <c r="Q140" s="4">
        <v>728</v>
      </c>
      <c r="R140" s="4">
        <v>1896440</v>
      </c>
      <c r="S140" s="4">
        <v>0</v>
      </c>
      <c r="T140" s="4">
        <v>0</v>
      </c>
      <c r="U140" s="4">
        <v>99034.62</v>
      </c>
      <c r="V140" s="7">
        <f t="shared" si="71"/>
        <v>5299.9992508710802</v>
      </c>
    </row>
    <row r="141" spans="1:22" ht="21.95" customHeight="1" x14ac:dyDescent="0.25">
      <c r="A141" s="1" t="s">
        <v>1717</v>
      </c>
      <c r="B141" s="9" t="s">
        <v>427</v>
      </c>
      <c r="C141" s="3">
        <f t="shared" si="72"/>
        <v>173076.4</v>
      </c>
      <c r="D141" s="4">
        <f t="shared" si="70"/>
        <v>134089.19</v>
      </c>
      <c r="E141" s="4">
        <v>134089.19</v>
      </c>
      <c r="F141" s="4">
        <f>800*0</f>
        <v>0</v>
      </c>
      <c r="G141" s="4">
        <v>0</v>
      </c>
      <c r="H141" s="4">
        <f>500*0</f>
        <v>0</v>
      </c>
      <c r="I141" s="4">
        <f>400*0</f>
        <v>0</v>
      </c>
      <c r="J141" s="4">
        <f>350*0</f>
        <v>0</v>
      </c>
      <c r="K141" s="5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38987.21</v>
      </c>
      <c r="V141" s="7" t="e">
        <f t="shared" si="71"/>
        <v>#DIV/0!</v>
      </c>
    </row>
    <row r="142" spans="1:22" ht="21.95" customHeight="1" x14ac:dyDescent="0.25">
      <c r="A142" s="1" t="s">
        <v>1718</v>
      </c>
      <c r="B142" s="28" t="s">
        <v>382</v>
      </c>
      <c r="C142" s="3">
        <f t="shared" si="72"/>
        <v>1822584.59</v>
      </c>
      <c r="D142" s="4">
        <f t="shared" si="70"/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5">
        <v>0</v>
      </c>
      <c r="L142" s="4">
        <v>0</v>
      </c>
      <c r="M142" s="4">
        <v>451.8</v>
      </c>
      <c r="N142" s="4">
        <v>1768292.11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54292.480000000003</v>
      </c>
      <c r="V142" s="7">
        <f t="shared" si="71"/>
        <v>3913.8824922532094</v>
      </c>
    </row>
    <row r="143" spans="1:22" ht="21.95" customHeight="1" x14ac:dyDescent="0.25">
      <c r="A143" s="1" t="s">
        <v>1719</v>
      </c>
      <c r="B143" s="29" t="s">
        <v>1411</v>
      </c>
      <c r="C143" s="3">
        <f t="shared" si="72"/>
        <v>3823384.7</v>
      </c>
      <c r="D143" s="4">
        <f t="shared" si="70"/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5">
        <v>0</v>
      </c>
      <c r="L143" s="4">
        <v>0</v>
      </c>
      <c r="M143" s="4">
        <v>640</v>
      </c>
      <c r="N143" s="4">
        <v>3392000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431384.7</v>
      </c>
      <c r="V143" s="7">
        <f t="shared" si="71"/>
        <v>5300</v>
      </c>
    </row>
    <row r="144" spans="1:22" ht="21.95" customHeight="1" x14ac:dyDescent="0.25">
      <c r="A144" s="1" t="s">
        <v>1720</v>
      </c>
      <c r="B144" s="29" t="s">
        <v>1412</v>
      </c>
      <c r="C144" s="3">
        <f t="shared" si="72"/>
        <v>3494213.16</v>
      </c>
      <c r="D144" s="4">
        <f t="shared" si="70"/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5">
        <v>0</v>
      </c>
      <c r="L144" s="4">
        <v>0</v>
      </c>
      <c r="M144" s="4">
        <v>583</v>
      </c>
      <c r="N144" s="4">
        <v>3089900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404313.16</v>
      </c>
      <c r="V144" s="7">
        <f t="shared" si="71"/>
        <v>5300</v>
      </c>
    </row>
    <row r="145" spans="1:22" ht="21.95" customHeight="1" x14ac:dyDescent="0.25">
      <c r="A145" s="1" t="s">
        <v>1721</v>
      </c>
      <c r="B145" s="29" t="s">
        <v>1413</v>
      </c>
      <c r="C145" s="3">
        <f t="shared" si="72"/>
        <v>3114360.45</v>
      </c>
      <c r="D145" s="4">
        <f t="shared" si="70"/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5">
        <v>0</v>
      </c>
      <c r="L145" s="4">
        <v>0</v>
      </c>
      <c r="M145" s="4">
        <v>512</v>
      </c>
      <c r="N145" s="4">
        <v>2713600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400760.45</v>
      </c>
      <c r="V145" s="7">
        <f t="shared" si="71"/>
        <v>5300</v>
      </c>
    </row>
    <row r="146" spans="1:22" ht="21.95" customHeight="1" x14ac:dyDescent="0.25">
      <c r="A146" s="1" t="s">
        <v>1722</v>
      </c>
      <c r="B146" s="9" t="s">
        <v>428</v>
      </c>
      <c r="C146" s="3">
        <f t="shared" si="72"/>
        <v>39639.949999999997</v>
      </c>
      <c r="D146" s="4">
        <f t="shared" si="70"/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5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39639.949999999997</v>
      </c>
      <c r="V146" s="7" t="e">
        <f t="shared" si="71"/>
        <v>#DIV/0!</v>
      </c>
    </row>
    <row r="147" spans="1:22" ht="21.95" customHeight="1" x14ac:dyDescent="0.25">
      <c r="A147" s="1" t="s">
        <v>1723</v>
      </c>
      <c r="B147" s="28" t="s">
        <v>429</v>
      </c>
      <c r="C147" s="3">
        <f t="shared" si="72"/>
        <v>55918.46</v>
      </c>
      <c r="D147" s="4">
        <f t="shared" si="70"/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5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55918.46</v>
      </c>
      <c r="V147" s="7" t="e">
        <f t="shared" si="71"/>
        <v>#DIV/0!</v>
      </c>
    </row>
    <row r="148" spans="1:22" ht="21.95" customHeight="1" x14ac:dyDescent="0.25">
      <c r="A148" s="1" t="s">
        <v>1724</v>
      </c>
      <c r="B148" s="28" t="s">
        <v>449</v>
      </c>
      <c r="C148" s="3">
        <f t="shared" si="72"/>
        <v>64358.54</v>
      </c>
      <c r="D148" s="4">
        <f t="shared" si="70"/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5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64358.54</v>
      </c>
      <c r="V148" s="7" t="e">
        <f t="shared" si="71"/>
        <v>#DIV/0!</v>
      </c>
    </row>
    <row r="149" spans="1:22" ht="21.95" customHeight="1" x14ac:dyDescent="0.25">
      <c r="A149" s="1" t="s">
        <v>1725</v>
      </c>
      <c r="B149" s="9" t="s">
        <v>494</v>
      </c>
      <c r="C149" s="3">
        <f t="shared" si="72"/>
        <v>2558331.8400000003</v>
      </c>
      <c r="D149" s="4">
        <f t="shared" si="70"/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5">
        <v>0</v>
      </c>
      <c r="L149" s="4">
        <v>0</v>
      </c>
      <c r="M149" s="4">
        <v>707.6</v>
      </c>
      <c r="N149" s="4">
        <v>2504665.7400000002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53666.1</v>
      </c>
      <c r="V149" s="7">
        <f t="shared" si="71"/>
        <v>3539.6632843414359</v>
      </c>
    </row>
    <row r="150" spans="1:22" ht="21.95" customHeight="1" x14ac:dyDescent="0.25">
      <c r="A150" s="1" t="s">
        <v>1726</v>
      </c>
      <c r="B150" s="9" t="s">
        <v>495</v>
      </c>
      <c r="C150" s="3">
        <f t="shared" si="72"/>
        <v>53597.85</v>
      </c>
      <c r="D150" s="4">
        <f t="shared" si="70"/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5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53597.85</v>
      </c>
      <c r="V150" s="7" t="e">
        <f t="shared" si="71"/>
        <v>#DIV/0!</v>
      </c>
    </row>
    <row r="151" spans="1:22" ht="21.95" customHeight="1" x14ac:dyDescent="0.25">
      <c r="A151" s="1" t="s">
        <v>1727</v>
      </c>
      <c r="B151" s="9" t="s">
        <v>496</v>
      </c>
      <c r="C151" s="3">
        <f t="shared" si="72"/>
        <v>68863.03</v>
      </c>
      <c r="D151" s="4">
        <f t="shared" si="70"/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5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68863.03</v>
      </c>
      <c r="V151" s="7" t="e">
        <f t="shared" si="71"/>
        <v>#DIV/0!</v>
      </c>
    </row>
    <row r="152" spans="1:22" ht="21.95" customHeight="1" x14ac:dyDescent="0.25">
      <c r="A152" s="1" t="s">
        <v>1728</v>
      </c>
      <c r="B152" s="9" t="s">
        <v>478</v>
      </c>
      <c r="C152" s="3">
        <f t="shared" si="72"/>
        <v>84581.04</v>
      </c>
      <c r="D152" s="4">
        <f t="shared" si="70"/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5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84581.04</v>
      </c>
      <c r="V152" s="7" t="e">
        <f t="shared" si="71"/>
        <v>#DIV/0!</v>
      </c>
    </row>
    <row r="153" spans="1:22" ht="21.95" customHeight="1" x14ac:dyDescent="0.25">
      <c r="A153" s="1" t="s">
        <v>1729</v>
      </c>
      <c r="B153" s="9" t="s">
        <v>497</v>
      </c>
      <c r="C153" s="3">
        <f t="shared" si="72"/>
        <v>41774.69</v>
      </c>
      <c r="D153" s="4">
        <f t="shared" si="70"/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5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41774.69</v>
      </c>
      <c r="V153" s="7" t="e">
        <f t="shared" si="71"/>
        <v>#DIV/0!</v>
      </c>
    </row>
    <row r="154" spans="1:22" ht="21.95" customHeight="1" x14ac:dyDescent="0.25">
      <c r="A154" s="1" t="s">
        <v>1730</v>
      </c>
      <c r="B154" s="9" t="s">
        <v>420</v>
      </c>
      <c r="C154" s="3">
        <f t="shared" si="72"/>
        <v>95551.6</v>
      </c>
      <c r="D154" s="4">
        <f t="shared" si="70"/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5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95551.6</v>
      </c>
      <c r="V154" s="7" t="e">
        <f t="shared" si="71"/>
        <v>#DIV/0!</v>
      </c>
    </row>
    <row r="155" spans="1:22" ht="21.95" customHeight="1" x14ac:dyDescent="0.25">
      <c r="A155" s="1" t="s">
        <v>1731</v>
      </c>
      <c r="B155" s="28" t="s">
        <v>479</v>
      </c>
      <c r="C155" s="3">
        <f t="shared" si="72"/>
        <v>108492.72</v>
      </c>
      <c r="D155" s="4">
        <f t="shared" si="70"/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5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108492.72</v>
      </c>
      <c r="V155" s="7" t="e">
        <f t="shared" si="71"/>
        <v>#DIV/0!</v>
      </c>
    </row>
    <row r="156" spans="1:22" ht="21.95" customHeight="1" x14ac:dyDescent="0.25">
      <c r="A156" s="1" t="s">
        <v>1732</v>
      </c>
      <c r="B156" s="28" t="s">
        <v>506</v>
      </c>
      <c r="C156" s="3">
        <f t="shared" si="72"/>
        <v>6758070</v>
      </c>
      <c r="D156" s="4">
        <f t="shared" si="70"/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5">
        <v>0</v>
      </c>
      <c r="L156" s="4">
        <v>0</v>
      </c>
      <c r="M156" s="4">
        <v>1161.9000000000001</v>
      </c>
      <c r="N156" s="4">
        <v>6158070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600000</v>
      </c>
      <c r="V156" s="7">
        <f t="shared" si="71"/>
        <v>5300</v>
      </c>
    </row>
    <row r="157" spans="1:22" ht="21.95" customHeight="1" x14ac:dyDescent="0.25">
      <c r="A157" s="1" t="s">
        <v>1733</v>
      </c>
      <c r="B157" s="28" t="s">
        <v>508</v>
      </c>
      <c r="C157" s="3">
        <f t="shared" si="72"/>
        <v>16655539.5</v>
      </c>
      <c r="D157" s="4">
        <f t="shared" si="70"/>
        <v>3664609.5</v>
      </c>
      <c r="E157" s="4">
        <f>350*1980.87</f>
        <v>693304.5</v>
      </c>
      <c r="F157" s="4">
        <f>800*1980.87</f>
        <v>1584696</v>
      </c>
      <c r="G157" s="4">
        <f>300*1980.87</f>
        <v>594261</v>
      </c>
      <c r="H157" s="4">
        <f>500*0</f>
        <v>0</v>
      </c>
      <c r="I157" s="4">
        <f>400*1980.87</f>
        <v>792348</v>
      </c>
      <c r="J157" s="4">
        <f>350*0</f>
        <v>0</v>
      </c>
      <c r="K157" s="5">
        <v>0</v>
      </c>
      <c r="L157" s="4">
        <v>0</v>
      </c>
      <c r="M157" s="4">
        <v>1748.1</v>
      </c>
      <c r="N157" s="4">
        <v>9264930</v>
      </c>
      <c r="O157" s="4">
        <v>0</v>
      </c>
      <c r="P157" s="4">
        <v>0</v>
      </c>
      <c r="Q157" s="4">
        <v>1200</v>
      </c>
      <c r="R157" s="4">
        <f>Q157*2605</f>
        <v>3126000</v>
      </c>
      <c r="S157" s="4">
        <v>0</v>
      </c>
      <c r="T157" s="4">
        <v>0</v>
      </c>
      <c r="U157" s="4">
        <v>600000</v>
      </c>
      <c r="V157" s="7">
        <f t="shared" si="71"/>
        <v>5300</v>
      </c>
    </row>
    <row r="158" spans="1:22" ht="21.95" customHeight="1" x14ac:dyDescent="0.25">
      <c r="A158" s="1" t="s">
        <v>1734</v>
      </c>
      <c r="B158" s="9" t="s">
        <v>391</v>
      </c>
      <c r="C158" s="3">
        <f t="shared" si="72"/>
        <v>5013050</v>
      </c>
      <c r="D158" s="4">
        <f t="shared" si="70"/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5">
        <v>0</v>
      </c>
      <c r="L158" s="4">
        <v>0</v>
      </c>
      <c r="M158" s="4">
        <v>1458.5</v>
      </c>
      <c r="N158" s="4">
        <v>4813050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200000</v>
      </c>
      <c r="V158" s="7">
        <f t="shared" si="71"/>
        <v>3300</v>
      </c>
    </row>
    <row r="159" spans="1:22" ht="21.95" customHeight="1" x14ac:dyDescent="0.25">
      <c r="A159" s="1" t="s">
        <v>1735</v>
      </c>
      <c r="B159" s="9" t="s">
        <v>498</v>
      </c>
      <c r="C159" s="3">
        <f t="shared" si="72"/>
        <v>3473810</v>
      </c>
      <c r="D159" s="4">
        <f t="shared" si="70"/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5">
        <v>0</v>
      </c>
      <c r="L159" s="4">
        <v>0</v>
      </c>
      <c r="M159" s="4">
        <v>617.70000000000005</v>
      </c>
      <c r="N159" s="4">
        <v>3273810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200000</v>
      </c>
      <c r="V159" s="7">
        <f t="shared" si="71"/>
        <v>5300</v>
      </c>
    </row>
    <row r="160" spans="1:22" ht="21.95" customHeight="1" x14ac:dyDescent="0.25">
      <c r="A160" s="1" t="s">
        <v>1736</v>
      </c>
      <c r="B160" s="9" t="s">
        <v>499</v>
      </c>
      <c r="C160" s="3">
        <f t="shared" si="72"/>
        <v>1935029.82</v>
      </c>
      <c r="D160" s="4">
        <f t="shared" si="70"/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5">
        <v>0</v>
      </c>
      <c r="L160" s="4">
        <v>0</v>
      </c>
      <c r="M160" s="4">
        <v>430.8</v>
      </c>
      <c r="N160" s="4">
        <v>1874295.83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60733.99</v>
      </c>
      <c r="V160" s="7">
        <f t="shared" si="71"/>
        <v>4350.7331244196839</v>
      </c>
    </row>
    <row r="161" spans="1:22" ht="21.95" customHeight="1" x14ac:dyDescent="0.25">
      <c r="A161" s="1" t="s">
        <v>1737</v>
      </c>
      <c r="B161" s="9" t="s">
        <v>463</v>
      </c>
      <c r="C161" s="3">
        <f t="shared" si="72"/>
        <v>2205949.1</v>
      </c>
      <c r="D161" s="4">
        <f t="shared" si="70"/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5">
        <v>0</v>
      </c>
      <c r="L161" s="4">
        <v>0</v>
      </c>
      <c r="M161" s="4">
        <v>405</v>
      </c>
      <c r="N161" s="4">
        <f>M161*5300</f>
        <v>2146500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59449.1</v>
      </c>
      <c r="V161" s="7">
        <f t="shared" si="71"/>
        <v>5300</v>
      </c>
    </row>
    <row r="162" spans="1:22" ht="21.95" customHeight="1" x14ac:dyDescent="0.25">
      <c r="A162" s="1" t="s">
        <v>1738</v>
      </c>
      <c r="B162" s="9" t="s">
        <v>500</v>
      </c>
      <c r="C162" s="3">
        <f t="shared" si="72"/>
        <v>1313592.3500000001</v>
      </c>
      <c r="D162" s="4">
        <f t="shared" si="70"/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5">
        <v>0</v>
      </c>
      <c r="L162" s="4">
        <v>0</v>
      </c>
      <c r="M162" s="4">
        <v>279.5</v>
      </c>
      <c r="N162" s="4">
        <v>1256956.8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56635.55</v>
      </c>
      <c r="V162" s="7">
        <f t="shared" si="71"/>
        <v>4497.1620751341679</v>
      </c>
    </row>
    <row r="163" spans="1:22" ht="21.95" customHeight="1" x14ac:dyDescent="0.25">
      <c r="A163" s="1" t="s">
        <v>1739</v>
      </c>
      <c r="B163" s="9" t="s">
        <v>501</v>
      </c>
      <c r="C163" s="3">
        <f t="shared" si="72"/>
        <v>1315989.95</v>
      </c>
      <c r="D163" s="4">
        <f t="shared" si="70"/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5">
        <v>0</v>
      </c>
      <c r="L163" s="4">
        <v>0</v>
      </c>
      <c r="M163" s="4">
        <v>279</v>
      </c>
      <c r="N163" s="4">
        <v>1259354.3999999999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56635.55</v>
      </c>
      <c r="V163" s="7">
        <f t="shared" si="71"/>
        <v>4513.8150537634401</v>
      </c>
    </row>
    <row r="164" spans="1:22" ht="21.95" customHeight="1" x14ac:dyDescent="0.25">
      <c r="A164" s="1" t="s">
        <v>1740</v>
      </c>
      <c r="B164" s="9" t="s">
        <v>441</v>
      </c>
      <c r="C164" s="3">
        <f t="shared" si="72"/>
        <v>58699.22</v>
      </c>
      <c r="D164" s="4">
        <f t="shared" si="70"/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5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58699.22</v>
      </c>
      <c r="V164" s="7" t="e">
        <f t="shared" si="71"/>
        <v>#DIV/0!</v>
      </c>
    </row>
    <row r="165" spans="1:22" ht="21.95" customHeight="1" x14ac:dyDescent="0.25">
      <c r="A165" s="1" t="s">
        <v>1741</v>
      </c>
      <c r="B165" s="9" t="s">
        <v>442</v>
      </c>
      <c r="C165" s="3">
        <f t="shared" si="72"/>
        <v>44647.56</v>
      </c>
      <c r="D165" s="4">
        <f t="shared" si="70"/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5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44647.56</v>
      </c>
      <c r="V165" s="7" t="e">
        <f t="shared" si="71"/>
        <v>#DIV/0!</v>
      </c>
    </row>
    <row r="166" spans="1:22" ht="21.95" customHeight="1" x14ac:dyDescent="0.25">
      <c r="A166" s="1" t="s">
        <v>1742</v>
      </c>
      <c r="B166" s="9" t="s">
        <v>397</v>
      </c>
      <c r="C166" s="3">
        <f t="shared" si="72"/>
        <v>47629.84</v>
      </c>
      <c r="D166" s="4">
        <f t="shared" si="70"/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5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47629.84</v>
      </c>
      <c r="V166" s="7" t="e">
        <f t="shared" si="71"/>
        <v>#DIV/0!</v>
      </c>
    </row>
    <row r="167" spans="1:22" ht="21.95" customHeight="1" x14ac:dyDescent="0.25">
      <c r="A167" s="1" t="s">
        <v>1743</v>
      </c>
      <c r="B167" s="9" t="s">
        <v>684</v>
      </c>
      <c r="C167" s="3">
        <f t="shared" si="72"/>
        <v>46183.66</v>
      </c>
      <c r="D167" s="4">
        <f t="shared" si="70"/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5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46183.66</v>
      </c>
      <c r="V167" s="7" t="e">
        <f t="shared" si="71"/>
        <v>#DIV/0!</v>
      </c>
    </row>
    <row r="168" spans="1:22" ht="21.95" customHeight="1" x14ac:dyDescent="0.25">
      <c r="A168" s="1" t="s">
        <v>1744</v>
      </c>
      <c r="B168" s="9" t="s">
        <v>450</v>
      </c>
      <c r="C168" s="3">
        <f t="shared" si="72"/>
        <v>3468320</v>
      </c>
      <c r="D168" s="4">
        <f t="shared" si="70"/>
        <v>3269320</v>
      </c>
      <c r="E168" s="4">
        <f>350*1391.2</f>
        <v>486920</v>
      </c>
      <c r="F168" s="4">
        <f>800*1391.2</f>
        <v>1112960</v>
      </c>
      <c r="G168" s="4">
        <f>300*1391.2</f>
        <v>417360</v>
      </c>
      <c r="H168" s="4">
        <f>500*1391.2</f>
        <v>695600</v>
      </c>
      <c r="I168" s="4">
        <f>400*1391.2</f>
        <v>556480</v>
      </c>
      <c r="J168" s="4">
        <f>350*0</f>
        <v>0</v>
      </c>
      <c r="K168" s="5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199000</v>
      </c>
      <c r="V168" s="7" t="e">
        <f t="shared" si="71"/>
        <v>#DIV/0!</v>
      </c>
    </row>
    <row r="169" spans="1:22" ht="21.95" customHeight="1" x14ac:dyDescent="0.25">
      <c r="A169" s="1" t="s">
        <v>1745</v>
      </c>
      <c r="B169" s="9" t="s">
        <v>464</v>
      </c>
      <c r="C169" s="3">
        <f t="shared" si="72"/>
        <v>6417260</v>
      </c>
      <c r="D169" s="4">
        <f t="shared" si="70"/>
        <v>6217260</v>
      </c>
      <c r="E169" s="4">
        <f>350*5921.2</f>
        <v>2072420</v>
      </c>
      <c r="F169" s="4">
        <v>0</v>
      </c>
      <c r="G169" s="4">
        <f>300*5921.2</f>
        <v>1776360</v>
      </c>
      <c r="H169" s="4">
        <f>500*0</f>
        <v>0</v>
      </c>
      <c r="I169" s="4">
        <f>400*5921.2</f>
        <v>2368480</v>
      </c>
      <c r="J169" s="4">
        <f>350*0</f>
        <v>0</v>
      </c>
      <c r="K169" s="5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200000</v>
      </c>
      <c r="V169" s="7" t="e">
        <f t="shared" si="71"/>
        <v>#DIV/0!</v>
      </c>
    </row>
    <row r="170" spans="1:22" ht="21.95" customHeight="1" x14ac:dyDescent="0.25">
      <c r="A170" s="1" t="s">
        <v>1746</v>
      </c>
      <c r="B170" s="28" t="s">
        <v>388</v>
      </c>
      <c r="C170" s="3">
        <f t="shared" si="72"/>
        <v>18028356</v>
      </c>
      <c r="D170" s="4">
        <f t="shared" si="70"/>
        <v>17829356</v>
      </c>
      <c r="E170" s="4">
        <f>350*7586.96</f>
        <v>2655436</v>
      </c>
      <c r="F170" s="4">
        <f>800*7586.96</f>
        <v>6069568</v>
      </c>
      <c r="G170" s="4">
        <f>300*7586.96</f>
        <v>2276088</v>
      </c>
      <c r="H170" s="4">
        <f>500*7586.96</f>
        <v>3793480</v>
      </c>
      <c r="I170" s="4">
        <f>400*7586.96</f>
        <v>3034784</v>
      </c>
      <c r="J170" s="4">
        <f>350*0</f>
        <v>0</v>
      </c>
      <c r="K170" s="5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199000</v>
      </c>
      <c r="V170" s="7" t="e">
        <f t="shared" si="71"/>
        <v>#DIV/0!</v>
      </c>
    </row>
    <row r="171" spans="1:22" ht="21.95" customHeight="1" x14ac:dyDescent="0.25">
      <c r="A171" s="1" t="s">
        <v>1747</v>
      </c>
      <c r="B171" s="29" t="s">
        <v>1421</v>
      </c>
      <c r="C171" s="3">
        <f t="shared" si="72"/>
        <v>15841445.9</v>
      </c>
      <c r="D171" s="4">
        <f t="shared" si="70"/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5">
        <v>0</v>
      </c>
      <c r="L171" s="4">
        <v>0</v>
      </c>
      <c r="M171" s="4">
        <v>1337</v>
      </c>
      <c r="N171" s="4">
        <v>7086100</v>
      </c>
      <c r="O171" s="4">
        <v>0</v>
      </c>
      <c r="P171" s="4">
        <v>0</v>
      </c>
      <c r="Q171" s="4">
        <v>3066</v>
      </c>
      <c r="R171" s="4">
        <v>7986930</v>
      </c>
      <c r="S171" s="4">
        <v>0</v>
      </c>
      <c r="T171" s="4">
        <v>0</v>
      </c>
      <c r="U171" s="4">
        <v>768415.9</v>
      </c>
      <c r="V171" s="7">
        <f t="shared" si="71"/>
        <v>5300</v>
      </c>
    </row>
    <row r="172" spans="1:22" ht="21.95" customHeight="1" x14ac:dyDescent="0.25">
      <c r="A172" s="1" t="s">
        <v>1748</v>
      </c>
      <c r="B172" s="29" t="s">
        <v>1423</v>
      </c>
      <c r="C172" s="3">
        <f t="shared" si="72"/>
        <v>4233066</v>
      </c>
      <c r="D172" s="4">
        <f t="shared" si="70"/>
        <v>624195.6</v>
      </c>
      <c r="E172" s="4">
        <v>221836.79999999999</v>
      </c>
      <c r="F172" s="4">
        <v>306284.40000000002</v>
      </c>
      <c r="G172" s="4">
        <v>37188</v>
      </c>
      <c r="H172" s="4">
        <f>500*0</f>
        <v>0</v>
      </c>
      <c r="I172" s="4">
        <v>58886.400000000001</v>
      </c>
      <c r="J172" s="4">
        <f>350*0</f>
        <v>0</v>
      </c>
      <c r="K172" s="5">
        <v>0</v>
      </c>
      <c r="L172" s="4">
        <v>0</v>
      </c>
      <c r="M172" s="4">
        <v>361</v>
      </c>
      <c r="N172" s="4">
        <v>1912876.8</v>
      </c>
      <c r="O172" s="4">
        <v>0</v>
      </c>
      <c r="P172" s="4">
        <v>0</v>
      </c>
      <c r="Q172" s="4">
        <v>690</v>
      </c>
      <c r="R172" s="4">
        <v>1695993.6</v>
      </c>
      <c r="S172" s="4">
        <v>0</v>
      </c>
      <c r="T172" s="4">
        <v>0</v>
      </c>
      <c r="U172" s="4">
        <v>0</v>
      </c>
      <c r="V172" s="7">
        <f t="shared" si="71"/>
        <v>5298.8277008310251</v>
      </c>
    </row>
    <row r="173" spans="1:22" ht="21.95" customHeight="1" x14ac:dyDescent="0.25">
      <c r="A173" s="1" t="s">
        <v>1749</v>
      </c>
      <c r="B173" s="9" t="s">
        <v>390</v>
      </c>
      <c r="C173" s="3">
        <f t="shared" si="72"/>
        <v>9932239.5</v>
      </c>
      <c r="D173" s="4">
        <f t="shared" si="70"/>
        <v>9732239.5</v>
      </c>
      <c r="E173" s="4">
        <f>350*5260.67</f>
        <v>1841234.5</v>
      </c>
      <c r="F173" s="4">
        <f>800*5260.67</f>
        <v>4208536</v>
      </c>
      <c r="G173" s="4">
        <f>300*5260.67</f>
        <v>1578201</v>
      </c>
      <c r="H173" s="4">
        <f>500*0</f>
        <v>0</v>
      </c>
      <c r="I173" s="4">
        <f>400*5260.67</f>
        <v>2104268</v>
      </c>
      <c r="J173" s="4">
        <f>350*0</f>
        <v>0</v>
      </c>
      <c r="K173" s="5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200000</v>
      </c>
      <c r="V173" s="7" t="e">
        <f t="shared" si="71"/>
        <v>#DIV/0!</v>
      </c>
    </row>
    <row r="174" spans="1:22" ht="21.95" customHeight="1" x14ac:dyDescent="0.25">
      <c r="A174" s="1" t="s">
        <v>1750</v>
      </c>
      <c r="B174" s="28" t="s">
        <v>454</v>
      </c>
      <c r="C174" s="3">
        <f t="shared" si="72"/>
        <v>5449604.25</v>
      </c>
      <c r="D174" s="4">
        <f t="shared" si="70"/>
        <v>927864.56</v>
      </c>
      <c r="E174" s="4">
        <v>187077.11</v>
      </c>
      <c r="F174" s="4">
        <v>681547.14</v>
      </c>
      <c r="G174" s="4">
        <v>42658.04</v>
      </c>
      <c r="H174" s="4">
        <f>500*0</f>
        <v>0</v>
      </c>
      <c r="I174" s="4">
        <v>16582.27</v>
      </c>
      <c r="J174" s="4">
        <f>350*0</f>
        <v>0</v>
      </c>
      <c r="K174" s="5">
        <v>0</v>
      </c>
      <c r="L174" s="4">
        <v>0</v>
      </c>
      <c r="M174" s="4">
        <v>598.12</v>
      </c>
      <c r="N174" s="4">
        <v>2746654.91</v>
      </c>
      <c r="O174" s="4">
        <v>0</v>
      </c>
      <c r="P174" s="4">
        <v>0</v>
      </c>
      <c r="Q174" s="4">
        <v>808.91</v>
      </c>
      <c r="R174" s="4">
        <v>1576084.78</v>
      </c>
      <c r="S174" s="4">
        <v>0</v>
      </c>
      <c r="T174" s="4">
        <v>0</v>
      </c>
      <c r="U174" s="4">
        <v>199000</v>
      </c>
      <c r="V174" s="7">
        <f t="shared" si="71"/>
        <v>4592.1469103190002</v>
      </c>
    </row>
    <row r="175" spans="1:22" ht="21.95" customHeight="1" x14ac:dyDescent="0.25">
      <c r="A175" s="1" t="s">
        <v>1751</v>
      </c>
      <c r="B175" s="28" t="s">
        <v>430</v>
      </c>
      <c r="C175" s="3">
        <f t="shared" si="72"/>
        <v>57604.23</v>
      </c>
      <c r="D175" s="4">
        <f t="shared" si="70"/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5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57604.23</v>
      </c>
      <c r="V175" s="7" t="e">
        <f t="shared" si="71"/>
        <v>#DIV/0!</v>
      </c>
    </row>
    <row r="176" spans="1:22" ht="21.95" customHeight="1" x14ac:dyDescent="0.25">
      <c r="A176" s="1" t="s">
        <v>1752</v>
      </c>
      <c r="B176" s="28" t="s">
        <v>435</v>
      </c>
      <c r="C176" s="3">
        <f t="shared" si="72"/>
        <v>57288.18</v>
      </c>
      <c r="D176" s="4">
        <f t="shared" si="70"/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5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57288.18</v>
      </c>
      <c r="V176" s="7" t="e">
        <f t="shared" si="71"/>
        <v>#DIV/0!</v>
      </c>
    </row>
    <row r="177" spans="1:22" ht="21.95" customHeight="1" x14ac:dyDescent="0.25">
      <c r="A177" s="1" t="s">
        <v>1753</v>
      </c>
      <c r="B177" s="28" t="s">
        <v>465</v>
      </c>
      <c r="C177" s="3">
        <f t="shared" si="72"/>
        <v>47015.32</v>
      </c>
      <c r="D177" s="4">
        <f t="shared" si="70"/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5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47015.32</v>
      </c>
      <c r="V177" s="7" t="e">
        <f t="shared" si="71"/>
        <v>#DIV/0!</v>
      </c>
    </row>
    <row r="178" spans="1:22" ht="21.95" customHeight="1" x14ac:dyDescent="0.25">
      <c r="A178" s="1" t="s">
        <v>1754</v>
      </c>
      <c r="B178" s="9" t="s">
        <v>413</v>
      </c>
      <c r="C178" s="3">
        <f t="shared" si="72"/>
        <v>43169.63</v>
      </c>
      <c r="D178" s="4">
        <f t="shared" si="70"/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5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43169.63</v>
      </c>
      <c r="V178" s="7" t="e">
        <f t="shared" si="71"/>
        <v>#DIV/0!</v>
      </c>
    </row>
    <row r="179" spans="1:22" ht="21.95" customHeight="1" x14ac:dyDescent="0.25">
      <c r="A179" s="1" t="s">
        <v>1755</v>
      </c>
      <c r="B179" s="9" t="s">
        <v>414</v>
      </c>
      <c r="C179" s="3">
        <f t="shared" si="72"/>
        <v>44381.3</v>
      </c>
      <c r="D179" s="4">
        <f t="shared" si="70"/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5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44381.3</v>
      </c>
      <c r="V179" s="7" t="e">
        <f t="shared" si="71"/>
        <v>#DIV/0!</v>
      </c>
    </row>
    <row r="180" spans="1:22" ht="21.95" customHeight="1" x14ac:dyDescent="0.25">
      <c r="A180" s="1" t="s">
        <v>1756</v>
      </c>
      <c r="B180" s="9" t="s">
        <v>415</v>
      </c>
      <c r="C180" s="3">
        <f t="shared" si="72"/>
        <v>42168.68</v>
      </c>
      <c r="D180" s="4">
        <f t="shared" si="70"/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5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42168.68</v>
      </c>
      <c r="V180" s="7" t="e">
        <f t="shared" si="71"/>
        <v>#DIV/0!</v>
      </c>
    </row>
    <row r="181" spans="1:22" ht="21.95" customHeight="1" x14ac:dyDescent="0.25">
      <c r="A181" s="1" t="s">
        <v>1757</v>
      </c>
      <c r="B181" s="9" t="s">
        <v>412</v>
      </c>
      <c r="C181" s="3">
        <f t="shared" si="72"/>
        <v>44381.3</v>
      </c>
      <c r="D181" s="4">
        <f t="shared" si="70"/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5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44381.3</v>
      </c>
      <c r="V181" s="7" t="e">
        <f t="shared" si="71"/>
        <v>#DIV/0!</v>
      </c>
    </row>
    <row r="182" spans="1:22" ht="21.95" customHeight="1" x14ac:dyDescent="0.25">
      <c r="A182" s="1" t="s">
        <v>1758</v>
      </c>
      <c r="B182" s="9" t="s">
        <v>505</v>
      </c>
      <c r="C182" s="3">
        <f t="shared" si="72"/>
        <v>24442991.599999998</v>
      </c>
      <c r="D182" s="4">
        <f t="shared" si="70"/>
        <v>12208533.599999998</v>
      </c>
      <c r="E182" s="4">
        <v>2876661.6</v>
      </c>
      <c r="F182" s="4">
        <v>4556289.5999999996</v>
      </c>
      <c r="G182" s="4">
        <v>1168137.6000000001</v>
      </c>
      <c r="H182" s="4">
        <v>1347771.6</v>
      </c>
      <c r="I182" s="4">
        <v>2259673.2000000002</v>
      </c>
      <c r="J182" s="4">
        <f>350*0</f>
        <v>0</v>
      </c>
      <c r="K182" s="5">
        <v>0</v>
      </c>
      <c r="L182" s="4">
        <v>0</v>
      </c>
      <c r="M182" s="4">
        <v>1132.45</v>
      </c>
      <c r="N182" s="4">
        <v>3339720</v>
      </c>
      <c r="O182" s="4">
        <v>1012</v>
      </c>
      <c r="P182" s="4">
        <f>O182*1200</f>
        <v>1214400</v>
      </c>
      <c r="Q182" s="4">
        <v>3140</v>
      </c>
      <c r="R182" s="4">
        <v>7480338</v>
      </c>
      <c r="S182" s="4">
        <v>0</v>
      </c>
      <c r="T182" s="4">
        <v>0</v>
      </c>
      <c r="U182" s="4">
        <v>200000</v>
      </c>
      <c r="V182" s="7">
        <f t="shared" si="71"/>
        <v>2949.1103359971739</v>
      </c>
    </row>
    <row r="183" spans="1:22" ht="21.95" customHeight="1" x14ac:dyDescent="0.25">
      <c r="A183" s="1" t="s">
        <v>1759</v>
      </c>
      <c r="B183" s="29" t="s">
        <v>1439</v>
      </c>
      <c r="C183" s="3">
        <f t="shared" si="72"/>
        <v>1845974.65</v>
      </c>
      <c r="D183" s="4">
        <f t="shared" si="70"/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5">
        <v>0</v>
      </c>
      <c r="L183" s="4">
        <v>0</v>
      </c>
      <c r="M183" s="4">
        <v>343</v>
      </c>
      <c r="N183" s="4">
        <v>1595353.2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250621.45</v>
      </c>
      <c r="V183" s="7">
        <f t="shared" si="71"/>
        <v>4651.1755102040815</v>
      </c>
    </row>
    <row r="184" spans="1:22" ht="21.95" customHeight="1" x14ac:dyDescent="0.25">
      <c r="A184" s="1" t="s">
        <v>1760</v>
      </c>
      <c r="B184" s="9" t="s">
        <v>466</v>
      </c>
      <c r="C184" s="3">
        <f t="shared" si="72"/>
        <v>60640.68</v>
      </c>
      <c r="D184" s="4">
        <f t="shared" si="70"/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5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60640.68</v>
      </c>
      <c r="V184" s="7" t="e">
        <f t="shared" si="71"/>
        <v>#DIV/0!</v>
      </c>
    </row>
    <row r="185" spans="1:22" ht="21.95" customHeight="1" x14ac:dyDescent="0.25">
      <c r="A185" s="1" t="s">
        <v>1761</v>
      </c>
      <c r="B185" s="9" t="s">
        <v>455</v>
      </c>
      <c r="C185" s="3">
        <f t="shared" si="72"/>
        <v>30143875</v>
      </c>
      <c r="D185" s="4">
        <f t="shared" si="70"/>
        <v>29944875</v>
      </c>
      <c r="E185" s="4">
        <f>12742.5*350</f>
        <v>4459875</v>
      </c>
      <c r="F185" s="4">
        <f>12742.5*800</f>
        <v>10194000</v>
      </c>
      <c r="G185" s="4">
        <f>12742.5*300</f>
        <v>3822750</v>
      </c>
      <c r="H185" s="4">
        <f>12742.5*500</f>
        <v>6371250</v>
      </c>
      <c r="I185" s="4">
        <f>12742.5*400</f>
        <v>5097000</v>
      </c>
      <c r="J185" s="4">
        <f>0*350</f>
        <v>0</v>
      </c>
      <c r="K185" s="5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199000</v>
      </c>
      <c r="V185" s="7" t="e">
        <f t="shared" si="71"/>
        <v>#DIV/0!</v>
      </c>
    </row>
    <row r="186" spans="1:22" ht="21.95" customHeight="1" x14ac:dyDescent="0.25">
      <c r="A186" s="1" t="s">
        <v>1762</v>
      </c>
      <c r="B186" s="9" t="s">
        <v>407</v>
      </c>
      <c r="C186" s="3">
        <f t="shared" si="72"/>
        <v>886320</v>
      </c>
      <c r="D186" s="4">
        <f t="shared" si="70"/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5">
        <v>0</v>
      </c>
      <c r="L186" s="4">
        <v>0</v>
      </c>
      <c r="M186" s="4">
        <v>0</v>
      </c>
      <c r="N186" s="4">
        <v>0</v>
      </c>
      <c r="O186" s="4">
        <v>238.6</v>
      </c>
      <c r="P186" s="4">
        <v>286320</v>
      </c>
      <c r="Q186" s="4">
        <v>0</v>
      </c>
      <c r="R186" s="4">
        <v>0</v>
      </c>
      <c r="S186" s="4">
        <v>0</v>
      </c>
      <c r="T186" s="4">
        <v>0</v>
      </c>
      <c r="U186" s="4">
        <v>600000</v>
      </c>
      <c r="V186" s="7" t="e">
        <f t="shared" si="71"/>
        <v>#DIV/0!</v>
      </c>
    </row>
    <row r="187" spans="1:22" ht="21.95" customHeight="1" x14ac:dyDescent="0.25">
      <c r="A187" s="1" t="s">
        <v>1763</v>
      </c>
      <c r="B187" s="9" t="s">
        <v>444</v>
      </c>
      <c r="C187" s="3">
        <f t="shared" si="72"/>
        <v>2972060</v>
      </c>
      <c r="D187" s="4">
        <f t="shared" si="70"/>
        <v>2772060</v>
      </c>
      <c r="E187" s="4">
        <f>1179.6*350</f>
        <v>412859.99999999994</v>
      </c>
      <c r="F187" s="4">
        <f>1179.6*800</f>
        <v>943679.99999999988</v>
      </c>
      <c r="G187" s="4">
        <f>1179.6*300</f>
        <v>353880</v>
      </c>
      <c r="H187" s="4">
        <f>1179.6*500</f>
        <v>589800</v>
      </c>
      <c r="I187" s="4">
        <f>1179.6*400</f>
        <v>471839.99999999994</v>
      </c>
      <c r="J187" s="4">
        <f>0*350</f>
        <v>0</v>
      </c>
      <c r="K187" s="5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200000</v>
      </c>
      <c r="V187" s="7" t="e">
        <f t="shared" si="71"/>
        <v>#DIV/0!</v>
      </c>
    </row>
    <row r="188" spans="1:22" ht="21.95" customHeight="1" x14ac:dyDescent="0.25">
      <c r="A188" s="1" t="s">
        <v>1764</v>
      </c>
      <c r="B188" s="9" t="s">
        <v>436</v>
      </c>
      <c r="C188" s="3">
        <f t="shared" si="72"/>
        <v>6336320</v>
      </c>
      <c r="D188" s="4">
        <f t="shared" si="70"/>
        <v>6136320</v>
      </c>
      <c r="E188" s="4">
        <f>2611.2*350</f>
        <v>913919.99999999988</v>
      </c>
      <c r="F188" s="4">
        <f>2611.2*800</f>
        <v>2088959.9999999998</v>
      </c>
      <c r="G188" s="4">
        <f>2611.2*300</f>
        <v>783360</v>
      </c>
      <c r="H188" s="4">
        <f>2611.2*500</f>
        <v>1305600</v>
      </c>
      <c r="I188" s="4">
        <f>2611.2*400</f>
        <v>1044479.9999999999</v>
      </c>
      <c r="J188" s="4">
        <f>0*350</f>
        <v>0</v>
      </c>
      <c r="K188" s="5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200000</v>
      </c>
      <c r="V188" s="7" t="e">
        <f t="shared" si="71"/>
        <v>#DIV/0!</v>
      </c>
    </row>
    <row r="189" spans="1:22" ht="21.95" customHeight="1" x14ac:dyDescent="0.25">
      <c r="A189" s="1" t="s">
        <v>1765</v>
      </c>
      <c r="B189" s="9" t="s">
        <v>421</v>
      </c>
      <c r="C189" s="3">
        <f t="shared" si="72"/>
        <v>2549060</v>
      </c>
      <c r="D189" s="4">
        <f t="shared" si="70"/>
        <v>2349060</v>
      </c>
      <c r="E189" s="4">
        <f>999.6*350</f>
        <v>349860</v>
      </c>
      <c r="F189" s="4">
        <f>999.6*800</f>
        <v>799680</v>
      </c>
      <c r="G189" s="4">
        <f>999.6*300</f>
        <v>299880</v>
      </c>
      <c r="H189" s="4">
        <f>999.6*500</f>
        <v>499800</v>
      </c>
      <c r="I189" s="4">
        <f>999.6*400</f>
        <v>399840</v>
      </c>
      <c r="J189" s="4">
        <f>0*350</f>
        <v>0</v>
      </c>
      <c r="K189" s="5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200000</v>
      </c>
      <c r="V189" s="7" t="e">
        <f t="shared" si="71"/>
        <v>#DIV/0!</v>
      </c>
    </row>
    <row r="190" spans="1:22" ht="21.95" customHeight="1" x14ac:dyDescent="0.25">
      <c r="A190" s="1" t="s">
        <v>1766</v>
      </c>
      <c r="B190" s="9" t="s">
        <v>437</v>
      </c>
      <c r="C190" s="3">
        <f t="shared" si="72"/>
        <v>6295430</v>
      </c>
      <c r="D190" s="4">
        <f t="shared" si="70"/>
        <v>6095430</v>
      </c>
      <c r="E190" s="4">
        <f>2593.8*350</f>
        <v>907830.00000000012</v>
      </c>
      <c r="F190" s="4">
        <f>2593.8*800</f>
        <v>2075040.0000000002</v>
      </c>
      <c r="G190" s="4">
        <f>2593.8*300</f>
        <v>778140</v>
      </c>
      <c r="H190" s="4">
        <f>2593.8*500</f>
        <v>1296900</v>
      </c>
      <c r="I190" s="4">
        <f>2593.8*400</f>
        <v>1037520.0000000001</v>
      </c>
      <c r="J190" s="4">
        <f>0*350</f>
        <v>0</v>
      </c>
      <c r="K190" s="5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200000</v>
      </c>
      <c r="V190" s="7" t="e">
        <f t="shared" si="71"/>
        <v>#DIV/0!</v>
      </c>
    </row>
    <row r="191" spans="1:22" ht="21.95" customHeight="1" x14ac:dyDescent="0.25">
      <c r="A191" s="1" t="s">
        <v>1767</v>
      </c>
      <c r="B191" s="9" t="s">
        <v>443</v>
      </c>
      <c r="C191" s="3">
        <f t="shared" si="72"/>
        <v>2949970</v>
      </c>
      <c r="D191" s="4">
        <f t="shared" si="70"/>
        <v>2749970</v>
      </c>
      <c r="E191" s="4">
        <f>1170.2*350</f>
        <v>409570</v>
      </c>
      <c r="F191" s="4">
        <f>1170.2*800</f>
        <v>936160</v>
      </c>
      <c r="G191" s="4">
        <f>1170.2*300</f>
        <v>351060</v>
      </c>
      <c r="H191" s="4">
        <f>1170.2*500</f>
        <v>585100</v>
      </c>
      <c r="I191" s="4">
        <f>1170.2*400</f>
        <v>468080</v>
      </c>
      <c r="J191" s="4">
        <f>0*350</f>
        <v>0</v>
      </c>
      <c r="K191" s="5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200000</v>
      </c>
      <c r="V191" s="7" t="e">
        <f t="shared" si="71"/>
        <v>#DIV/0!</v>
      </c>
    </row>
    <row r="192" spans="1:22" ht="21.95" customHeight="1" x14ac:dyDescent="0.25">
      <c r="A192" s="1" t="s">
        <v>1768</v>
      </c>
      <c r="B192" s="9" t="s">
        <v>417</v>
      </c>
      <c r="C192" s="3">
        <f t="shared" si="72"/>
        <v>1070597</v>
      </c>
      <c r="D192" s="4">
        <f t="shared" si="70"/>
        <v>870597</v>
      </c>
      <c r="E192" s="4">
        <f>350*829.14</f>
        <v>290199</v>
      </c>
      <c r="F192" s="4">
        <v>0</v>
      </c>
      <c r="G192" s="4">
        <f>300*829.14</f>
        <v>248742</v>
      </c>
      <c r="H192" s="4">
        <f>500*0</f>
        <v>0</v>
      </c>
      <c r="I192" s="4">
        <f>400*829.14</f>
        <v>331656</v>
      </c>
      <c r="J192" s="4">
        <f>350*0</f>
        <v>0</v>
      </c>
      <c r="K192" s="5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200000</v>
      </c>
      <c r="V192" s="7" t="e">
        <f t="shared" si="71"/>
        <v>#DIV/0!</v>
      </c>
    </row>
    <row r="193" spans="1:22" ht="21.95" customHeight="1" x14ac:dyDescent="0.25">
      <c r="A193" s="1" t="s">
        <v>1769</v>
      </c>
      <c r="B193" s="9" t="s">
        <v>378</v>
      </c>
      <c r="C193" s="3">
        <f t="shared" si="72"/>
        <v>1339200</v>
      </c>
      <c r="D193" s="4">
        <f t="shared" si="70"/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5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739200</v>
      </c>
      <c r="T193" s="4">
        <v>0</v>
      </c>
      <c r="U193" s="4">
        <v>600000</v>
      </c>
      <c r="V193" s="7" t="e">
        <f t="shared" si="71"/>
        <v>#DIV/0!</v>
      </c>
    </row>
    <row r="194" spans="1:22" ht="21.95" customHeight="1" x14ac:dyDescent="0.25">
      <c r="A194" s="1" t="s">
        <v>1770</v>
      </c>
      <c r="B194" s="9" t="s">
        <v>480</v>
      </c>
      <c r="C194" s="3">
        <f t="shared" si="72"/>
        <v>6825610.0200000005</v>
      </c>
      <c r="D194" s="4">
        <f t="shared" si="70"/>
        <v>6632610.0200000005</v>
      </c>
      <c r="E194" s="4">
        <v>953371.75</v>
      </c>
      <c r="F194" s="4">
        <v>4865769.32</v>
      </c>
      <c r="G194" s="4">
        <v>274070.62</v>
      </c>
      <c r="H194" s="4">
        <v>439665.58</v>
      </c>
      <c r="I194" s="4">
        <v>99732.75</v>
      </c>
      <c r="J194" s="4">
        <f>350*0</f>
        <v>0</v>
      </c>
      <c r="K194" s="5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193000</v>
      </c>
      <c r="V194" s="7" t="e">
        <f t="shared" si="71"/>
        <v>#DIV/0!</v>
      </c>
    </row>
    <row r="195" spans="1:22" ht="21.95" customHeight="1" x14ac:dyDescent="0.25">
      <c r="A195" s="1" t="s">
        <v>1771</v>
      </c>
      <c r="B195" s="9" t="s">
        <v>422</v>
      </c>
      <c r="C195" s="3">
        <f t="shared" si="72"/>
        <v>1269900</v>
      </c>
      <c r="D195" s="4">
        <f t="shared" si="70"/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5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669900</v>
      </c>
      <c r="T195" s="4">
        <v>0</v>
      </c>
      <c r="U195" s="4">
        <v>600000</v>
      </c>
      <c r="V195" s="7" t="e">
        <f t="shared" si="71"/>
        <v>#DIV/0!</v>
      </c>
    </row>
    <row r="196" spans="1:22" ht="21.95" customHeight="1" x14ac:dyDescent="0.25">
      <c r="A196" s="1" t="s">
        <v>1772</v>
      </c>
      <c r="B196" s="9" t="s">
        <v>445</v>
      </c>
      <c r="C196" s="3">
        <f t="shared" si="72"/>
        <v>10277975</v>
      </c>
      <c r="D196" s="4">
        <f t="shared" si="70"/>
        <v>10077975</v>
      </c>
      <c r="E196" s="4">
        <f>350*4288.5</f>
        <v>1500975</v>
      </c>
      <c r="F196" s="4">
        <f>800*4288.5</f>
        <v>3430800</v>
      </c>
      <c r="G196" s="4">
        <f>300*4288.5</f>
        <v>1286550</v>
      </c>
      <c r="H196" s="4">
        <f>500*4288.5</f>
        <v>2144250</v>
      </c>
      <c r="I196" s="4">
        <f>400*4288.5</f>
        <v>1715400</v>
      </c>
      <c r="J196" s="4">
        <f>350*0</f>
        <v>0</v>
      </c>
      <c r="K196" s="5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200000</v>
      </c>
      <c r="V196" s="7" t="e">
        <f t="shared" si="71"/>
        <v>#DIV/0!</v>
      </c>
    </row>
    <row r="197" spans="1:22" ht="21.95" customHeight="1" x14ac:dyDescent="0.25">
      <c r="A197" s="1" t="s">
        <v>1773</v>
      </c>
      <c r="B197" s="9" t="s">
        <v>401</v>
      </c>
      <c r="C197" s="3">
        <f t="shared" si="72"/>
        <v>5952800</v>
      </c>
      <c r="D197" s="4">
        <f t="shared" si="70"/>
        <v>5752800</v>
      </c>
      <c r="E197" s="4">
        <f>350*2448</f>
        <v>856800</v>
      </c>
      <c r="F197" s="4">
        <f>800*2448</f>
        <v>1958400</v>
      </c>
      <c r="G197" s="4">
        <f>300*2448</f>
        <v>734400</v>
      </c>
      <c r="H197" s="4">
        <f>500*2448</f>
        <v>1224000</v>
      </c>
      <c r="I197" s="4">
        <f>400*2448</f>
        <v>979200</v>
      </c>
      <c r="J197" s="4">
        <f>350*0</f>
        <v>0</v>
      </c>
      <c r="K197" s="5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200000</v>
      </c>
      <c r="V197" s="7" t="e">
        <f t="shared" si="71"/>
        <v>#DIV/0!</v>
      </c>
    </row>
    <row r="198" spans="1:22" ht="21.95" customHeight="1" x14ac:dyDescent="0.25">
      <c r="A198" s="1" t="s">
        <v>1774</v>
      </c>
      <c r="B198" s="9" t="s">
        <v>402</v>
      </c>
      <c r="C198" s="3">
        <f t="shared" si="72"/>
        <v>200000</v>
      </c>
      <c r="D198" s="4">
        <f t="shared" ref="D198:D248" si="73">SUM(E198:J198)</f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f t="shared" ref="J198:J202" si="74">350*0</f>
        <v>0</v>
      </c>
      <c r="K198" s="5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200000</v>
      </c>
      <c r="V198" s="7" t="e">
        <f t="shared" ref="V198:V251" si="75">N198/M198</f>
        <v>#DIV/0!</v>
      </c>
    </row>
    <row r="199" spans="1:22" ht="21.95" customHeight="1" x14ac:dyDescent="0.25">
      <c r="A199" s="1" t="s">
        <v>1775</v>
      </c>
      <c r="B199" s="9" t="s">
        <v>383</v>
      </c>
      <c r="C199" s="3">
        <f t="shared" ref="C199:C249" si="76">D199+L199+N199+P199+R199+S199+T199+U199</f>
        <v>1194560</v>
      </c>
      <c r="D199" s="4">
        <f t="shared" si="73"/>
        <v>994560</v>
      </c>
      <c r="E199" s="4">
        <f>350*537.6</f>
        <v>188160</v>
      </c>
      <c r="F199" s="4">
        <f>800*537.6</f>
        <v>430080</v>
      </c>
      <c r="G199" s="4">
        <f>300*537.6</f>
        <v>161280</v>
      </c>
      <c r="H199" s="4">
        <f>500*0</f>
        <v>0</v>
      </c>
      <c r="I199" s="4">
        <f>400*537.6</f>
        <v>215040</v>
      </c>
      <c r="J199" s="4">
        <f t="shared" si="74"/>
        <v>0</v>
      </c>
      <c r="K199" s="5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200000</v>
      </c>
      <c r="V199" s="7" t="e">
        <f t="shared" si="75"/>
        <v>#DIV/0!</v>
      </c>
    </row>
    <row r="200" spans="1:22" ht="21.95" customHeight="1" x14ac:dyDescent="0.25">
      <c r="A200" s="1" t="s">
        <v>1776</v>
      </c>
      <c r="B200" s="9" t="s">
        <v>384</v>
      </c>
      <c r="C200" s="3">
        <f t="shared" si="76"/>
        <v>2013000</v>
      </c>
      <c r="D200" s="4">
        <f t="shared" si="73"/>
        <v>1813000</v>
      </c>
      <c r="E200" s="4">
        <f>350*980</f>
        <v>343000</v>
      </c>
      <c r="F200" s="4">
        <f>800*980</f>
        <v>784000</v>
      </c>
      <c r="G200" s="4">
        <f>300*980</f>
        <v>294000</v>
      </c>
      <c r="H200" s="4">
        <f>500*0</f>
        <v>0</v>
      </c>
      <c r="I200" s="4">
        <f>400*980</f>
        <v>392000</v>
      </c>
      <c r="J200" s="4">
        <f t="shared" si="74"/>
        <v>0</v>
      </c>
      <c r="K200" s="5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200000</v>
      </c>
      <c r="V200" s="7" t="e">
        <f t="shared" si="75"/>
        <v>#DIV/0!</v>
      </c>
    </row>
    <row r="201" spans="1:22" ht="21.95" customHeight="1" x14ac:dyDescent="0.25">
      <c r="A201" s="1" t="s">
        <v>1777</v>
      </c>
      <c r="B201" s="28" t="s">
        <v>446</v>
      </c>
      <c r="C201" s="3">
        <f t="shared" si="76"/>
        <v>17810900</v>
      </c>
      <c r="D201" s="4">
        <f t="shared" si="73"/>
        <v>17610900</v>
      </c>
      <c r="E201" s="4">
        <f>350*7494</f>
        <v>2622900</v>
      </c>
      <c r="F201" s="4">
        <f>800*7494</f>
        <v>5995200</v>
      </c>
      <c r="G201" s="4">
        <f>300*7494</f>
        <v>2248200</v>
      </c>
      <c r="H201" s="4">
        <f>500*7494</f>
        <v>3747000</v>
      </c>
      <c r="I201" s="4">
        <f>400*7494</f>
        <v>2997600</v>
      </c>
      <c r="J201" s="4">
        <f t="shared" si="74"/>
        <v>0</v>
      </c>
      <c r="K201" s="5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200000</v>
      </c>
      <c r="V201" s="7" t="e">
        <f t="shared" si="75"/>
        <v>#DIV/0!</v>
      </c>
    </row>
    <row r="202" spans="1:22" ht="21.95" customHeight="1" x14ac:dyDescent="0.25">
      <c r="A202" s="1" t="s">
        <v>1778</v>
      </c>
      <c r="B202" s="9" t="s">
        <v>416</v>
      </c>
      <c r="C202" s="3">
        <f t="shared" si="76"/>
        <v>7245065</v>
      </c>
      <c r="D202" s="4">
        <f t="shared" si="73"/>
        <v>7045065</v>
      </c>
      <c r="E202" s="4">
        <f>350*2997.9</f>
        <v>1049265</v>
      </c>
      <c r="F202" s="4">
        <f>800*2997.9</f>
        <v>2398320</v>
      </c>
      <c r="G202" s="4">
        <f>300*2997.9</f>
        <v>899370</v>
      </c>
      <c r="H202" s="4">
        <f>500*2997.9</f>
        <v>1498950</v>
      </c>
      <c r="I202" s="4">
        <f>400*2997.9</f>
        <v>1199160</v>
      </c>
      <c r="J202" s="4">
        <f t="shared" si="74"/>
        <v>0</v>
      </c>
      <c r="K202" s="5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200000</v>
      </c>
      <c r="V202" s="7" t="e">
        <f t="shared" si="75"/>
        <v>#DIV/0!</v>
      </c>
    </row>
    <row r="203" spans="1:22" ht="21.95" customHeight="1" x14ac:dyDescent="0.25">
      <c r="A203" s="1" t="s">
        <v>1779</v>
      </c>
      <c r="B203" s="9" t="s">
        <v>481</v>
      </c>
      <c r="C203" s="3">
        <f t="shared" si="76"/>
        <v>3724471.58</v>
      </c>
      <c r="D203" s="4">
        <f t="shared" si="73"/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5">
        <v>0</v>
      </c>
      <c r="L203" s="4">
        <v>0</v>
      </c>
      <c r="M203" s="4">
        <v>802.6</v>
      </c>
      <c r="N203" s="4">
        <v>3641665.2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82806.38</v>
      </c>
      <c r="V203" s="7">
        <f t="shared" si="75"/>
        <v>4537.3351607276354</v>
      </c>
    </row>
    <row r="204" spans="1:22" ht="21.95" customHeight="1" x14ac:dyDescent="0.25">
      <c r="A204" s="1" t="s">
        <v>1780</v>
      </c>
      <c r="B204" s="9" t="s">
        <v>467</v>
      </c>
      <c r="C204" s="3">
        <f t="shared" si="76"/>
        <v>62674.98</v>
      </c>
      <c r="D204" s="4">
        <f t="shared" si="73"/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5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62674.98</v>
      </c>
      <c r="V204" s="7" t="e">
        <f t="shared" si="75"/>
        <v>#DIV/0!</v>
      </c>
    </row>
    <row r="205" spans="1:22" ht="21.95" customHeight="1" x14ac:dyDescent="0.25">
      <c r="A205" s="1" t="s">
        <v>1781</v>
      </c>
      <c r="B205" s="9" t="s">
        <v>468</v>
      </c>
      <c r="C205" s="3">
        <f t="shared" si="76"/>
        <v>63754.32</v>
      </c>
      <c r="D205" s="4">
        <f t="shared" si="73"/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5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63754.32</v>
      </c>
      <c r="V205" s="7" t="e">
        <f t="shared" si="75"/>
        <v>#DIV/0!</v>
      </c>
    </row>
    <row r="206" spans="1:22" ht="21.95" customHeight="1" x14ac:dyDescent="0.25">
      <c r="A206" s="1" t="s">
        <v>1782</v>
      </c>
      <c r="B206" s="28" t="s">
        <v>451</v>
      </c>
      <c r="C206" s="3">
        <f t="shared" si="76"/>
        <v>4392186.8099999996</v>
      </c>
      <c r="D206" s="4">
        <f t="shared" si="73"/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5">
        <v>0</v>
      </c>
      <c r="L206" s="4">
        <v>0</v>
      </c>
      <c r="M206" s="4">
        <v>635</v>
      </c>
      <c r="N206" s="4">
        <v>2751054.57</v>
      </c>
      <c r="O206" s="4">
        <v>0</v>
      </c>
      <c r="P206" s="4">
        <v>0</v>
      </c>
      <c r="Q206" s="4">
        <v>630</v>
      </c>
      <c r="R206" s="4">
        <v>1641132.24</v>
      </c>
      <c r="S206" s="4">
        <v>0</v>
      </c>
      <c r="T206" s="4">
        <v>0</v>
      </c>
      <c r="U206" s="4">
        <v>0</v>
      </c>
      <c r="V206" s="7">
        <f t="shared" si="75"/>
        <v>4332.3694015748033</v>
      </c>
    </row>
    <row r="207" spans="1:22" ht="21.95" customHeight="1" x14ac:dyDescent="0.25">
      <c r="A207" s="1" t="s">
        <v>1783</v>
      </c>
      <c r="B207" s="9" t="s">
        <v>423</v>
      </c>
      <c r="C207" s="3">
        <f t="shared" si="76"/>
        <v>42590.11</v>
      </c>
      <c r="D207" s="4">
        <f t="shared" si="73"/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5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42590.11</v>
      </c>
      <c r="V207" s="7" t="e">
        <f t="shared" si="75"/>
        <v>#DIV/0!</v>
      </c>
    </row>
    <row r="208" spans="1:22" ht="21.95" customHeight="1" x14ac:dyDescent="0.25">
      <c r="A208" s="1" t="s">
        <v>1784</v>
      </c>
      <c r="B208" s="9" t="s">
        <v>482</v>
      </c>
      <c r="C208" s="3">
        <f t="shared" si="76"/>
        <v>6093095</v>
      </c>
      <c r="D208" s="4">
        <f t="shared" si="73"/>
        <v>5893095</v>
      </c>
      <c r="E208" s="4">
        <f>350*2507.7</f>
        <v>877694.99999999988</v>
      </c>
      <c r="F208" s="4">
        <f>800*2507.7</f>
        <v>2006159.9999999998</v>
      </c>
      <c r="G208" s="4">
        <f>300*2507.7</f>
        <v>752310</v>
      </c>
      <c r="H208" s="4">
        <f>500*2507.7</f>
        <v>1253850</v>
      </c>
      <c r="I208" s="4">
        <f>400*2507.7</f>
        <v>1003079.9999999999</v>
      </c>
      <c r="J208" s="4">
        <f>350*0</f>
        <v>0</v>
      </c>
      <c r="K208" s="5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200000</v>
      </c>
      <c r="V208" s="7" t="e">
        <f t="shared" si="75"/>
        <v>#DIV/0!</v>
      </c>
    </row>
    <row r="209" spans="1:22" ht="21.95" customHeight="1" x14ac:dyDescent="0.25">
      <c r="A209" s="1" t="s">
        <v>1785</v>
      </c>
      <c r="B209" s="9" t="s">
        <v>452</v>
      </c>
      <c r="C209" s="3">
        <f t="shared" si="76"/>
        <v>4615765.99</v>
      </c>
      <c r="D209" s="4">
        <f t="shared" si="73"/>
        <v>4401472.04</v>
      </c>
      <c r="E209" s="4">
        <v>507047.63</v>
      </c>
      <c r="F209" s="4">
        <v>3221456.17</v>
      </c>
      <c r="G209" s="4">
        <v>152878.56</v>
      </c>
      <c r="H209" s="4">
        <v>455538.46</v>
      </c>
      <c r="I209" s="4">
        <v>64551.22</v>
      </c>
      <c r="J209" s="4">
        <f>350*0</f>
        <v>0</v>
      </c>
      <c r="K209" s="5">
        <v>0</v>
      </c>
      <c r="L209" s="4">
        <v>0</v>
      </c>
      <c r="M209" s="4">
        <v>0</v>
      </c>
      <c r="N209" s="4">
        <v>0</v>
      </c>
      <c r="O209" s="4">
        <v>99</v>
      </c>
      <c r="P209" s="4">
        <v>15293.94</v>
      </c>
      <c r="Q209" s="4">
        <v>0</v>
      </c>
      <c r="R209" s="4">
        <v>0</v>
      </c>
      <c r="S209" s="4">
        <v>0</v>
      </c>
      <c r="T209" s="4">
        <v>0</v>
      </c>
      <c r="U209" s="4">
        <v>199000.01</v>
      </c>
      <c r="V209" s="7" t="e">
        <f t="shared" si="75"/>
        <v>#DIV/0!</v>
      </c>
    </row>
    <row r="210" spans="1:22" ht="21.95" customHeight="1" x14ac:dyDescent="0.25">
      <c r="A210" s="1" t="s">
        <v>1786</v>
      </c>
      <c r="B210" s="28" t="s">
        <v>483</v>
      </c>
      <c r="C210" s="3">
        <f t="shared" si="76"/>
        <v>5786822.2199999997</v>
      </c>
      <c r="D210" s="4">
        <f t="shared" si="73"/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5">
        <v>0</v>
      </c>
      <c r="L210" s="4">
        <v>0</v>
      </c>
      <c r="M210" s="4">
        <v>1104.19</v>
      </c>
      <c r="N210" s="4">
        <v>5648708.9299999997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138113.29</v>
      </c>
      <c r="V210" s="7">
        <f t="shared" si="75"/>
        <v>5115.7037556942187</v>
      </c>
    </row>
    <row r="211" spans="1:22" ht="21.95" customHeight="1" x14ac:dyDescent="0.25">
      <c r="A211" s="1" t="s">
        <v>1787</v>
      </c>
      <c r="B211" s="29" t="s">
        <v>1428</v>
      </c>
      <c r="C211" s="3">
        <f t="shared" si="76"/>
        <v>6865350</v>
      </c>
      <c r="D211" s="4">
        <f t="shared" si="73"/>
        <v>6865350</v>
      </c>
      <c r="E211" s="4">
        <f>350*3711</f>
        <v>1298850</v>
      </c>
      <c r="F211" s="4">
        <f>800*3711</f>
        <v>2968800</v>
      </c>
      <c r="G211" s="4">
        <f>300*3711</f>
        <v>1113300</v>
      </c>
      <c r="H211" s="4">
        <v>0</v>
      </c>
      <c r="I211" s="4">
        <f>400*3711</f>
        <v>1484400</v>
      </c>
      <c r="J211" s="4">
        <f>350*0</f>
        <v>0</v>
      </c>
      <c r="K211" s="5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6">
        <v>0</v>
      </c>
      <c r="S211" s="4">
        <v>0</v>
      </c>
      <c r="T211" s="4">
        <v>0</v>
      </c>
      <c r="U211" s="4">
        <v>0</v>
      </c>
      <c r="V211" s="7" t="e">
        <f t="shared" si="75"/>
        <v>#DIV/0!</v>
      </c>
    </row>
    <row r="212" spans="1:22" ht="21.95" customHeight="1" x14ac:dyDescent="0.25">
      <c r="A212" s="1" t="s">
        <v>1788</v>
      </c>
      <c r="B212" s="29" t="s">
        <v>1409</v>
      </c>
      <c r="C212" s="3">
        <f t="shared" si="76"/>
        <v>7192881.2000000002</v>
      </c>
      <c r="D212" s="4">
        <f t="shared" si="73"/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5">
        <v>0</v>
      </c>
      <c r="L212" s="4">
        <v>0</v>
      </c>
      <c r="M212" s="4">
        <v>553.39</v>
      </c>
      <c r="N212" s="4">
        <v>2932967</v>
      </c>
      <c r="O212" s="4">
        <v>0</v>
      </c>
      <c r="P212" s="4">
        <v>0</v>
      </c>
      <c r="Q212" s="4">
        <v>1400</v>
      </c>
      <c r="R212" s="6">
        <v>3647000</v>
      </c>
      <c r="S212" s="4">
        <v>0</v>
      </c>
      <c r="T212" s="4">
        <v>0</v>
      </c>
      <c r="U212" s="4">
        <v>612914.19999999995</v>
      </c>
      <c r="V212" s="7">
        <f t="shared" si="75"/>
        <v>5300</v>
      </c>
    </row>
    <row r="213" spans="1:22" ht="21.95" customHeight="1" x14ac:dyDescent="0.25">
      <c r="A213" s="1" t="s">
        <v>1789</v>
      </c>
      <c r="B213" s="28" t="s">
        <v>395</v>
      </c>
      <c r="C213" s="3">
        <f t="shared" si="76"/>
        <v>78903.490000000005</v>
      </c>
      <c r="D213" s="4">
        <f t="shared" si="73"/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5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78903.490000000005</v>
      </c>
      <c r="V213" s="7" t="e">
        <f t="shared" si="75"/>
        <v>#DIV/0!</v>
      </c>
    </row>
    <row r="214" spans="1:22" ht="21.95" customHeight="1" x14ac:dyDescent="0.25">
      <c r="A214" s="1" t="s">
        <v>1790</v>
      </c>
      <c r="B214" s="9" t="s">
        <v>389</v>
      </c>
      <c r="C214" s="3">
        <f t="shared" si="76"/>
        <v>65980.28</v>
      </c>
      <c r="D214" s="4">
        <f t="shared" si="73"/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5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65980.28</v>
      </c>
      <c r="V214" s="7" t="e">
        <f t="shared" si="75"/>
        <v>#DIV/0!</v>
      </c>
    </row>
    <row r="215" spans="1:22" ht="21.95" customHeight="1" x14ac:dyDescent="0.25">
      <c r="A215" s="1" t="s">
        <v>1791</v>
      </c>
      <c r="B215" s="29" t="s">
        <v>1416</v>
      </c>
      <c r="C215" s="3">
        <f t="shared" si="76"/>
        <v>3436200</v>
      </c>
      <c r="D215" s="4">
        <f t="shared" si="73"/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5">
        <v>0</v>
      </c>
      <c r="L215" s="4">
        <v>0</v>
      </c>
      <c r="M215" s="4">
        <v>554</v>
      </c>
      <c r="N215" s="4">
        <v>2936200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500000</v>
      </c>
      <c r="V215" s="7">
        <f t="shared" si="75"/>
        <v>5300</v>
      </c>
    </row>
    <row r="216" spans="1:22" ht="21.95" customHeight="1" x14ac:dyDescent="0.25">
      <c r="A216" s="1" t="s">
        <v>1792</v>
      </c>
      <c r="B216" s="9" t="s">
        <v>403</v>
      </c>
      <c r="C216" s="3">
        <f t="shared" si="76"/>
        <v>1954040</v>
      </c>
      <c r="D216" s="4">
        <f t="shared" si="73"/>
        <v>1754040</v>
      </c>
      <c r="E216" s="4">
        <f>350*746.4</f>
        <v>261240</v>
      </c>
      <c r="F216" s="4">
        <f>800*746.4</f>
        <v>597120</v>
      </c>
      <c r="G216" s="4">
        <f>300*746.4</f>
        <v>223920</v>
      </c>
      <c r="H216" s="4">
        <f>500*746.4</f>
        <v>373200</v>
      </c>
      <c r="I216" s="4">
        <f>400*746.4</f>
        <v>298560</v>
      </c>
      <c r="J216" s="4">
        <f>350*0</f>
        <v>0</v>
      </c>
      <c r="K216" s="5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200000</v>
      </c>
      <c r="V216" s="7" t="e">
        <f t="shared" si="75"/>
        <v>#DIV/0!</v>
      </c>
    </row>
    <row r="217" spans="1:22" ht="21.95" customHeight="1" x14ac:dyDescent="0.25">
      <c r="A217" s="1" t="s">
        <v>1793</v>
      </c>
      <c r="B217" s="9" t="s">
        <v>504</v>
      </c>
      <c r="C217" s="3">
        <f t="shared" si="76"/>
        <v>11697685.68</v>
      </c>
      <c r="D217" s="4">
        <f t="shared" si="73"/>
        <v>3548145.14</v>
      </c>
      <c r="E217" s="4">
        <v>511667.81</v>
      </c>
      <c r="F217" s="4">
        <v>2608011.42</v>
      </c>
      <c r="G217" s="4">
        <v>309700.71999999997</v>
      </c>
      <c r="H217" s="4">
        <f>500*0</f>
        <v>0</v>
      </c>
      <c r="I217" s="4">
        <v>118765.19</v>
      </c>
      <c r="J217" s="4">
        <f>350*0</f>
        <v>0</v>
      </c>
      <c r="K217" s="5">
        <v>0</v>
      </c>
      <c r="L217" s="4">
        <v>0</v>
      </c>
      <c r="M217" s="4">
        <v>857.62</v>
      </c>
      <c r="N217" s="4">
        <v>3957230.42</v>
      </c>
      <c r="O217" s="4">
        <v>0</v>
      </c>
      <c r="P217" s="4">
        <v>0</v>
      </c>
      <c r="Q217" s="4">
        <v>1750</v>
      </c>
      <c r="R217" s="4">
        <v>3993310.12</v>
      </c>
      <c r="S217" s="4">
        <v>0</v>
      </c>
      <c r="T217" s="4">
        <v>0</v>
      </c>
      <c r="U217" s="4">
        <v>199000</v>
      </c>
      <c r="V217" s="7">
        <f t="shared" si="75"/>
        <v>4614.2002518597983</v>
      </c>
    </row>
    <row r="218" spans="1:22" ht="21.95" customHeight="1" x14ac:dyDescent="0.25">
      <c r="A218" s="1" t="s">
        <v>1794</v>
      </c>
      <c r="B218" s="29" t="s">
        <v>1443</v>
      </c>
      <c r="C218" s="3">
        <f t="shared" si="76"/>
        <v>3130492.46</v>
      </c>
      <c r="D218" s="4">
        <f t="shared" si="73"/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5">
        <v>0</v>
      </c>
      <c r="L218" s="4">
        <v>0</v>
      </c>
      <c r="M218" s="4">
        <v>539</v>
      </c>
      <c r="N218" s="4">
        <v>2856700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273792.46000000002</v>
      </c>
      <c r="V218" s="7">
        <f t="shared" si="75"/>
        <v>5300</v>
      </c>
    </row>
    <row r="219" spans="1:22" ht="21.95" customHeight="1" x14ac:dyDescent="0.25">
      <c r="A219" s="1" t="s">
        <v>1795</v>
      </c>
      <c r="B219" s="9" t="s">
        <v>1426</v>
      </c>
      <c r="C219" s="3">
        <f t="shared" si="76"/>
        <v>367317.96</v>
      </c>
      <c r="D219" s="4">
        <f t="shared" si="73"/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f>350*0</f>
        <v>0</v>
      </c>
      <c r="K219" s="5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367317.96</v>
      </c>
      <c r="V219" s="7" t="e">
        <f t="shared" si="75"/>
        <v>#DIV/0!</v>
      </c>
    </row>
    <row r="220" spans="1:22" ht="21.95" customHeight="1" x14ac:dyDescent="0.25">
      <c r="A220" s="1" t="s">
        <v>1796</v>
      </c>
      <c r="B220" s="9" t="s">
        <v>1450</v>
      </c>
      <c r="C220" s="3">
        <f t="shared" si="76"/>
        <v>13956660.52</v>
      </c>
      <c r="D220" s="4">
        <f t="shared" si="73"/>
        <v>12664962</v>
      </c>
      <c r="E220" s="4">
        <v>0</v>
      </c>
      <c r="F220" s="4">
        <v>8827056</v>
      </c>
      <c r="G220" s="4">
        <v>1214772</v>
      </c>
      <c r="H220" s="4">
        <v>1713249.6</v>
      </c>
      <c r="I220" s="4">
        <v>909884.4</v>
      </c>
      <c r="J220" s="4">
        <f>350*0</f>
        <v>0</v>
      </c>
      <c r="K220" s="5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678303.6</v>
      </c>
      <c r="U220" s="4">
        <v>613394.92000000004</v>
      </c>
      <c r="V220" s="7" t="e">
        <f t="shared" si="75"/>
        <v>#DIV/0!</v>
      </c>
    </row>
    <row r="221" spans="1:22" ht="21.95" customHeight="1" x14ac:dyDescent="0.25">
      <c r="A221" s="1" t="s">
        <v>1797</v>
      </c>
      <c r="B221" s="9" t="s">
        <v>398</v>
      </c>
      <c r="C221" s="3">
        <f t="shared" si="76"/>
        <v>5685620</v>
      </c>
      <c r="D221" s="4">
        <f t="shared" si="73"/>
        <v>5485620</v>
      </c>
      <c r="E221" s="4">
        <f>350*2965.2</f>
        <v>1037819.9999999999</v>
      </c>
      <c r="F221" s="4">
        <f>800*2965.2</f>
        <v>2372160</v>
      </c>
      <c r="G221" s="4">
        <f>300*2965.2</f>
        <v>889560</v>
      </c>
      <c r="H221" s="4">
        <f>500*0</f>
        <v>0</v>
      </c>
      <c r="I221" s="4">
        <f>400*2965.2</f>
        <v>1186080</v>
      </c>
      <c r="J221" s="4">
        <f>350*0</f>
        <v>0</v>
      </c>
      <c r="K221" s="5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200000</v>
      </c>
      <c r="V221" s="7" t="e">
        <f t="shared" si="75"/>
        <v>#DIV/0!</v>
      </c>
    </row>
    <row r="222" spans="1:22" ht="21.95" customHeight="1" x14ac:dyDescent="0.25">
      <c r="A222" s="1" t="s">
        <v>1798</v>
      </c>
      <c r="B222" s="9" t="s">
        <v>392</v>
      </c>
      <c r="C222" s="3">
        <f t="shared" si="76"/>
        <v>3633350</v>
      </c>
      <c r="D222" s="4">
        <f t="shared" si="73"/>
        <v>3433350</v>
      </c>
      <c r="E222" s="4">
        <f>350*1461</f>
        <v>511350</v>
      </c>
      <c r="F222" s="4">
        <f>800*1461</f>
        <v>1168800</v>
      </c>
      <c r="G222" s="4">
        <f>300*1461</f>
        <v>438300</v>
      </c>
      <c r="H222" s="4">
        <f>500*1461</f>
        <v>730500</v>
      </c>
      <c r="I222" s="4">
        <f>400*1461</f>
        <v>584400</v>
      </c>
      <c r="J222" s="4">
        <f>350*0</f>
        <v>0</v>
      </c>
      <c r="K222" s="5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200000</v>
      </c>
      <c r="V222" s="7" t="e">
        <f t="shared" si="75"/>
        <v>#DIV/0!</v>
      </c>
    </row>
    <row r="223" spans="1:22" ht="21.95" customHeight="1" x14ac:dyDescent="0.25">
      <c r="A223" s="1" t="s">
        <v>1799</v>
      </c>
      <c r="B223" s="29" t="s">
        <v>1422</v>
      </c>
      <c r="C223" s="3">
        <f t="shared" si="76"/>
        <v>4548983.59</v>
      </c>
      <c r="D223" s="4">
        <f t="shared" si="73"/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5">
        <v>0</v>
      </c>
      <c r="L223" s="4">
        <v>0</v>
      </c>
      <c r="M223" s="4">
        <v>708</v>
      </c>
      <c r="N223" s="4">
        <v>2578309.27</v>
      </c>
      <c r="O223" s="4">
        <v>0</v>
      </c>
      <c r="P223" s="4">
        <v>0</v>
      </c>
      <c r="Q223" s="4">
        <v>1172</v>
      </c>
      <c r="R223" s="6">
        <v>1970674.32</v>
      </c>
      <c r="S223" s="4">
        <v>0</v>
      </c>
      <c r="T223" s="4">
        <v>0</v>
      </c>
      <c r="U223" s="4">
        <v>0</v>
      </c>
      <c r="V223" s="7">
        <f t="shared" si="75"/>
        <v>3641.6797598870057</v>
      </c>
    </row>
    <row r="224" spans="1:22" ht="21.95" customHeight="1" x14ac:dyDescent="0.25">
      <c r="A224" s="1" t="s">
        <v>1800</v>
      </c>
      <c r="B224" s="9" t="s">
        <v>507</v>
      </c>
      <c r="C224" s="3">
        <f t="shared" si="76"/>
        <v>4923318.2300000004</v>
      </c>
      <c r="D224" s="4">
        <f t="shared" si="73"/>
        <v>1218840</v>
      </c>
      <c r="E224" s="4">
        <f>350*3482.4</f>
        <v>1218840</v>
      </c>
      <c r="F224" s="4">
        <v>0</v>
      </c>
      <c r="G224" s="4">
        <v>0</v>
      </c>
      <c r="H224" s="4">
        <f>800*0</f>
        <v>0</v>
      </c>
      <c r="I224" s="4">
        <v>0</v>
      </c>
      <c r="J224" s="4">
        <f>800*0</f>
        <v>0</v>
      </c>
      <c r="K224" s="5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1915</v>
      </c>
      <c r="R224" s="4">
        <v>3506478.23</v>
      </c>
      <c r="S224" s="4">
        <v>0</v>
      </c>
      <c r="T224" s="4">
        <v>0</v>
      </c>
      <c r="U224" s="4">
        <v>198000</v>
      </c>
      <c r="V224" s="7" t="e">
        <f t="shared" si="75"/>
        <v>#DIV/0!</v>
      </c>
    </row>
    <row r="225" spans="1:22" ht="21.95" customHeight="1" x14ac:dyDescent="0.25">
      <c r="A225" s="1" t="s">
        <v>1801</v>
      </c>
      <c r="B225" s="9" t="s">
        <v>469</v>
      </c>
      <c r="C225" s="3">
        <f t="shared" si="76"/>
        <v>88998.29</v>
      </c>
      <c r="D225" s="4">
        <f t="shared" si="73"/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5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88998.29</v>
      </c>
      <c r="V225" s="7" t="e">
        <f t="shared" si="75"/>
        <v>#DIV/0!</v>
      </c>
    </row>
    <row r="226" spans="1:22" ht="21.95" customHeight="1" x14ac:dyDescent="0.25">
      <c r="A226" s="1" t="s">
        <v>1925</v>
      </c>
      <c r="B226" s="9" t="s">
        <v>1451</v>
      </c>
      <c r="C226" s="3">
        <f t="shared" si="76"/>
        <v>13168000</v>
      </c>
      <c r="D226" s="4">
        <f t="shared" si="73"/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12">
        <v>6</v>
      </c>
      <c r="L226" s="6">
        <f>K226*2150000</f>
        <v>12900000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268000</v>
      </c>
      <c r="V226" s="7" t="e">
        <f t="shared" si="75"/>
        <v>#DIV/0!</v>
      </c>
    </row>
    <row r="227" spans="1:22" ht="21.95" customHeight="1" x14ac:dyDescent="0.25">
      <c r="A227" s="1" t="s">
        <v>1802</v>
      </c>
      <c r="B227" s="9" t="s">
        <v>409</v>
      </c>
      <c r="C227" s="3">
        <f t="shared" si="76"/>
        <v>6910190</v>
      </c>
      <c r="D227" s="4">
        <f t="shared" si="73"/>
        <v>6710190</v>
      </c>
      <c r="E227" s="4">
        <f>350*2855.4</f>
        <v>999390</v>
      </c>
      <c r="F227" s="4">
        <f>800*2855.4</f>
        <v>2284320</v>
      </c>
      <c r="G227" s="4">
        <f>300*2855.4</f>
        <v>856620</v>
      </c>
      <c r="H227" s="4">
        <f>500*2855.4</f>
        <v>1427700</v>
      </c>
      <c r="I227" s="4">
        <f>400*2855.4</f>
        <v>1142160</v>
      </c>
      <c r="J227" s="4">
        <f>800*0</f>
        <v>0</v>
      </c>
      <c r="K227" s="5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200000</v>
      </c>
      <c r="V227" s="7" t="e">
        <f t="shared" si="75"/>
        <v>#DIV/0!</v>
      </c>
    </row>
    <row r="228" spans="1:22" ht="21.95" customHeight="1" x14ac:dyDescent="0.25">
      <c r="A228" s="1" t="s">
        <v>1803</v>
      </c>
      <c r="B228" s="9" t="s">
        <v>431</v>
      </c>
      <c r="C228" s="3">
        <f t="shared" si="76"/>
        <v>2561000</v>
      </c>
      <c r="D228" s="4">
        <f t="shared" si="73"/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5">
        <v>0</v>
      </c>
      <c r="L228" s="4">
        <v>0</v>
      </c>
      <c r="M228" s="4">
        <v>370</v>
      </c>
      <c r="N228" s="4">
        <v>1961000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600000</v>
      </c>
      <c r="V228" s="7">
        <f t="shared" si="75"/>
        <v>5300</v>
      </c>
    </row>
    <row r="229" spans="1:22" ht="21.95" customHeight="1" x14ac:dyDescent="0.25">
      <c r="A229" s="1" t="s">
        <v>1804</v>
      </c>
      <c r="B229" s="9" t="s">
        <v>418</v>
      </c>
      <c r="C229" s="3">
        <f t="shared" si="76"/>
        <v>4398980</v>
      </c>
      <c r="D229" s="4">
        <f t="shared" si="73"/>
        <v>4198980</v>
      </c>
      <c r="E229" s="4">
        <f>350*1786.8</f>
        <v>625380</v>
      </c>
      <c r="F229" s="4">
        <f>800*1786.8</f>
        <v>1429440</v>
      </c>
      <c r="G229" s="4">
        <f>300*1786.8</f>
        <v>536040</v>
      </c>
      <c r="H229" s="4">
        <f>500*1786.8</f>
        <v>893400</v>
      </c>
      <c r="I229" s="4">
        <f>400*1786.8</f>
        <v>714720</v>
      </c>
      <c r="J229" s="4">
        <f>800*0</f>
        <v>0</v>
      </c>
      <c r="K229" s="5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200000</v>
      </c>
      <c r="V229" s="7" t="e">
        <f t="shared" si="75"/>
        <v>#DIV/0!</v>
      </c>
    </row>
    <row r="230" spans="1:22" ht="21.95" customHeight="1" x14ac:dyDescent="0.25">
      <c r="A230" s="1" t="s">
        <v>1805</v>
      </c>
      <c r="B230" s="9" t="s">
        <v>408</v>
      </c>
      <c r="C230" s="3">
        <f t="shared" si="76"/>
        <v>4098000</v>
      </c>
      <c r="D230" s="4">
        <f t="shared" si="73"/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5">
        <v>0</v>
      </c>
      <c r="L230" s="4">
        <v>0</v>
      </c>
      <c r="M230" s="4">
        <v>660</v>
      </c>
      <c r="N230" s="4">
        <v>3498000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600000</v>
      </c>
      <c r="V230" s="7">
        <f t="shared" si="75"/>
        <v>5300</v>
      </c>
    </row>
    <row r="231" spans="1:22" ht="21.95" customHeight="1" x14ac:dyDescent="0.25">
      <c r="A231" s="1" t="s">
        <v>1806</v>
      </c>
      <c r="B231" s="29" t="s">
        <v>1410</v>
      </c>
      <c r="C231" s="3">
        <f t="shared" si="76"/>
        <v>6407339.5800000001</v>
      </c>
      <c r="D231" s="4">
        <f t="shared" si="73"/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5">
        <v>0</v>
      </c>
      <c r="L231" s="4">
        <v>0</v>
      </c>
      <c r="M231" s="4">
        <v>623.5</v>
      </c>
      <c r="N231" s="4">
        <v>3304550</v>
      </c>
      <c r="O231" s="4">
        <v>0</v>
      </c>
      <c r="P231" s="4">
        <v>0</v>
      </c>
      <c r="Q231" s="4">
        <v>980</v>
      </c>
      <c r="R231" s="6">
        <v>2552900</v>
      </c>
      <c r="S231" s="4">
        <v>0</v>
      </c>
      <c r="T231" s="4">
        <v>0</v>
      </c>
      <c r="U231" s="4">
        <v>549889.57999999996</v>
      </c>
      <c r="V231" s="7">
        <f t="shared" si="75"/>
        <v>5300</v>
      </c>
    </row>
    <row r="232" spans="1:22" ht="21.95" customHeight="1" x14ac:dyDescent="0.25">
      <c r="A232" s="1" t="s">
        <v>1807</v>
      </c>
      <c r="B232" s="9" t="s">
        <v>485</v>
      </c>
      <c r="C232" s="3">
        <f t="shared" si="76"/>
        <v>2317624.1</v>
      </c>
      <c r="D232" s="4">
        <f t="shared" si="73"/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5">
        <v>0</v>
      </c>
      <c r="L232" s="4">
        <v>0</v>
      </c>
      <c r="M232" s="4">
        <v>453</v>
      </c>
      <c r="N232" s="4">
        <v>2255097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62527.1</v>
      </c>
      <c r="V232" s="7">
        <f t="shared" si="75"/>
        <v>4978.1390728476817</v>
      </c>
    </row>
    <row r="233" spans="1:22" ht="21.95" customHeight="1" x14ac:dyDescent="0.25">
      <c r="A233" s="1" t="s">
        <v>1808</v>
      </c>
      <c r="B233" s="9" t="s">
        <v>509</v>
      </c>
      <c r="C233" s="3">
        <f t="shared" si="76"/>
        <v>4381715</v>
      </c>
      <c r="D233" s="4">
        <f t="shared" si="73"/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5">
        <v>0</v>
      </c>
      <c r="L233" s="4">
        <v>0</v>
      </c>
      <c r="M233" s="4">
        <v>472.2</v>
      </c>
      <c r="N233" s="4">
        <v>2502660</v>
      </c>
      <c r="O233" s="4">
        <v>0</v>
      </c>
      <c r="P233" s="4">
        <v>0</v>
      </c>
      <c r="Q233" s="4">
        <v>491</v>
      </c>
      <c r="R233" s="4">
        <v>1279055</v>
      </c>
      <c r="S233" s="4">
        <v>0</v>
      </c>
      <c r="T233" s="4">
        <v>0</v>
      </c>
      <c r="U233" s="4">
        <v>600000</v>
      </c>
      <c r="V233" s="7">
        <f t="shared" si="75"/>
        <v>5300</v>
      </c>
    </row>
    <row r="234" spans="1:22" ht="21.95" customHeight="1" x14ac:dyDescent="0.25">
      <c r="A234" s="1" t="s">
        <v>1809</v>
      </c>
      <c r="B234" s="9" t="s">
        <v>510</v>
      </c>
      <c r="C234" s="3">
        <f t="shared" si="76"/>
        <v>1834770</v>
      </c>
      <c r="D234" s="4">
        <f t="shared" si="73"/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5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474</v>
      </c>
      <c r="R234" s="4">
        <v>1234770</v>
      </c>
      <c r="S234" s="4">
        <v>0</v>
      </c>
      <c r="T234" s="4">
        <v>0</v>
      </c>
      <c r="U234" s="4">
        <v>600000</v>
      </c>
      <c r="V234" s="7" t="e">
        <f t="shared" si="75"/>
        <v>#DIV/0!</v>
      </c>
    </row>
    <row r="235" spans="1:22" ht="21.95" customHeight="1" x14ac:dyDescent="0.25">
      <c r="A235" s="1" t="s">
        <v>1810</v>
      </c>
      <c r="B235" s="9" t="s">
        <v>486</v>
      </c>
      <c r="C235" s="3">
        <f t="shared" si="76"/>
        <v>1057534.19</v>
      </c>
      <c r="D235" s="4">
        <f t="shared" si="73"/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5">
        <v>0</v>
      </c>
      <c r="L235" s="4">
        <v>0</v>
      </c>
      <c r="M235" s="4">
        <v>248.6</v>
      </c>
      <c r="N235" s="4">
        <v>1001101.08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56433.11</v>
      </c>
      <c r="V235" s="7">
        <f t="shared" si="75"/>
        <v>4026.9552695092516</v>
      </c>
    </row>
    <row r="236" spans="1:22" ht="21.95" customHeight="1" x14ac:dyDescent="0.25">
      <c r="A236" s="1" t="s">
        <v>1811</v>
      </c>
      <c r="B236" s="29" t="s">
        <v>1414</v>
      </c>
      <c r="C236" s="3">
        <f t="shared" si="76"/>
        <v>731420</v>
      </c>
      <c r="D236" s="4">
        <f t="shared" si="73"/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5">
        <v>0</v>
      </c>
      <c r="L236" s="4">
        <v>0</v>
      </c>
      <c r="M236" s="4">
        <v>0</v>
      </c>
      <c r="N236" s="4">
        <v>0</v>
      </c>
      <c r="O236" s="4">
        <v>110.2</v>
      </c>
      <c r="P236" s="4">
        <v>231420</v>
      </c>
      <c r="Q236" s="4">
        <v>0</v>
      </c>
      <c r="R236" s="4">
        <v>0</v>
      </c>
      <c r="S236" s="4">
        <v>0</v>
      </c>
      <c r="T236" s="4">
        <v>0</v>
      </c>
      <c r="U236" s="4">
        <v>500000</v>
      </c>
      <c r="V236" s="7" t="e">
        <f t="shared" si="75"/>
        <v>#DIV/0!</v>
      </c>
    </row>
    <row r="237" spans="1:22" ht="21.95" customHeight="1" x14ac:dyDescent="0.25">
      <c r="A237" s="1" t="s">
        <v>1812</v>
      </c>
      <c r="B237" s="9" t="s">
        <v>502</v>
      </c>
      <c r="C237" s="3">
        <f t="shared" si="76"/>
        <v>3327672.9299999997</v>
      </c>
      <c r="D237" s="4">
        <f t="shared" si="73"/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5">
        <v>0</v>
      </c>
      <c r="L237" s="4">
        <v>0</v>
      </c>
      <c r="M237" s="4">
        <v>692</v>
      </c>
      <c r="N237" s="4">
        <v>3259740.4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67932.53</v>
      </c>
      <c r="V237" s="7">
        <f t="shared" si="75"/>
        <v>4710.6075144508668</v>
      </c>
    </row>
    <row r="238" spans="1:22" ht="21.95" customHeight="1" x14ac:dyDescent="0.25">
      <c r="A238" s="1" t="s">
        <v>1813</v>
      </c>
      <c r="B238" s="9" t="s">
        <v>432</v>
      </c>
      <c r="C238" s="3">
        <f t="shared" si="76"/>
        <v>2462464.0900000003</v>
      </c>
      <c r="D238" s="4">
        <f t="shared" si="73"/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5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977.6</v>
      </c>
      <c r="R238" s="4">
        <v>2398059.4500000002</v>
      </c>
      <c r="S238" s="4">
        <v>0</v>
      </c>
      <c r="T238" s="4">
        <v>0</v>
      </c>
      <c r="U238" s="4">
        <v>64404.639999999999</v>
      </c>
      <c r="V238" s="7" t="e">
        <f t="shared" si="75"/>
        <v>#DIV/0!</v>
      </c>
    </row>
    <row r="239" spans="1:22" ht="21.95" customHeight="1" x14ac:dyDescent="0.25">
      <c r="A239" s="1" t="s">
        <v>1814</v>
      </c>
      <c r="B239" s="29" t="s">
        <v>1452</v>
      </c>
      <c r="C239" s="3">
        <f t="shared" si="76"/>
        <v>4417294.5199999996</v>
      </c>
      <c r="D239" s="4">
        <f t="shared" si="73"/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5">
        <v>2</v>
      </c>
      <c r="L239" s="4">
        <f>K239*2150000</f>
        <v>4300000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117294.52</v>
      </c>
      <c r="V239" s="7" t="e">
        <f t="shared" si="75"/>
        <v>#DIV/0!</v>
      </c>
    </row>
    <row r="240" spans="1:22" ht="21.95" customHeight="1" x14ac:dyDescent="0.25">
      <c r="A240" s="1" t="s">
        <v>1815</v>
      </c>
      <c r="B240" s="29" t="s">
        <v>1424</v>
      </c>
      <c r="C240" s="3">
        <f t="shared" si="76"/>
        <v>6843397.9299999997</v>
      </c>
      <c r="D240" s="4">
        <f t="shared" si="73"/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5">
        <v>0</v>
      </c>
      <c r="L240" s="4">
        <v>0</v>
      </c>
      <c r="M240" s="4">
        <v>456.13</v>
      </c>
      <c r="N240" s="4">
        <v>2417489</v>
      </c>
      <c r="O240" s="4">
        <v>0</v>
      </c>
      <c r="P240" s="4">
        <v>0</v>
      </c>
      <c r="Q240" s="4">
        <v>1359</v>
      </c>
      <c r="R240" s="4">
        <v>3540195</v>
      </c>
      <c r="S240" s="4">
        <v>237930</v>
      </c>
      <c r="T240" s="4">
        <v>0</v>
      </c>
      <c r="U240" s="4">
        <v>647783.93000000005</v>
      </c>
      <c r="V240" s="7">
        <f t="shared" si="75"/>
        <v>5300</v>
      </c>
    </row>
    <row r="241" spans="1:22" ht="21.95" customHeight="1" x14ac:dyDescent="0.25">
      <c r="A241" s="1" t="s">
        <v>1816</v>
      </c>
      <c r="B241" s="29" t="s">
        <v>1408</v>
      </c>
      <c r="C241" s="3">
        <f t="shared" si="76"/>
        <v>4427300</v>
      </c>
      <c r="D241" s="4">
        <f t="shared" si="73"/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5">
        <v>0</v>
      </c>
      <c r="L241" s="4">
        <v>0</v>
      </c>
      <c r="M241" s="4">
        <v>741</v>
      </c>
      <c r="N241" s="4">
        <v>3927300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500000</v>
      </c>
      <c r="V241" s="7">
        <f t="shared" si="75"/>
        <v>5300</v>
      </c>
    </row>
    <row r="242" spans="1:22" ht="21.95" customHeight="1" x14ac:dyDescent="0.25">
      <c r="A242" s="1" t="s">
        <v>1817</v>
      </c>
      <c r="B242" s="9" t="s">
        <v>419</v>
      </c>
      <c r="C242" s="3">
        <f t="shared" si="76"/>
        <v>58789.59</v>
      </c>
      <c r="D242" s="4">
        <f t="shared" si="73"/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5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58789.59</v>
      </c>
      <c r="V242" s="7" t="e">
        <f t="shared" si="75"/>
        <v>#DIV/0!</v>
      </c>
    </row>
    <row r="243" spans="1:22" ht="21.95" customHeight="1" x14ac:dyDescent="0.25">
      <c r="A243" s="1" t="s">
        <v>1818</v>
      </c>
      <c r="B243" s="9" t="s">
        <v>404</v>
      </c>
      <c r="C243" s="3">
        <f t="shared" si="76"/>
        <v>4794250</v>
      </c>
      <c r="D243" s="4">
        <f t="shared" si="73"/>
        <v>4594250</v>
      </c>
      <c r="E243" s="4">
        <f>350*1955</f>
        <v>684250</v>
      </c>
      <c r="F243" s="4">
        <f>800*1955</f>
        <v>1564000</v>
      </c>
      <c r="G243" s="4">
        <f>300*1955</f>
        <v>586500</v>
      </c>
      <c r="H243" s="4">
        <f>500*1955</f>
        <v>977500</v>
      </c>
      <c r="I243" s="4">
        <f>400*1955</f>
        <v>782000</v>
      </c>
      <c r="J243" s="4">
        <f>350*0</f>
        <v>0</v>
      </c>
      <c r="K243" s="5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200000</v>
      </c>
      <c r="V243" s="7" t="e">
        <f t="shared" si="75"/>
        <v>#DIV/0!</v>
      </c>
    </row>
    <row r="244" spans="1:22" ht="21.95" customHeight="1" x14ac:dyDescent="0.25">
      <c r="A244" s="1" t="s">
        <v>1819</v>
      </c>
      <c r="B244" s="9" t="s">
        <v>503</v>
      </c>
      <c r="C244" s="3">
        <f t="shared" si="76"/>
        <v>20198852.490000002</v>
      </c>
      <c r="D244" s="4">
        <f t="shared" si="73"/>
        <v>8290566.7300000004</v>
      </c>
      <c r="E244" s="4">
        <v>974647.2</v>
      </c>
      <c r="F244" s="4">
        <v>6257556</v>
      </c>
      <c r="G244" s="4">
        <v>328655.65999999997</v>
      </c>
      <c r="H244" s="4">
        <v>417570</v>
      </c>
      <c r="I244" s="4">
        <v>312137.87</v>
      </c>
      <c r="J244" s="4">
        <f>350*0</f>
        <v>0</v>
      </c>
      <c r="K244" s="5">
        <v>0</v>
      </c>
      <c r="L244" s="4">
        <v>0</v>
      </c>
      <c r="M244" s="4">
        <v>1093.4000000000001</v>
      </c>
      <c r="N244" s="4">
        <v>5292149.4800000004</v>
      </c>
      <c r="O244" s="4">
        <v>0</v>
      </c>
      <c r="P244" s="4">
        <v>0</v>
      </c>
      <c r="Q244" s="4">
        <v>3306</v>
      </c>
      <c r="R244" s="4">
        <v>6417136.2800000003</v>
      </c>
      <c r="S244" s="4">
        <v>0</v>
      </c>
      <c r="T244" s="4">
        <v>0</v>
      </c>
      <c r="U244" s="4">
        <v>199000</v>
      </c>
      <c r="V244" s="7">
        <f t="shared" si="75"/>
        <v>4840.0854947869029</v>
      </c>
    </row>
    <row r="245" spans="1:22" ht="21.95" customHeight="1" x14ac:dyDescent="0.25">
      <c r="A245" s="1" t="s">
        <v>1820</v>
      </c>
      <c r="B245" s="9" t="s">
        <v>831</v>
      </c>
      <c r="C245" s="3">
        <f t="shared" si="76"/>
        <v>27862403.030000001</v>
      </c>
      <c r="D245" s="4">
        <f t="shared" si="73"/>
        <v>12969180</v>
      </c>
      <c r="E245" s="4">
        <f>350*5518.8</f>
        <v>1931580</v>
      </c>
      <c r="F245" s="4">
        <f>800*5518.8</f>
        <v>4415040</v>
      </c>
      <c r="G245" s="4">
        <f>300*5518.8</f>
        <v>1655640</v>
      </c>
      <c r="H245" s="4">
        <f>500*5518.8</f>
        <v>2759400</v>
      </c>
      <c r="I245" s="4">
        <f>400*5518.8</f>
        <v>2207520</v>
      </c>
      <c r="J245" s="4">
        <f>350*0</f>
        <v>0</v>
      </c>
      <c r="K245" s="5">
        <v>2</v>
      </c>
      <c r="L245" s="4">
        <v>3467713.03</v>
      </c>
      <c r="M245" s="6">
        <v>613.20000000000005</v>
      </c>
      <c r="N245" s="6">
        <v>2023560</v>
      </c>
      <c r="O245" s="4">
        <v>819.8</v>
      </c>
      <c r="P245" s="4">
        <v>983760</v>
      </c>
      <c r="Q245" s="4">
        <v>3078</v>
      </c>
      <c r="R245" s="4">
        <v>8018190</v>
      </c>
      <c r="S245" s="4">
        <v>0</v>
      </c>
      <c r="T245" s="4">
        <v>0</v>
      </c>
      <c r="U245" s="4">
        <v>400000</v>
      </c>
      <c r="V245" s="7">
        <f t="shared" si="75"/>
        <v>3299.9999999999995</v>
      </c>
    </row>
    <row r="246" spans="1:22" ht="21.95" customHeight="1" x14ac:dyDescent="0.25">
      <c r="A246" s="1" t="s">
        <v>1821</v>
      </c>
      <c r="B246" s="9" t="s">
        <v>411</v>
      </c>
      <c r="C246" s="3">
        <f t="shared" si="76"/>
        <v>2281426.62</v>
      </c>
      <c r="D246" s="4">
        <f t="shared" si="73"/>
        <v>0</v>
      </c>
      <c r="E246" s="4">
        <v>0</v>
      </c>
      <c r="F246" s="4">
        <v>0</v>
      </c>
      <c r="G246" s="4">
        <v>0</v>
      </c>
      <c r="H246" s="4">
        <f>800*0</f>
        <v>0</v>
      </c>
      <c r="I246" s="4">
        <v>0</v>
      </c>
      <c r="J246" s="4">
        <f>800*0</f>
        <v>0</v>
      </c>
      <c r="K246" s="5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750</v>
      </c>
      <c r="R246" s="4">
        <v>2250000</v>
      </c>
      <c r="S246" s="4">
        <v>0</v>
      </c>
      <c r="T246" s="4">
        <v>0</v>
      </c>
      <c r="U246" s="4">
        <v>31426.62</v>
      </c>
      <c r="V246" s="7" t="e">
        <f t="shared" si="75"/>
        <v>#DIV/0!</v>
      </c>
    </row>
    <row r="247" spans="1:22" ht="21.95" customHeight="1" x14ac:dyDescent="0.25">
      <c r="A247" s="1" t="s">
        <v>1822</v>
      </c>
      <c r="B247" s="9" t="s">
        <v>379</v>
      </c>
      <c r="C247" s="3">
        <f t="shared" si="76"/>
        <v>6378060</v>
      </c>
      <c r="D247" s="4">
        <f t="shared" si="73"/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5">
        <v>0</v>
      </c>
      <c r="L247" s="4">
        <v>0</v>
      </c>
      <c r="M247" s="4">
        <v>1090.2</v>
      </c>
      <c r="N247" s="4">
        <v>5778060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600000</v>
      </c>
      <c r="V247" s="7">
        <f t="shared" si="75"/>
        <v>5300</v>
      </c>
    </row>
    <row r="248" spans="1:22" ht="21.95" customHeight="1" x14ac:dyDescent="0.25">
      <c r="A248" s="1" t="s">
        <v>1823</v>
      </c>
      <c r="B248" s="29" t="s">
        <v>1401</v>
      </c>
      <c r="C248" s="3">
        <f t="shared" si="76"/>
        <v>4056177.6</v>
      </c>
      <c r="D248" s="4">
        <f t="shared" si="73"/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5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1410</v>
      </c>
      <c r="R248" s="4">
        <v>4056177.6</v>
      </c>
      <c r="S248" s="4">
        <v>0</v>
      </c>
      <c r="T248" s="4">
        <v>0</v>
      </c>
      <c r="U248" s="4">
        <v>0</v>
      </c>
      <c r="V248" s="7" t="e">
        <f t="shared" si="75"/>
        <v>#DIV/0!</v>
      </c>
    </row>
    <row r="249" spans="1:22" ht="21.95" customHeight="1" x14ac:dyDescent="0.25">
      <c r="A249" s="1" t="s">
        <v>1824</v>
      </c>
      <c r="B249" s="29" t="s">
        <v>1427</v>
      </c>
      <c r="C249" s="3">
        <f t="shared" si="76"/>
        <v>3368829.6</v>
      </c>
      <c r="D249" s="4">
        <f t="shared" ref="D249:D284" si="77">SUM(E249:J249)</f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5">
        <v>0</v>
      </c>
      <c r="L249" s="4">
        <v>0</v>
      </c>
      <c r="M249" s="4">
        <v>1546.91</v>
      </c>
      <c r="N249" s="4">
        <v>3368829.6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7">
        <f t="shared" si="75"/>
        <v>2177.779961342289</v>
      </c>
    </row>
    <row r="250" spans="1:22" ht="21.95" customHeight="1" x14ac:dyDescent="0.25">
      <c r="A250" s="1" t="s">
        <v>1825</v>
      </c>
      <c r="B250" s="29" t="s">
        <v>1425</v>
      </c>
      <c r="C250" s="3">
        <f t="shared" ref="C250:C308" si="78">D250+L250+N250+P250+R250+S250+T250+U250</f>
        <v>4094363</v>
      </c>
      <c r="D250" s="4">
        <f t="shared" si="77"/>
        <v>4094363</v>
      </c>
      <c r="E250" s="4">
        <v>447033</v>
      </c>
      <c r="F250" s="4">
        <v>3235522</v>
      </c>
      <c r="G250" s="4">
        <v>116023</v>
      </c>
      <c r="H250" s="4">
        <v>249586</v>
      </c>
      <c r="I250" s="4">
        <v>46199</v>
      </c>
      <c r="J250" s="4">
        <f>350*0</f>
        <v>0</v>
      </c>
      <c r="K250" s="5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7" t="e">
        <f t="shared" si="75"/>
        <v>#DIV/0!</v>
      </c>
    </row>
    <row r="251" spans="1:22" ht="21.95" customHeight="1" x14ac:dyDescent="0.25">
      <c r="A251" s="1" t="s">
        <v>1826</v>
      </c>
      <c r="B251" s="29" t="s">
        <v>1407</v>
      </c>
      <c r="C251" s="3">
        <f t="shared" si="78"/>
        <v>2154607</v>
      </c>
      <c r="D251" s="4">
        <f t="shared" si="77"/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5">
        <v>0</v>
      </c>
      <c r="L251" s="4">
        <v>0</v>
      </c>
      <c r="M251" s="4">
        <v>312.19</v>
      </c>
      <c r="N251" s="4">
        <v>1654607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500000</v>
      </c>
      <c r="V251" s="7">
        <f t="shared" si="75"/>
        <v>5300</v>
      </c>
    </row>
    <row r="252" spans="1:22" ht="21.95" customHeight="1" x14ac:dyDescent="0.25">
      <c r="A252" s="1" t="s">
        <v>1827</v>
      </c>
      <c r="B252" s="9" t="s">
        <v>447</v>
      </c>
      <c r="C252" s="3">
        <f t="shared" si="78"/>
        <v>348235.48</v>
      </c>
      <c r="D252" s="4">
        <f t="shared" si="77"/>
        <v>300825</v>
      </c>
      <c r="E252" s="4">
        <f>350*859.5</f>
        <v>300825</v>
      </c>
      <c r="F252" s="4">
        <f>800*0</f>
        <v>0</v>
      </c>
      <c r="G252" s="4">
        <v>0</v>
      </c>
      <c r="H252" s="4">
        <f>500*0</f>
        <v>0</v>
      </c>
      <c r="I252" s="4">
        <v>0</v>
      </c>
      <c r="J252" s="4">
        <f>800*0</f>
        <v>0</v>
      </c>
      <c r="K252" s="5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47410.48</v>
      </c>
      <c r="V252" s="7" t="e">
        <f t="shared" ref="V252:V284" si="79">N252/M252</f>
        <v>#DIV/0!</v>
      </c>
    </row>
    <row r="253" spans="1:22" ht="21.95" customHeight="1" x14ac:dyDescent="0.25">
      <c r="A253" s="1" t="s">
        <v>1828</v>
      </c>
      <c r="B253" s="9" t="s">
        <v>453</v>
      </c>
      <c r="C253" s="3">
        <f t="shared" si="78"/>
        <v>1100401.56</v>
      </c>
      <c r="D253" s="4">
        <f t="shared" si="77"/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5">
        <v>0</v>
      </c>
      <c r="L253" s="4">
        <v>0</v>
      </c>
      <c r="M253" s="4">
        <v>260</v>
      </c>
      <c r="N253" s="4">
        <v>1045252.48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55149.08</v>
      </c>
      <c r="V253" s="7">
        <f t="shared" si="79"/>
        <v>4020.201846153846</v>
      </c>
    </row>
    <row r="254" spans="1:22" ht="21.95" customHeight="1" x14ac:dyDescent="0.25">
      <c r="A254" s="1" t="s">
        <v>1829</v>
      </c>
      <c r="B254" s="9" t="s">
        <v>457</v>
      </c>
      <c r="C254" s="3">
        <f t="shared" si="78"/>
        <v>3899458.51</v>
      </c>
      <c r="D254" s="4">
        <f t="shared" si="77"/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5">
        <v>0</v>
      </c>
      <c r="L254" s="4">
        <v>0</v>
      </c>
      <c r="M254" s="4">
        <v>717</v>
      </c>
      <c r="N254" s="4">
        <f>M254*5300</f>
        <v>3800100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99358.51</v>
      </c>
      <c r="V254" s="7">
        <f t="shared" si="79"/>
        <v>5300</v>
      </c>
    </row>
    <row r="255" spans="1:22" ht="21.95" customHeight="1" x14ac:dyDescent="0.25">
      <c r="A255" s="1" t="s">
        <v>1830</v>
      </c>
      <c r="B255" s="29" t="s">
        <v>1417</v>
      </c>
      <c r="C255" s="3">
        <f t="shared" si="78"/>
        <v>4157000</v>
      </c>
      <c r="D255" s="4">
        <f t="shared" si="77"/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5">
        <v>0</v>
      </c>
      <c r="L255" s="4">
        <v>0</v>
      </c>
      <c r="M255" s="4">
        <v>690</v>
      </c>
      <c r="N255" s="4">
        <v>3657000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500000</v>
      </c>
      <c r="V255" s="7">
        <f t="shared" si="79"/>
        <v>5300</v>
      </c>
    </row>
    <row r="256" spans="1:22" ht="21.95" customHeight="1" x14ac:dyDescent="0.25">
      <c r="A256" s="1" t="s">
        <v>1831</v>
      </c>
      <c r="B256" s="9" t="s">
        <v>438</v>
      </c>
      <c r="C256" s="3">
        <f t="shared" si="78"/>
        <v>104881.83</v>
      </c>
      <c r="D256" s="4">
        <f t="shared" si="77"/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5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104881.83</v>
      </c>
      <c r="V256" s="7" t="e">
        <f t="shared" si="79"/>
        <v>#DIV/0!</v>
      </c>
    </row>
    <row r="257" spans="1:22" ht="21.95" customHeight="1" x14ac:dyDescent="0.25">
      <c r="A257" s="1" t="s">
        <v>1832</v>
      </c>
      <c r="B257" s="28" t="s">
        <v>458</v>
      </c>
      <c r="C257" s="3">
        <f t="shared" si="78"/>
        <v>6300908.5499999998</v>
      </c>
      <c r="D257" s="4">
        <f t="shared" si="77"/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5">
        <v>0</v>
      </c>
      <c r="L257" s="4">
        <v>0</v>
      </c>
      <c r="M257" s="4">
        <v>1168.2</v>
      </c>
      <c r="N257" s="4">
        <v>6191460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109448.55</v>
      </c>
      <c r="V257" s="7">
        <f t="shared" si="79"/>
        <v>5300</v>
      </c>
    </row>
    <row r="258" spans="1:22" ht="21.95" customHeight="1" x14ac:dyDescent="0.25">
      <c r="A258" s="1" t="s">
        <v>1833</v>
      </c>
      <c r="B258" s="9" t="s">
        <v>487</v>
      </c>
      <c r="C258" s="3">
        <f t="shared" si="78"/>
        <v>3600310.75</v>
      </c>
      <c r="D258" s="4">
        <f t="shared" si="77"/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5">
        <v>0</v>
      </c>
      <c r="L258" s="4">
        <v>0</v>
      </c>
      <c r="M258" s="4">
        <v>687.8</v>
      </c>
      <c r="N258" s="4">
        <v>3509120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91190.75</v>
      </c>
      <c r="V258" s="7">
        <f t="shared" si="79"/>
        <v>5101.9482407676651</v>
      </c>
    </row>
    <row r="259" spans="1:22" ht="21.95" customHeight="1" x14ac:dyDescent="0.25">
      <c r="A259" s="1" t="s">
        <v>1834</v>
      </c>
      <c r="B259" s="29" t="s">
        <v>1418</v>
      </c>
      <c r="C259" s="3">
        <f t="shared" si="78"/>
        <v>14152358.279999999</v>
      </c>
      <c r="D259" s="4">
        <f t="shared" si="77"/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5">
        <v>0</v>
      </c>
      <c r="L259" s="4">
        <v>0</v>
      </c>
      <c r="M259" s="4">
        <v>1081</v>
      </c>
      <c r="N259" s="4">
        <v>5729300</v>
      </c>
      <c r="O259" s="4">
        <v>0</v>
      </c>
      <c r="P259" s="4">
        <v>0</v>
      </c>
      <c r="Q259" s="4">
        <v>2900</v>
      </c>
      <c r="R259" s="4">
        <v>7554500</v>
      </c>
      <c r="S259" s="4">
        <v>0</v>
      </c>
      <c r="T259" s="4">
        <v>0</v>
      </c>
      <c r="U259" s="4">
        <v>868558.28</v>
      </c>
      <c r="V259" s="7">
        <f t="shared" si="79"/>
        <v>5300</v>
      </c>
    </row>
    <row r="260" spans="1:22" ht="21.95" customHeight="1" x14ac:dyDescent="0.25">
      <c r="A260" s="1" t="s">
        <v>1835</v>
      </c>
      <c r="B260" s="9" t="s">
        <v>386</v>
      </c>
      <c r="C260" s="3">
        <f t="shared" si="78"/>
        <v>24394094.739999998</v>
      </c>
      <c r="D260" s="4">
        <f t="shared" si="77"/>
        <v>8565750</v>
      </c>
      <c r="E260" s="4">
        <f>350*3645</f>
        <v>1275750</v>
      </c>
      <c r="F260" s="4">
        <f>800*3645</f>
        <v>2916000</v>
      </c>
      <c r="G260" s="4">
        <f>300*3645</f>
        <v>1093500</v>
      </c>
      <c r="H260" s="4">
        <f>500*3645</f>
        <v>1822500</v>
      </c>
      <c r="I260" s="4">
        <f>400*3645</f>
        <v>1458000</v>
      </c>
      <c r="J260" s="4">
        <f>350*0</f>
        <v>0</v>
      </c>
      <c r="K260" s="5">
        <v>0</v>
      </c>
      <c r="L260" s="4">
        <v>0</v>
      </c>
      <c r="M260" s="4">
        <v>1296</v>
      </c>
      <c r="N260" s="4">
        <v>6868800</v>
      </c>
      <c r="O260" s="4">
        <v>0</v>
      </c>
      <c r="P260" s="4">
        <v>0</v>
      </c>
      <c r="Q260" s="4">
        <v>3020</v>
      </c>
      <c r="R260" s="4">
        <v>7867100</v>
      </c>
      <c r="S260" s="4">
        <v>0</v>
      </c>
      <c r="T260" s="4">
        <v>0</v>
      </c>
      <c r="U260" s="4">
        <v>1092444.74</v>
      </c>
      <c r="V260" s="7">
        <f t="shared" si="79"/>
        <v>5300</v>
      </c>
    </row>
    <row r="261" spans="1:22" ht="21.95" customHeight="1" x14ac:dyDescent="0.25">
      <c r="A261" s="1" t="s">
        <v>1836</v>
      </c>
      <c r="B261" s="29" t="s">
        <v>1419</v>
      </c>
      <c r="C261" s="3">
        <f t="shared" si="78"/>
        <v>9848688.5999999996</v>
      </c>
      <c r="D261" s="4">
        <f t="shared" si="77"/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5">
        <v>0</v>
      </c>
      <c r="L261" s="4">
        <v>0</v>
      </c>
      <c r="M261" s="4">
        <v>637</v>
      </c>
      <c r="N261" s="4">
        <v>3376100</v>
      </c>
      <c r="O261" s="4">
        <v>0</v>
      </c>
      <c r="P261" s="4">
        <v>0</v>
      </c>
      <c r="Q261" s="4">
        <v>2200</v>
      </c>
      <c r="R261" s="4">
        <v>5731000</v>
      </c>
      <c r="S261" s="4">
        <v>0</v>
      </c>
      <c r="T261" s="4">
        <v>0</v>
      </c>
      <c r="U261" s="4">
        <v>741588.6</v>
      </c>
      <c r="V261" s="7">
        <f t="shared" si="79"/>
        <v>5300</v>
      </c>
    </row>
    <row r="262" spans="1:22" ht="21.95" customHeight="1" x14ac:dyDescent="0.25">
      <c r="A262" s="1" t="s">
        <v>1837</v>
      </c>
      <c r="B262" s="28" t="s">
        <v>393</v>
      </c>
      <c r="C262" s="3">
        <f t="shared" si="78"/>
        <v>675100</v>
      </c>
      <c r="D262" s="4">
        <f t="shared" si="77"/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5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275100</v>
      </c>
      <c r="T262" s="4">
        <v>0</v>
      </c>
      <c r="U262" s="4">
        <v>400000</v>
      </c>
      <c r="V262" s="7" t="e">
        <f t="shared" si="79"/>
        <v>#DIV/0!</v>
      </c>
    </row>
    <row r="263" spans="1:22" ht="21.95" customHeight="1" x14ac:dyDescent="0.25">
      <c r="A263" s="1" t="s">
        <v>1838</v>
      </c>
      <c r="B263" s="9" t="s">
        <v>405</v>
      </c>
      <c r="C263" s="3">
        <f t="shared" si="78"/>
        <v>1822265</v>
      </c>
      <c r="D263" s="4">
        <f t="shared" si="77"/>
        <v>1622265</v>
      </c>
      <c r="E263" s="4">
        <f>350*876.9</f>
        <v>306915</v>
      </c>
      <c r="F263" s="4">
        <f>800*876.9</f>
        <v>701520</v>
      </c>
      <c r="G263" s="4">
        <f>300*876.9</f>
        <v>263070</v>
      </c>
      <c r="H263" s="4">
        <v>0</v>
      </c>
      <c r="I263" s="4">
        <f>400*876.9</f>
        <v>350760</v>
      </c>
      <c r="J263" s="4">
        <f>350*0</f>
        <v>0</v>
      </c>
      <c r="K263" s="5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200000</v>
      </c>
      <c r="V263" s="7" t="e">
        <f t="shared" si="79"/>
        <v>#DIV/0!</v>
      </c>
    </row>
    <row r="264" spans="1:22" ht="21.95" customHeight="1" x14ac:dyDescent="0.25">
      <c r="A264" s="1" t="s">
        <v>1839</v>
      </c>
      <c r="B264" s="9" t="s">
        <v>460</v>
      </c>
      <c r="C264" s="3">
        <f t="shared" si="78"/>
        <v>8577280</v>
      </c>
      <c r="D264" s="4">
        <f t="shared" si="77"/>
        <v>8377280</v>
      </c>
      <c r="E264" s="4">
        <f>350*3564.8</f>
        <v>1247680</v>
      </c>
      <c r="F264" s="4">
        <f>800*3564.8</f>
        <v>2851840</v>
      </c>
      <c r="G264" s="4">
        <f>300*3564.8</f>
        <v>1069440</v>
      </c>
      <c r="H264" s="4">
        <f>500*3564.8</f>
        <v>1782400</v>
      </c>
      <c r="I264" s="4">
        <f>400*3564.8</f>
        <v>1425920</v>
      </c>
      <c r="J264" s="4">
        <f>350*0</f>
        <v>0</v>
      </c>
      <c r="K264" s="5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200000</v>
      </c>
      <c r="V264" s="7" t="e">
        <f t="shared" si="79"/>
        <v>#DIV/0!</v>
      </c>
    </row>
    <row r="265" spans="1:22" ht="21.95" customHeight="1" x14ac:dyDescent="0.25">
      <c r="A265" s="1" t="s">
        <v>1840</v>
      </c>
      <c r="B265" s="9" t="s">
        <v>380</v>
      </c>
      <c r="C265" s="3">
        <f t="shared" si="78"/>
        <v>3899250</v>
      </c>
      <c r="D265" s="4">
        <f t="shared" si="77"/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5">
        <v>0</v>
      </c>
      <c r="L265" s="4">
        <v>0</v>
      </c>
      <c r="M265" s="4">
        <v>622.5</v>
      </c>
      <c r="N265" s="4">
        <v>3299250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600000</v>
      </c>
      <c r="V265" s="7">
        <f t="shared" si="79"/>
        <v>5300</v>
      </c>
    </row>
    <row r="266" spans="1:22" ht="21.95" customHeight="1" x14ac:dyDescent="0.25">
      <c r="A266" s="1" t="s">
        <v>1841</v>
      </c>
      <c r="B266" s="9" t="s">
        <v>471</v>
      </c>
      <c r="C266" s="3">
        <f t="shared" si="78"/>
        <v>17027652</v>
      </c>
      <c r="D266" s="4">
        <f t="shared" si="77"/>
        <v>6776460</v>
      </c>
      <c r="E266" s="4">
        <f>350*2883.6</f>
        <v>1009260</v>
      </c>
      <c r="F266" s="4">
        <f>800*2883.6</f>
        <v>2306880</v>
      </c>
      <c r="G266" s="4">
        <f>300*2883.6</f>
        <v>865080</v>
      </c>
      <c r="H266" s="4">
        <f>500*2883.6</f>
        <v>1441800</v>
      </c>
      <c r="I266" s="4">
        <f>400*2883.6</f>
        <v>1153440</v>
      </c>
      <c r="J266" s="4">
        <f>350*0</f>
        <v>0</v>
      </c>
      <c r="K266" s="5">
        <v>0</v>
      </c>
      <c r="L266" s="4">
        <v>0</v>
      </c>
      <c r="M266" s="4">
        <v>938</v>
      </c>
      <c r="N266" s="4">
        <f>M266*5300</f>
        <v>4971400</v>
      </c>
      <c r="O266" s="4">
        <v>0</v>
      </c>
      <c r="P266" s="4">
        <v>0</v>
      </c>
      <c r="Q266" s="4">
        <v>1950.4</v>
      </c>
      <c r="R266" s="4">
        <f>Q266*2605</f>
        <v>5080792</v>
      </c>
      <c r="S266" s="4">
        <v>0</v>
      </c>
      <c r="T266" s="4">
        <v>0</v>
      </c>
      <c r="U266" s="4">
        <v>199000</v>
      </c>
      <c r="V266" s="7">
        <f t="shared" si="79"/>
        <v>5300</v>
      </c>
    </row>
    <row r="267" spans="1:22" ht="21.95" customHeight="1" x14ac:dyDescent="0.25">
      <c r="A267" s="1" t="s">
        <v>1842</v>
      </c>
      <c r="B267" s="28" t="s">
        <v>461</v>
      </c>
      <c r="C267" s="3">
        <f t="shared" si="78"/>
        <v>5210847.93</v>
      </c>
      <c r="D267" s="4">
        <f t="shared" si="77"/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5">
        <v>0</v>
      </c>
      <c r="L267" s="4">
        <v>0</v>
      </c>
      <c r="M267" s="4">
        <v>959</v>
      </c>
      <c r="N267" s="4">
        <f>M267*5300</f>
        <v>5082700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128147.93</v>
      </c>
      <c r="V267" s="7">
        <f t="shared" si="79"/>
        <v>5300</v>
      </c>
    </row>
    <row r="268" spans="1:22" ht="21.95" customHeight="1" x14ac:dyDescent="0.25">
      <c r="A268" s="1" t="s">
        <v>1843</v>
      </c>
      <c r="B268" s="9" t="s">
        <v>472</v>
      </c>
      <c r="C268" s="3">
        <f t="shared" si="78"/>
        <v>54862.78</v>
      </c>
      <c r="D268" s="4">
        <f t="shared" si="77"/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5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54862.78</v>
      </c>
      <c r="V268" s="7" t="e">
        <f t="shared" si="79"/>
        <v>#DIV/0!</v>
      </c>
    </row>
    <row r="269" spans="1:22" ht="21.95" customHeight="1" x14ac:dyDescent="0.25">
      <c r="A269" s="1" t="s">
        <v>1844</v>
      </c>
      <c r="B269" s="9" t="s">
        <v>488</v>
      </c>
      <c r="C269" s="3">
        <f t="shared" si="78"/>
        <v>1824644.4600000002</v>
      </c>
      <c r="D269" s="4">
        <f t="shared" si="77"/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5">
        <v>0</v>
      </c>
      <c r="L269" s="4">
        <v>0</v>
      </c>
      <c r="M269" s="4">
        <v>388</v>
      </c>
      <c r="N269" s="4">
        <v>1766549.87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58094.59</v>
      </c>
      <c r="V269" s="7">
        <f t="shared" si="79"/>
        <v>4552.9635824742272</v>
      </c>
    </row>
    <row r="270" spans="1:22" ht="21.95" customHeight="1" x14ac:dyDescent="0.25">
      <c r="A270" s="1" t="s">
        <v>1845</v>
      </c>
      <c r="B270" s="9" t="s">
        <v>406</v>
      </c>
      <c r="C270" s="3">
        <f t="shared" si="78"/>
        <v>75456.38</v>
      </c>
      <c r="D270" s="4">
        <f t="shared" si="77"/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5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75456.38</v>
      </c>
      <c r="V270" s="7" t="e">
        <f t="shared" si="79"/>
        <v>#DIV/0!</v>
      </c>
    </row>
    <row r="271" spans="1:22" ht="21.95" customHeight="1" x14ac:dyDescent="0.25">
      <c r="A271" s="1" t="s">
        <v>1846</v>
      </c>
      <c r="B271" s="9" t="s">
        <v>489</v>
      </c>
      <c r="C271" s="3">
        <f t="shared" si="78"/>
        <v>2965032.13</v>
      </c>
      <c r="D271" s="4">
        <f t="shared" si="77"/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5">
        <v>0</v>
      </c>
      <c r="L271" s="4">
        <v>0</v>
      </c>
      <c r="M271" s="4">
        <v>584</v>
      </c>
      <c r="N271" s="4">
        <v>2850778.88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114253.25</v>
      </c>
      <c r="V271" s="7">
        <f t="shared" si="79"/>
        <v>4881.4706849315071</v>
      </c>
    </row>
    <row r="272" spans="1:22" ht="21.95" customHeight="1" x14ac:dyDescent="0.25">
      <c r="A272" s="1" t="s">
        <v>1847</v>
      </c>
      <c r="B272" s="9" t="s">
        <v>473</v>
      </c>
      <c r="C272" s="3">
        <f t="shared" si="78"/>
        <v>2904799.21</v>
      </c>
      <c r="D272" s="4">
        <f t="shared" si="77"/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5">
        <v>0</v>
      </c>
      <c r="L272" s="4">
        <v>0</v>
      </c>
      <c r="M272" s="4">
        <v>594</v>
      </c>
      <c r="N272" s="4">
        <v>2838300.38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66498.83</v>
      </c>
      <c r="V272" s="7">
        <f t="shared" si="79"/>
        <v>4778.2834680134674</v>
      </c>
    </row>
    <row r="273" spans="1:22" ht="21.95" customHeight="1" x14ac:dyDescent="0.25">
      <c r="A273" s="1" t="s">
        <v>1848</v>
      </c>
      <c r="B273" s="9" t="s">
        <v>387</v>
      </c>
      <c r="C273" s="3">
        <f t="shared" si="78"/>
        <v>2062847.55</v>
      </c>
      <c r="D273" s="4">
        <f t="shared" si="77"/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5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852.6</v>
      </c>
      <c r="R273" s="4">
        <v>2001408.7</v>
      </c>
      <c r="S273" s="4">
        <v>0</v>
      </c>
      <c r="T273" s="4">
        <v>0</v>
      </c>
      <c r="U273" s="4">
        <v>61438.85</v>
      </c>
      <c r="V273" s="7" t="e">
        <f t="shared" si="79"/>
        <v>#DIV/0!</v>
      </c>
    </row>
    <row r="274" spans="1:22" ht="21.95" customHeight="1" x14ac:dyDescent="0.25">
      <c r="A274" s="1" t="s">
        <v>1849</v>
      </c>
      <c r="B274" s="9" t="s">
        <v>462</v>
      </c>
      <c r="C274" s="3">
        <f t="shared" si="78"/>
        <v>4344788.7</v>
      </c>
      <c r="D274" s="4">
        <f t="shared" si="77"/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5">
        <v>0</v>
      </c>
      <c r="L274" s="4">
        <v>0</v>
      </c>
      <c r="M274" s="4">
        <v>806</v>
      </c>
      <c r="N274" s="4">
        <f>M274*5300</f>
        <v>4271800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72988.7</v>
      </c>
      <c r="V274" s="7">
        <f t="shared" si="79"/>
        <v>5300</v>
      </c>
    </row>
    <row r="275" spans="1:22" ht="21.95" customHeight="1" x14ac:dyDescent="0.25">
      <c r="A275" s="1" t="s">
        <v>1850</v>
      </c>
      <c r="B275" s="9" t="s">
        <v>448</v>
      </c>
      <c r="C275" s="3">
        <f t="shared" si="78"/>
        <v>6267141.54</v>
      </c>
      <c r="D275" s="4">
        <f t="shared" si="77"/>
        <v>743328.03999999992</v>
      </c>
      <c r="E275" s="4">
        <v>260059.14</v>
      </c>
      <c r="F275" s="4">
        <v>417539.23</v>
      </c>
      <c r="G275" s="4">
        <v>36704.449999999997</v>
      </c>
      <c r="H275" s="4">
        <f>500*0</f>
        <v>0</v>
      </c>
      <c r="I275" s="4">
        <v>29025.22</v>
      </c>
      <c r="J275" s="4">
        <f>350*0</f>
        <v>0</v>
      </c>
      <c r="K275" s="5">
        <v>0</v>
      </c>
      <c r="L275" s="4">
        <v>0</v>
      </c>
      <c r="M275" s="4">
        <v>651.35</v>
      </c>
      <c r="N275" s="4">
        <v>3406613.76</v>
      </c>
      <c r="O275" s="4">
        <v>0</v>
      </c>
      <c r="P275" s="4">
        <v>0</v>
      </c>
      <c r="Q275" s="4">
        <v>779.1</v>
      </c>
      <c r="R275" s="4">
        <v>1919199.74</v>
      </c>
      <c r="S275" s="4">
        <v>0</v>
      </c>
      <c r="T275" s="4">
        <v>0</v>
      </c>
      <c r="U275" s="4">
        <v>198000</v>
      </c>
      <c r="V275" s="7">
        <f t="shared" si="79"/>
        <v>5230.0817686343744</v>
      </c>
    </row>
    <row r="276" spans="1:22" ht="21.95" customHeight="1" x14ac:dyDescent="0.25">
      <c r="A276" s="1" t="s">
        <v>1851</v>
      </c>
      <c r="B276" s="9" t="s">
        <v>474</v>
      </c>
      <c r="C276" s="3">
        <f t="shared" si="78"/>
        <v>3566948.55</v>
      </c>
      <c r="D276" s="4">
        <f t="shared" ref="D276:D283" si="80">SUM(E276:J276)</f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5">
        <v>0</v>
      </c>
      <c r="L276" s="4">
        <v>0</v>
      </c>
      <c r="M276" s="4">
        <v>695</v>
      </c>
      <c r="N276" s="4">
        <v>3497187.79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69760.759999999995</v>
      </c>
      <c r="V276" s="7">
        <f t="shared" si="79"/>
        <v>5031.924877697842</v>
      </c>
    </row>
    <row r="277" spans="1:22" ht="21.95" customHeight="1" x14ac:dyDescent="0.25">
      <c r="A277" s="1" t="s">
        <v>1852</v>
      </c>
      <c r="B277" s="29" t="s">
        <v>1442</v>
      </c>
      <c r="C277" s="3">
        <f t="shared" si="78"/>
        <v>2529171.04</v>
      </c>
      <c r="D277" s="4">
        <f t="shared" si="80"/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5">
        <v>0</v>
      </c>
      <c r="L277" s="4">
        <v>0</v>
      </c>
      <c r="M277" s="4">
        <v>423</v>
      </c>
      <c r="N277" s="4">
        <v>2241900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287271.03999999998</v>
      </c>
      <c r="V277" s="7">
        <f t="shared" si="79"/>
        <v>5300</v>
      </c>
    </row>
    <row r="278" spans="1:22" ht="21.95" customHeight="1" x14ac:dyDescent="0.25">
      <c r="A278" s="1" t="s">
        <v>1853</v>
      </c>
      <c r="B278" s="29" t="s">
        <v>1398</v>
      </c>
      <c r="C278" s="3">
        <f>D278+L278+N278+P278+R278+S278+T278+U278</f>
        <v>5179580.74</v>
      </c>
      <c r="D278" s="4">
        <f t="shared" si="80"/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5">
        <v>0</v>
      </c>
      <c r="L278" s="4">
        <v>0</v>
      </c>
      <c r="M278" s="4">
        <v>665</v>
      </c>
      <c r="N278" s="4">
        <v>3314184.98</v>
      </c>
      <c r="O278" s="4">
        <v>0</v>
      </c>
      <c r="P278" s="4">
        <v>0</v>
      </c>
      <c r="Q278" s="4">
        <v>720</v>
      </c>
      <c r="R278" s="4">
        <v>1804412.83</v>
      </c>
      <c r="S278" s="4">
        <v>60982.93</v>
      </c>
      <c r="T278" s="4">
        <v>0</v>
      </c>
      <c r="U278" s="4">
        <v>0</v>
      </c>
      <c r="V278" s="7">
        <f t="shared" si="79"/>
        <v>4983.7368120300753</v>
      </c>
    </row>
    <row r="279" spans="1:22" ht="21.95" customHeight="1" x14ac:dyDescent="0.25">
      <c r="A279" s="1" t="s">
        <v>1854</v>
      </c>
      <c r="B279" s="9" t="s">
        <v>433</v>
      </c>
      <c r="C279" s="3">
        <f t="shared" si="78"/>
        <v>7284472.5</v>
      </c>
      <c r="D279" s="4">
        <f t="shared" si="80"/>
        <v>3455707.5</v>
      </c>
      <c r="E279" s="4">
        <f>350*1867.95</f>
        <v>653782.5</v>
      </c>
      <c r="F279" s="4">
        <f>800*1867.95</f>
        <v>1494360</v>
      </c>
      <c r="G279" s="4">
        <f>300*1867.95</f>
        <v>560385</v>
      </c>
      <c r="H279" s="4">
        <v>0</v>
      </c>
      <c r="I279" s="4">
        <f>400*1867.95</f>
        <v>747180</v>
      </c>
      <c r="J279" s="4">
        <f>350*0</f>
        <v>0</v>
      </c>
      <c r="K279" s="5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1393</v>
      </c>
      <c r="R279" s="4">
        <f>Q279*2605</f>
        <v>3628765</v>
      </c>
      <c r="S279" s="4">
        <v>0</v>
      </c>
      <c r="T279" s="4">
        <v>0</v>
      </c>
      <c r="U279" s="4">
        <v>200000</v>
      </c>
      <c r="V279" s="7" t="e">
        <f t="shared" si="79"/>
        <v>#DIV/0!</v>
      </c>
    </row>
    <row r="280" spans="1:22" ht="21.95" customHeight="1" x14ac:dyDescent="0.25">
      <c r="A280" s="1" t="s">
        <v>1855</v>
      </c>
      <c r="B280" s="9" t="s">
        <v>475</v>
      </c>
      <c r="C280" s="3">
        <f t="shared" si="78"/>
        <v>39357.33</v>
      </c>
      <c r="D280" s="4">
        <f t="shared" si="80"/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5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39357.33</v>
      </c>
      <c r="V280" s="7" t="e">
        <f t="shared" si="79"/>
        <v>#DIV/0!</v>
      </c>
    </row>
    <row r="281" spans="1:22" ht="21.95" customHeight="1" x14ac:dyDescent="0.25">
      <c r="A281" s="1" t="s">
        <v>1856</v>
      </c>
      <c r="B281" s="9" t="s">
        <v>490</v>
      </c>
      <c r="C281" s="3">
        <f t="shared" si="78"/>
        <v>1981081.97</v>
      </c>
      <c r="D281" s="4">
        <f t="shared" si="80"/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5">
        <v>0</v>
      </c>
      <c r="L281" s="4">
        <v>0</v>
      </c>
      <c r="M281" s="4">
        <v>362.44</v>
      </c>
      <c r="N281" s="4">
        <f>M281*5300</f>
        <v>1920932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60149.97</v>
      </c>
      <c r="V281" s="7">
        <f t="shared" si="79"/>
        <v>5300</v>
      </c>
    </row>
    <row r="282" spans="1:22" ht="21.95" customHeight="1" x14ac:dyDescent="0.25">
      <c r="A282" s="1" t="s">
        <v>1857</v>
      </c>
      <c r="B282" s="9" t="s">
        <v>424</v>
      </c>
      <c r="C282" s="3">
        <f t="shared" si="78"/>
        <v>42605.66</v>
      </c>
      <c r="D282" s="4">
        <f t="shared" si="80"/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5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42605.66</v>
      </c>
      <c r="V282" s="7" t="e">
        <f t="shared" si="79"/>
        <v>#DIV/0!</v>
      </c>
    </row>
    <row r="283" spans="1:22" ht="21.95" customHeight="1" x14ac:dyDescent="0.25">
      <c r="A283" s="1" t="s">
        <v>1858</v>
      </c>
      <c r="B283" s="9" t="s">
        <v>439</v>
      </c>
      <c r="C283" s="3">
        <f t="shared" si="78"/>
        <v>46635.76</v>
      </c>
      <c r="D283" s="4">
        <f t="shared" si="80"/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5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46635.76</v>
      </c>
      <c r="V283" s="7" t="e">
        <f t="shared" si="79"/>
        <v>#DIV/0!</v>
      </c>
    </row>
    <row r="284" spans="1:22" ht="21.95" customHeight="1" x14ac:dyDescent="0.25">
      <c r="A284" s="1" t="s">
        <v>1859</v>
      </c>
      <c r="B284" s="9" t="s">
        <v>440</v>
      </c>
      <c r="C284" s="3">
        <f t="shared" si="78"/>
        <v>2255774.0699999998</v>
      </c>
      <c r="D284" s="4">
        <f t="shared" si="77"/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5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915</v>
      </c>
      <c r="R284" s="4">
        <v>2164774.54</v>
      </c>
      <c r="S284" s="4">
        <v>0</v>
      </c>
      <c r="T284" s="4">
        <v>0</v>
      </c>
      <c r="U284" s="4">
        <v>90999.53</v>
      </c>
      <c r="V284" s="7" t="e">
        <f t="shared" si="79"/>
        <v>#DIV/0!</v>
      </c>
    </row>
    <row r="285" spans="1:22" ht="45" customHeight="1" x14ac:dyDescent="0.25">
      <c r="A285" s="55" t="s">
        <v>305</v>
      </c>
      <c r="B285" s="55"/>
      <c r="C285" s="3">
        <f>SUM(C286:C289)</f>
        <v>2538146.2999999998</v>
      </c>
      <c r="D285" s="3">
        <f t="shared" ref="D285:U285" si="81">SUM(D286:D289)</f>
        <v>2538146.2999999998</v>
      </c>
      <c r="E285" s="3">
        <f t="shared" si="81"/>
        <v>0</v>
      </c>
      <c r="F285" s="3">
        <f t="shared" si="81"/>
        <v>1951709.6399999997</v>
      </c>
      <c r="G285" s="3">
        <f t="shared" si="81"/>
        <v>276757.42</v>
      </c>
      <c r="H285" s="3">
        <f t="shared" si="81"/>
        <v>0</v>
      </c>
      <c r="I285" s="3">
        <f t="shared" si="81"/>
        <v>309679.24</v>
      </c>
      <c r="J285" s="3">
        <f t="shared" si="81"/>
        <v>0</v>
      </c>
      <c r="K285" s="15">
        <f t="shared" si="81"/>
        <v>0</v>
      </c>
      <c r="L285" s="3">
        <f t="shared" si="81"/>
        <v>0</v>
      </c>
      <c r="M285" s="3">
        <f t="shared" si="81"/>
        <v>0</v>
      </c>
      <c r="N285" s="3">
        <f t="shared" si="81"/>
        <v>0</v>
      </c>
      <c r="O285" s="3">
        <f t="shared" si="81"/>
        <v>0</v>
      </c>
      <c r="P285" s="3">
        <f t="shared" si="81"/>
        <v>0</v>
      </c>
      <c r="Q285" s="3">
        <f t="shared" si="81"/>
        <v>0</v>
      </c>
      <c r="R285" s="3">
        <f t="shared" si="81"/>
        <v>0</v>
      </c>
      <c r="S285" s="3">
        <f t="shared" si="81"/>
        <v>0</v>
      </c>
      <c r="T285" s="3">
        <f t="shared" si="81"/>
        <v>0</v>
      </c>
      <c r="U285" s="3">
        <f t="shared" si="81"/>
        <v>0</v>
      </c>
      <c r="V285" s="21">
        <f>C285+C1059</f>
        <v>11147541.300000001</v>
      </c>
    </row>
    <row r="286" spans="1:22" ht="21.95" customHeight="1" x14ac:dyDescent="0.25">
      <c r="A286" s="1" t="s">
        <v>1860</v>
      </c>
      <c r="B286" s="9" t="s">
        <v>1405</v>
      </c>
      <c r="C286" s="3">
        <f t="shared" si="78"/>
        <v>419071.85</v>
      </c>
      <c r="D286" s="4">
        <f t="shared" ref="D286:D289" si="82">SUM(E286:J286)</f>
        <v>419071.85</v>
      </c>
      <c r="E286" s="4">
        <v>0</v>
      </c>
      <c r="F286" s="4">
        <v>286161.48</v>
      </c>
      <c r="G286" s="4">
        <v>61668.58</v>
      </c>
      <c r="H286" s="4">
        <v>0</v>
      </c>
      <c r="I286" s="4">
        <v>71241.789999999994</v>
      </c>
      <c r="J286" s="4">
        <f>350*0</f>
        <v>0</v>
      </c>
      <c r="K286" s="5">
        <v>0</v>
      </c>
      <c r="L286" s="4">
        <v>0</v>
      </c>
      <c r="M286" s="6">
        <v>0</v>
      </c>
      <c r="N286" s="6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7" t="e">
        <f t="shared" ref="V286:V289" si="83">N286/M286</f>
        <v>#DIV/0!</v>
      </c>
    </row>
    <row r="287" spans="1:22" ht="21.95" customHeight="1" x14ac:dyDescent="0.25">
      <c r="A287" s="1" t="s">
        <v>1861</v>
      </c>
      <c r="B287" s="9" t="s">
        <v>1404</v>
      </c>
      <c r="C287" s="3">
        <f t="shared" si="78"/>
        <v>709295.13</v>
      </c>
      <c r="D287" s="4">
        <f t="shared" si="82"/>
        <v>709295.13</v>
      </c>
      <c r="E287" s="4">
        <v>0</v>
      </c>
      <c r="F287" s="4">
        <v>515233.21</v>
      </c>
      <c r="G287" s="4">
        <v>84311.06</v>
      </c>
      <c r="H287" s="4">
        <v>0</v>
      </c>
      <c r="I287" s="4">
        <v>109750.86</v>
      </c>
      <c r="J287" s="4">
        <f>350*0</f>
        <v>0</v>
      </c>
      <c r="K287" s="5">
        <v>0</v>
      </c>
      <c r="L287" s="4">
        <v>0</v>
      </c>
      <c r="M287" s="6">
        <v>0</v>
      </c>
      <c r="N287" s="6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7" t="e">
        <f t="shared" si="83"/>
        <v>#DIV/0!</v>
      </c>
    </row>
    <row r="288" spans="1:22" ht="21.95" customHeight="1" x14ac:dyDescent="0.25">
      <c r="A288" s="1" t="s">
        <v>1862</v>
      </c>
      <c r="B288" s="9" t="s">
        <v>1403</v>
      </c>
      <c r="C288" s="3">
        <f t="shared" si="78"/>
        <v>668196.1</v>
      </c>
      <c r="D288" s="4">
        <f t="shared" si="82"/>
        <v>668196.1</v>
      </c>
      <c r="E288" s="4">
        <v>0</v>
      </c>
      <c r="F288" s="4">
        <v>455557.63</v>
      </c>
      <c r="G288" s="4">
        <v>110487.86</v>
      </c>
      <c r="H288" s="4">
        <v>0</v>
      </c>
      <c r="I288" s="4">
        <v>102150.61</v>
      </c>
      <c r="J288" s="4">
        <f>350*0</f>
        <v>0</v>
      </c>
      <c r="K288" s="5">
        <v>0</v>
      </c>
      <c r="L288" s="4">
        <v>0</v>
      </c>
      <c r="M288" s="6">
        <v>0</v>
      </c>
      <c r="N288" s="6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7" t="e">
        <f t="shared" si="83"/>
        <v>#DIV/0!</v>
      </c>
    </row>
    <row r="289" spans="1:22" ht="21.95" customHeight="1" x14ac:dyDescent="0.25">
      <c r="A289" s="1" t="s">
        <v>1863</v>
      </c>
      <c r="B289" s="9" t="s">
        <v>1402</v>
      </c>
      <c r="C289" s="3">
        <f t="shared" si="78"/>
        <v>741583.22</v>
      </c>
      <c r="D289" s="4">
        <f t="shared" si="82"/>
        <v>741583.22</v>
      </c>
      <c r="E289" s="4">
        <v>0</v>
      </c>
      <c r="F289" s="4">
        <v>694757.32</v>
      </c>
      <c r="G289" s="4">
        <v>20289.919999999998</v>
      </c>
      <c r="H289" s="4">
        <v>0</v>
      </c>
      <c r="I289" s="4">
        <v>26535.98</v>
      </c>
      <c r="J289" s="4">
        <f>350*0</f>
        <v>0</v>
      </c>
      <c r="K289" s="5">
        <v>0</v>
      </c>
      <c r="L289" s="4">
        <v>0</v>
      </c>
      <c r="M289" s="6">
        <v>0</v>
      </c>
      <c r="N289" s="6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7" t="e">
        <f t="shared" si="83"/>
        <v>#DIV/0!</v>
      </c>
    </row>
    <row r="290" spans="1:22" ht="45" customHeight="1" x14ac:dyDescent="0.25">
      <c r="A290" s="55" t="s">
        <v>281</v>
      </c>
      <c r="B290" s="55"/>
      <c r="C290" s="3">
        <f>SUM(C291)</f>
        <v>34252.04</v>
      </c>
      <c r="D290" s="3">
        <f t="shared" ref="D290:U290" si="84">SUM(D291)</f>
        <v>0</v>
      </c>
      <c r="E290" s="3">
        <f t="shared" si="84"/>
        <v>0</v>
      </c>
      <c r="F290" s="3">
        <f t="shared" si="84"/>
        <v>0</v>
      </c>
      <c r="G290" s="3">
        <f t="shared" si="84"/>
        <v>0</v>
      </c>
      <c r="H290" s="3">
        <f t="shared" si="84"/>
        <v>0</v>
      </c>
      <c r="I290" s="3">
        <f t="shared" si="84"/>
        <v>0</v>
      </c>
      <c r="J290" s="3">
        <f t="shared" si="84"/>
        <v>0</v>
      </c>
      <c r="K290" s="15">
        <f t="shared" si="84"/>
        <v>0</v>
      </c>
      <c r="L290" s="3">
        <f t="shared" si="84"/>
        <v>0</v>
      </c>
      <c r="M290" s="3">
        <f t="shared" si="84"/>
        <v>0</v>
      </c>
      <c r="N290" s="3">
        <f t="shared" si="84"/>
        <v>0</v>
      </c>
      <c r="O290" s="3">
        <f t="shared" si="84"/>
        <v>0</v>
      </c>
      <c r="P290" s="3">
        <f t="shared" si="84"/>
        <v>0</v>
      </c>
      <c r="Q290" s="3">
        <f t="shared" si="84"/>
        <v>0</v>
      </c>
      <c r="R290" s="3">
        <f t="shared" si="84"/>
        <v>0</v>
      </c>
      <c r="S290" s="3">
        <f t="shared" si="84"/>
        <v>0</v>
      </c>
      <c r="T290" s="3">
        <f t="shared" si="84"/>
        <v>0</v>
      </c>
      <c r="U290" s="3">
        <f t="shared" si="84"/>
        <v>34252.04</v>
      </c>
      <c r="V290" s="21">
        <f>C290+C702+C1061</f>
        <v>16803632.039999999</v>
      </c>
    </row>
    <row r="291" spans="1:22" ht="21.95" customHeight="1" x14ac:dyDescent="0.25">
      <c r="A291" s="1" t="s">
        <v>1864</v>
      </c>
      <c r="B291" s="9" t="s">
        <v>307</v>
      </c>
      <c r="C291" s="3">
        <f t="shared" si="78"/>
        <v>34252.04</v>
      </c>
      <c r="D291" s="4">
        <f t="shared" ref="D291" si="85">SUM(E291:J291)</f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5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34252.04</v>
      </c>
      <c r="V291" s="7" t="e">
        <f>N291/M291</f>
        <v>#DIV/0!</v>
      </c>
    </row>
    <row r="292" spans="1:22" ht="45" customHeight="1" x14ac:dyDescent="0.25">
      <c r="A292" s="55" t="s">
        <v>286</v>
      </c>
      <c r="B292" s="55"/>
      <c r="C292" s="3">
        <f>SUM(C293:C294)</f>
        <v>6875748.6400000006</v>
      </c>
      <c r="D292" s="3">
        <f t="shared" ref="D292:U292" si="86">SUM(D293:D294)</f>
        <v>979041.3899999999</v>
      </c>
      <c r="E292" s="3">
        <f t="shared" si="86"/>
        <v>264982.02</v>
      </c>
      <c r="F292" s="3">
        <f t="shared" si="86"/>
        <v>621490.93999999994</v>
      </c>
      <c r="G292" s="3">
        <f t="shared" si="86"/>
        <v>54255.360000000001</v>
      </c>
      <c r="H292" s="3">
        <f t="shared" si="86"/>
        <v>0</v>
      </c>
      <c r="I292" s="3">
        <f t="shared" si="86"/>
        <v>38313.07</v>
      </c>
      <c r="J292" s="3">
        <f t="shared" si="86"/>
        <v>0</v>
      </c>
      <c r="K292" s="15">
        <f t="shared" si="86"/>
        <v>0</v>
      </c>
      <c r="L292" s="3">
        <f t="shared" si="86"/>
        <v>0</v>
      </c>
      <c r="M292" s="3">
        <f t="shared" si="86"/>
        <v>753.21</v>
      </c>
      <c r="N292" s="3">
        <f t="shared" si="86"/>
        <v>3858635.48</v>
      </c>
      <c r="O292" s="3">
        <f t="shared" si="86"/>
        <v>0</v>
      </c>
      <c r="P292" s="3">
        <f t="shared" si="86"/>
        <v>0</v>
      </c>
      <c r="Q292" s="3">
        <f t="shared" si="86"/>
        <v>1152</v>
      </c>
      <c r="R292" s="3">
        <f t="shared" si="86"/>
        <v>1646478.24</v>
      </c>
      <c r="S292" s="3">
        <f t="shared" si="86"/>
        <v>0</v>
      </c>
      <c r="T292" s="3">
        <f t="shared" si="86"/>
        <v>0</v>
      </c>
      <c r="U292" s="3">
        <f t="shared" si="86"/>
        <v>391593.53</v>
      </c>
      <c r="V292" s="21">
        <f>C292+C708+C1067</f>
        <v>21111823.640000001</v>
      </c>
    </row>
    <row r="293" spans="1:22" ht="21.95" customHeight="1" x14ac:dyDescent="0.25">
      <c r="A293" s="1" t="s">
        <v>1865</v>
      </c>
      <c r="B293" s="9" t="s">
        <v>287</v>
      </c>
      <c r="C293" s="3">
        <f t="shared" si="78"/>
        <v>3331574.8200000003</v>
      </c>
      <c r="D293" s="4">
        <f t="shared" ref="D293:D294" si="87">SUM(E293:J293)</f>
        <v>388667.3</v>
      </c>
      <c r="E293" s="4">
        <v>136287.93</v>
      </c>
      <c r="F293" s="4">
        <v>159810.94</v>
      </c>
      <c r="G293" s="4">
        <v>54255.360000000001</v>
      </c>
      <c r="H293" s="4">
        <f>350*0</f>
        <v>0</v>
      </c>
      <c r="I293" s="4">
        <v>38313.07</v>
      </c>
      <c r="J293" s="4">
        <f>350*0</f>
        <v>0</v>
      </c>
      <c r="K293" s="5">
        <v>0</v>
      </c>
      <c r="L293" s="4">
        <v>0</v>
      </c>
      <c r="M293" s="4">
        <v>371.61</v>
      </c>
      <c r="N293" s="4">
        <v>1930201.3</v>
      </c>
      <c r="O293" s="4">
        <v>0</v>
      </c>
      <c r="P293" s="4">
        <v>0</v>
      </c>
      <c r="Q293" s="4">
        <v>576</v>
      </c>
      <c r="R293" s="4">
        <v>813706.22</v>
      </c>
      <c r="S293" s="4">
        <v>0</v>
      </c>
      <c r="T293" s="4">
        <v>0</v>
      </c>
      <c r="U293" s="4">
        <v>199000</v>
      </c>
      <c r="V293" s="7">
        <f t="shared" ref="V293:V294" si="88">N293/M293</f>
        <v>5194.1586609617607</v>
      </c>
    </row>
    <row r="294" spans="1:22" ht="21.95" customHeight="1" x14ac:dyDescent="0.25">
      <c r="A294" s="1" t="s">
        <v>1866</v>
      </c>
      <c r="B294" s="9" t="s">
        <v>288</v>
      </c>
      <c r="C294" s="3">
        <f t="shared" si="78"/>
        <v>3544173.82</v>
      </c>
      <c r="D294" s="4">
        <f t="shared" si="87"/>
        <v>590374.09</v>
      </c>
      <c r="E294" s="4">
        <v>128694.09</v>
      </c>
      <c r="F294" s="4">
        <f>800*577.1</f>
        <v>461680</v>
      </c>
      <c r="G294" s="4">
        <f>300*0</f>
        <v>0</v>
      </c>
      <c r="H294" s="4">
        <f>350*0</f>
        <v>0</v>
      </c>
      <c r="I294" s="4">
        <f>400*0</f>
        <v>0</v>
      </c>
      <c r="J294" s="4">
        <f>350*0</f>
        <v>0</v>
      </c>
      <c r="K294" s="5">
        <v>0</v>
      </c>
      <c r="L294" s="4">
        <v>0</v>
      </c>
      <c r="M294" s="4">
        <v>381.6</v>
      </c>
      <c r="N294" s="4">
        <v>1928434.18</v>
      </c>
      <c r="O294" s="4">
        <v>0</v>
      </c>
      <c r="P294" s="4">
        <v>0</v>
      </c>
      <c r="Q294" s="4">
        <v>576</v>
      </c>
      <c r="R294" s="4">
        <v>832772.02</v>
      </c>
      <c r="S294" s="4">
        <v>0</v>
      </c>
      <c r="T294" s="4">
        <v>0</v>
      </c>
      <c r="U294" s="4">
        <v>192593.53</v>
      </c>
      <c r="V294" s="7">
        <f t="shared" si="88"/>
        <v>5053.5486897274632</v>
      </c>
    </row>
    <row r="295" spans="1:22" ht="45" customHeight="1" x14ac:dyDescent="0.25">
      <c r="A295" s="55" t="s">
        <v>291</v>
      </c>
      <c r="B295" s="55"/>
      <c r="C295" s="3">
        <f>SUM(C296:C298)</f>
        <v>145766.94</v>
      </c>
      <c r="D295" s="3">
        <f t="shared" ref="D295:U295" si="89">SUM(D296:D298)</f>
        <v>0</v>
      </c>
      <c r="E295" s="3">
        <f t="shared" si="89"/>
        <v>0</v>
      </c>
      <c r="F295" s="3">
        <f t="shared" si="89"/>
        <v>0</v>
      </c>
      <c r="G295" s="3">
        <f t="shared" si="89"/>
        <v>0</v>
      </c>
      <c r="H295" s="3">
        <f t="shared" si="89"/>
        <v>0</v>
      </c>
      <c r="I295" s="3">
        <f t="shared" si="89"/>
        <v>0</v>
      </c>
      <c r="J295" s="3">
        <f t="shared" si="89"/>
        <v>0</v>
      </c>
      <c r="K295" s="15">
        <f t="shared" si="89"/>
        <v>0</v>
      </c>
      <c r="L295" s="3">
        <f t="shared" si="89"/>
        <v>0</v>
      </c>
      <c r="M295" s="3">
        <f t="shared" si="89"/>
        <v>0</v>
      </c>
      <c r="N295" s="3">
        <f t="shared" si="89"/>
        <v>0</v>
      </c>
      <c r="O295" s="3">
        <f t="shared" si="89"/>
        <v>0</v>
      </c>
      <c r="P295" s="3">
        <f t="shared" si="89"/>
        <v>0</v>
      </c>
      <c r="Q295" s="3">
        <f t="shared" si="89"/>
        <v>0</v>
      </c>
      <c r="R295" s="3">
        <f t="shared" si="89"/>
        <v>0</v>
      </c>
      <c r="S295" s="3">
        <f t="shared" si="89"/>
        <v>0</v>
      </c>
      <c r="T295" s="3">
        <f t="shared" si="89"/>
        <v>0</v>
      </c>
      <c r="U295" s="3">
        <f t="shared" si="89"/>
        <v>145766.94</v>
      </c>
      <c r="V295" s="21">
        <f>C295+C711+C1071</f>
        <v>45085651.939999998</v>
      </c>
    </row>
    <row r="296" spans="1:22" ht="21.95" customHeight="1" x14ac:dyDescent="0.25">
      <c r="A296" s="1" t="s">
        <v>1867</v>
      </c>
      <c r="B296" s="9" t="s">
        <v>296</v>
      </c>
      <c r="C296" s="3">
        <f t="shared" si="78"/>
        <v>49421.84</v>
      </c>
      <c r="D296" s="4">
        <f t="shared" ref="D296:D298" si="90">SUM(E296:J296)</f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5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49421.84</v>
      </c>
      <c r="V296" s="7" t="e">
        <f t="shared" ref="V296:V298" si="91">N296/M296</f>
        <v>#DIV/0!</v>
      </c>
    </row>
    <row r="297" spans="1:22" ht="21.95" customHeight="1" x14ac:dyDescent="0.25">
      <c r="A297" s="1" t="s">
        <v>1868</v>
      </c>
      <c r="B297" s="9" t="s">
        <v>297</v>
      </c>
      <c r="C297" s="3">
        <f t="shared" si="78"/>
        <v>50355.93</v>
      </c>
      <c r="D297" s="4">
        <f t="shared" si="90"/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5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50355.93</v>
      </c>
      <c r="V297" s="7" t="e">
        <f t="shared" si="91"/>
        <v>#DIV/0!</v>
      </c>
    </row>
    <row r="298" spans="1:22" ht="21.95" customHeight="1" x14ac:dyDescent="0.25">
      <c r="A298" s="1" t="s">
        <v>1869</v>
      </c>
      <c r="B298" s="9" t="s">
        <v>299</v>
      </c>
      <c r="C298" s="3">
        <f t="shared" si="78"/>
        <v>45989.17</v>
      </c>
      <c r="D298" s="4">
        <f t="shared" si="90"/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5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45989.17</v>
      </c>
      <c r="V298" s="7" t="e">
        <f t="shared" si="91"/>
        <v>#DIV/0!</v>
      </c>
    </row>
    <row r="299" spans="1:22" ht="45" customHeight="1" x14ac:dyDescent="0.25">
      <c r="A299" s="55" t="s">
        <v>309</v>
      </c>
      <c r="B299" s="55"/>
      <c r="C299" s="3">
        <f>SUM(C300:C302)</f>
        <v>9157723.4700000007</v>
      </c>
      <c r="D299" s="3">
        <f t="shared" ref="D299:U299" si="92">SUM(D300:D302)</f>
        <v>827626</v>
      </c>
      <c r="E299" s="3">
        <f t="shared" si="92"/>
        <v>168560</v>
      </c>
      <c r="F299" s="3">
        <f t="shared" si="92"/>
        <v>385280</v>
      </c>
      <c r="G299" s="3">
        <f t="shared" si="92"/>
        <v>16717</v>
      </c>
      <c r="H299" s="3">
        <f t="shared" si="92"/>
        <v>240800</v>
      </c>
      <c r="I299" s="3">
        <f t="shared" si="92"/>
        <v>16269</v>
      </c>
      <c r="J299" s="3">
        <f t="shared" si="92"/>
        <v>0</v>
      </c>
      <c r="K299" s="15">
        <f t="shared" si="92"/>
        <v>0</v>
      </c>
      <c r="L299" s="3">
        <f t="shared" si="92"/>
        <v>0</v>
      </c>
      <c r="M299" s="3">
        <f t="shared" si="92"/>
        <v>758</v>
      </c>
      <c r="N299" s="3">
        <f t="shared" si="92"/>
        <v>3934473</v>
      </c>
      <c r="O299" s="3">
        <f t="shared" si="92"/>
        <v>0</v>
      </c>
      <c r="P299" s="3">
        <f t="shared" si="92"/>
        <v>0</v>
      </c>
      <c r="Q299" s="3">
        <f t="shared" si="92"/>
        <v>1400</v>
      </c>
      <c r="R299" s="3">
        <f t="shared" si="92"/>
        <v>3647000</v>
      </c>
      <c r="S299" s="3">
        <f t="shared" si="92"/>
        <v>344610</v>
      </c>
      <c r="T299" s="3">
        <f t="shared" si="92"/>
        <v>0</v>
      </c>
      <c r="U299" s="3">
        <f t="shared" si="92"/>
        <v>404014.47</v>
      </c>
      <c r="V299" s="21">
        <f>C299+C722</f>
        <v>12930647.470000001</v>
      </c>
    </row>
    <row r="300" spans="1:22" ht="21.95" customHeight="1" x14ac:dyDescent="0.25">
      <c r="A300" s="1" t="s">
        <v>1870</v>
      </c>
      <c r="B300" s="9" t="s">
        <v>310</v>
      </c>
      <c r="C300" s="3">
        <f t="shared" si="78"/>
        <v>2658978.4</v>
      </c>
      <c r="D300" s="4">
        <f t="shared" ref="D300:D302" si="93">SUM(E300:J300)</f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5">
        <v>0</v>
      </c>
      <c r="L300" s="4">
        <v>0</v>
      </c>
      <c r="M300" s="4">
        <v>240</v>
      </c>
      <c r="N300" s="4">
        <v>1270433</v>
      </c>
      <c r="O300" s="4">
        <v>0</v>
      </c>
      <c r="P300" s="4">
        <v>0</v>
      </c>
      <c r="Q300" s="4">
        <v>450</v>
      </c>
      <c r="R300" s="4">
        <f>Q300*2605</f>
        <v>1172250</v>
      </c>
      <c r="S300" s="4">
        <v>108570</v>
      </c>
      <c r="T300" s="4">
        <v>0</v>
      </c>
      <c r="U300" s="4">
        <v>107725.4</v>
      </c>
      <c r="V300" s="7">
        <f t="shared" ref="V300:V302" si="94">N300/M300</f>
        <v>5293.4708333333338</v>
      </c>
    </row>
    <row r="301" spans="1:22" ht="21.95" customHeight="1" x14ac:dyDescent="0.25">
      <c r="A301" s="1" t="s">
        <v>1871</v>
      </c>
      <c r="B301" s="9" t="s">
        <v>311</v>
      </c>
      <c r="C301" s="3">
        <f t="shared" si="78"/>
        <v>2611113.0099999998</v>
      </c>
      <c r="D301" s="4">
        <f t="shared" si="93"/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5">
        <v>0</v>
      </c>
      <c r="L301" s="4">
        <v>0</v>
      </c>
      <c r="M301" s="4">
        <v>244</v>
      </c>
      <c r="N301" s="4">
        <v>1221775</v>
      </c>
      <c r="O301" s="4">
        <v>0</v>
      </c>
      <c r="P301" s="4">
        <v>0</v>
      </c>
      <c r="Q301" s="4">
        <v>450</v>
      </c>
      <c r="R301" s="4">
        <f>Q301*2605</f>
        <v>1172250</v>
      </c>
      <c r="S301" s="4">
        <v>109830</v>
      </c>
      <c r="T301" s="4">
        <v>0</v>
      </c>
      <c r="U301" s="4">
        <v>107258.01</v>
      </c>
      <c r="V301" s="7">
        <f t="shared" si="94"/>
        <v>5007.2745901639346</v>
      </c>
    </row>
    <row r="302" spans="1:22" ht="21.95" customHeight="1" x14ac:dyDescent="0.25">
      <c r="A302" s="1" t="s">
        <v>1872</v>
      </c>
      <c r="B302" s="9" t="s">
        <v>312</v>
      </c>
      <c r="C302" s="3">
        <f t="shared" si="78"/>
        <v>3887632.06</v>
      </c>
      <c r="D302" s="4">
        <f t="shared" si="93"/>
        <v>827626</v>
      </c>
      <c r="E302" s="4">
        <f>350*481.6</f>
        <v>168560</v>
      </c>
      <c r="F302" s="4">
        <f>800*481.6</f>
        <v>385280</v>
      </c>
      <c r="G302" s="4">
        <v>16717</v>
      </c>
      <c r="H302" s="4">
        <f>500*481.6</f>
        <v>240800</v>
      </c>
      <c r="I302" s="4">
        <v>16269</v>
      </c>
      <c r="J302" s="4">
        <f>350*0</f>
        <v>0</v>
      </c>
      <c r="K302" s="5">
        <v>0</v>
      </c>
      <c r="L302" s="4">
        <v>0</v>
      </c>
      <c r="M302" s="4">
        <v>274</v>
      </c>
      <c r="N302" s="4">
        <v>1442265</v>
      </c>
      <c r="O302" s="4">
        <v>0</v>
      </c>
      <c r="P302" s="4">
        <v>0</v>
      </c>
      <c r="Q302" s="4">
        <v>500</v>
      </c>
      <c r="R302" s="4">
        <f>Q302*2605</f>
        <v>1302500</v>
      </c>
      <c r="S302" s="4">
        <v>126210</v>
      </c>
      <c r="T302" s="4">
        <v>0</v>
      </c>
      <c r="U302" s="4">
        <v>189031.06</v>
      </c>
      <c r="V302" s="7">
        <f t="shared" si="94"/>
        <v>5263.7408759124091</v>
      </c>
    </row>
    <row r="303" spans="1:22" ht="45" customHeight="1" x14ac:dyDescent="0.25">
      <c r="A303" s="55" t="s">
        <v>314</v>
      </c>
      <c r="B303" s="55"/>
      <c r="C303" s="3">
        <f>SUM(C304)</f>
        <v>48130.46</v>
      </c>
      <c r="D303" s="3">
        <f t="shared" ref="D303:U303" si="95">SUM(D304)</f>
        <v>0</v>
      </c>
      <c r="E303" s="3">
        <f t="shared" si="95"/>
        <v>0</v>
      </c>
      <c r="F303" s="3">
        <f t="shared" si="95"/>
        <v>0</v>
      </c>
      <c r="G303" s="3">
        <f t="shared" si="95"/>
        <v>0</v>
      </c>
      <c r="H303" s="3">
        <f t="shared" si="95"/>
        <v>0</v>
      </c>
      <c r="I303" s="3">
        <f t="shared" si="95"/>
        <v>0</v>
      </c>
      <c r="J303" s="3">
        <f t="shared" si="95"/>
        <v>0</v>
      </c>
      <c r="K303" s="15">
        <f t="shared" si="95"/>
        <v>0</v>
      </c>
      <c r="L303" s="3">
        <f t="shared" si="95"/>
        <v>0</v>
      </c>
      <c r="M303" s="3">
        <f t="shared" si="95"/>
        <v>0</v>
      </c>
      <c r="N303" s="3">
        <f t="shared" si="95"/>
        <v>0</v>
      </c>
      <c r="O303" s="3">
        <f t="shared" si="95"/>
        <v>0</v>
      </c>
      <c r="P303" s="3">
        <f t="shared" si="95"/>
        <v>0</v>
      </c>
      <c r="Q303" s="3">
        <f t="shared" si="95"/>
        <v>0</v>
      </c>
      <c r="R303" s="3">
        <f t="shared" si="95"/>
        <v>0</v>
      </c>
      <c r="S303" s="3">
        <f t="shared" si="95"/>
        <v>0</v>
      </c>
      <c r="T303" s="3">
        <f t="shared" si="95"/>
        <v>0</v>
      </c>
      <c r="U303" s="3">
        <f t="shared" si="95"/>
        <v>48130.46</v>
      </c>
      <c r="V303" s="21">
        <f>C303+C724+C1074</f>
        <v>16757425.460000001</v>
      </c>
    </row>
    <row r="304" spans="1:22" ht="21.95" customHeight="1" x14ac:dyDescent="0.25">
      <c r="A304" s="24" t="s">
        <v>1873</v>
      </c>
      <c r="B304" s="9" t="s">
        <v>318</v>
      </c>
      <c r="C304" s="3">
        <f t="shared" si="78"/>
        <v>48130.46</v>
      </c>
      <c r="D304" s="4">
        <f t="shared" ref="D304" si="96">SUM(E304:J304)</f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5">
        <v>0</v>
      </c>
      <c r="L304" s="4">
        <v>0</v>
      </c>
      <c r="M304" s="6">
        <v>0</v>
      </c>
      <c r="N304" s="6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48130.46</v>
      </c>
      <c r="V304" s="7" t="e">
        <f>N304/M304</f>
        <v>#DIV/0!</v>
      </c>
    </row>
    <row r="305" spans="1:22" ht="40.15" customHeight="1" x14ac:dyDescent="0.25">
      <c r="A305" s="55" t="s">
        <v>1202</v>
      </c>
      <c r="B305" s="55"/>
      <c r="C305" s="3">
        <f>SUM(C306)</f>
        <v>3710974.59</v>
      </c>
      <c r="D305" s="3">
        <f t="shared" ref="D305:U305" si="97">SUM(D306)</f>
        <v>127022</v>
      </c>
      <c r="E305" s="3">
        <f t="shared" si="97"/>
        <v>127022</v>
      </c>
      <c r="F305" s="3">
        <f t="shared" si="97"/>
        <v>0</v>
      </c>
      <c r="G305" s="3">
        <f t="shared" si="97"/>
        <v>0</v>
      </c>
      <c r="H305" s="3">
        <f t="shared" si="97"/>
        <v>0</v>
      </c>
      <c r="I305" s="3">
        <f t="shared" si="97"/>
        <v>0</v>
      </c>
      <c r="J305" s="3">
        <f t="shared" si="97"/>
        <v>0</v>
      </c>
      <c r="K305" s="15">
        <f t="shared" si="97"/>
        <v>0</v>
      </c>
      <c r="L305" s="3">
        <f t="shared" si="97"/>
        <v>0</v>
      </c>
      <c r="M305" s="3">
        <f t="shared" si="97"/>
        <v>435</v>
      </c>
      <c r="N305" s="3">
        <f t="shared" si="97"/>
        <v>2305500</v>
      </c>
      <c r="O305" s="3">
        <f t="shared" si="97"/>
        <v>0</v>
      </c>
      <c r="P305" s="3">
        <f t="shared" si="97"/>
        <v>0</v>
      </c>
      <c r="Q305" s="3">
        <f t="shared" si="97"/>
        <v>450</v>
      </c>
      <c r="R305" s="3">
        <f t="shared" si="97"/>
        <v>1172250</v>
      </c>
      <c r="S305" s="3">
        <f t="shared" si="97"/>
        <v>0</v>
      </c>
      <c r="T305" s="3">
        <f t="shared" si="97"/>
        <v>0</v>
      </c>
      <c r="U305" s="3">
        <f t="shared" si="97"/>
        <v>106202.59</v>
      </c>
      <c r="V305" s="21">
        <f>C305+C728+C1081</f>
        <v>8603864.5899999999</v>
      </c>
    </row>
    <row r="306" spans="1:22" ht="21.95" customHeight="1" x14ac:dyDescent="0.25">
      <c r="A306" s="1" t="s">
        <v>1874</v>
      </c>
      <c r="B306" s="9" t="s">
        <v>325</v>
      </c>
      <c r="C306" s="3">
        <f t="shared" si="78"/>
        <v>3710974.59</v>
      </c>
      <c r="D306" s="4">
        <f t="shared" ref="D306" si="98">SUM(E306:J306)</f>
        <v>127022</v>
      </c>
      <c r="E306" s="4">
        <f>350*362.92</f>
        <v>127022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5">
        <v>0</v>
      </c>
      <c r="L306" s="4">
        <v>0</v>
      </c>
      <c r="M306" s="4">
        <v>435</v>
      </c>
      <c r="N306" s="4">
        <f>M306*5300</f>
        <v>2305500</v>
      </c>
      <c r="O306" s="4">
        <v>0</v>
      </c>
      <c r="P306" s="4">
        <v>0</v>
      </c>
      <c r="Q306" s="4">
        <v>450</v>
      </c>
      <c r="R306" s="4">
        <f>Q306*2605</f>
        <v>1172250</v>
      </c>
      <c r="S306" s="4">
        <v>0</v>
      </c>
      <c r="T306" s="4">
        <v>0</v>
      </c>
      <c r="U306" s="4">
        <v>106202.59</v>
      </c>
      <c r="V306" s="7">
        <f>N306/M306</f>
        <v>5300</v>
      </c>
    </row>
    <row r="307" spans="1:22" ht="42.95" customHeight="1" x14ac:dyDescent="0.25">
      <c r="A307" s="55" t="s">
        <v>326</v>
      </c>
      <c r="B307" s="55"/>
      <c r="C307" s="3">
        <f>SUM(C308:C309)</f>
        <v>1151732.3800000001</v>
      </c>
      <c r="D307" s="3">
        <f t="shared" ref="D307:U307" si="99">SUM(D308:D309)</f>
        <v>0</v>
      </c>
      <c r="E307" s="3">
        <f t="shared" si="99"/>
        <v>0</v>
      </c>
      <c r="F307" s="3">
        <f t="shared" si="99"/>
        <v>0</v>
      </c>
      <c r="G307" s="3">
        <f t="shared" si="99"/>
        <v>0</v>
      </c>
      <c r="H307" s="3">
        <f t="shared" si="99"/>
        <v>0</v>
      </c>
      <c r="I307" s="3">
        <f t="shared" si="99"/>
        <v>0</v>
      </c>
      <c r="J307" s="3">
        <f t="shared" si="99"/>
        <v>0</v>
      </c>
      <c r="K307" s="15">
        <f t="shared" si="99"/>
        <v>0</v>
      </c>
      <c r="L307" s="3">
        <f t="shared" si="99"/>
        <v>0</v>
      </c>
      <c r="M307" s="3">
        <f t="shared" si="99"/>
        <v>600</v>
      </c>
      <c r="N307" s="3">
        <f t="shared" si="99"/>
        <v>1069200</v>
      </c>
      <c r="O307" s="3">
        <f t="shared" si="99"/>
        <v>0</v>
      </c>
      <c r="P307" s="3">
        <f t="shared" si="99"/>
        <v>0</v>
      </c>
      <c r="Q307" s="3">
        <f t="shared" si="99"/>
        <v>0</v>
      </c>
      <c r="R307" s="3">
        <f t="shared" si="99"/>
        <v>0</v>
      </c>
      <c r="S307" s="3">
        <f t="shared" si="99"/>
        <v>0</v>
      </c>
      <c r="T307" s="3">
        <f t="shared" si="99"/>
        <v>0</v>
      </c>
      <c r="U307" s="3">
        <f t="shared" si="99"/>
        <v>82532.38</v>
      </c>
      <c r="V307" s="21">
        <f>C307+C730+C1083</f>
        <v>23302332.380000003</v>
      </c>
    </row>
    <row r="308" spans="1:22" ht="23.1" customHeight="1" x14ac:dyDescent="0.25">
      <c r="A308" s="24" t="s">
        <v>1937</v>
      </c>
      <c r="B308" s="9" t="s">
        <v>1205</v>
      </c>
      <c r="C308" s="3">
        <f t="shared" si="78"/>
        <v>1102862.77</v>
      </c>
      <c r="D308" s="4">
        <f t="shared" ref="D308:D309" si="100">SUM(E308:J308)</f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12">
        <v>0</v>
      </c>
      <c r="L308" s="6">
        <v>0</v>
      </c>
      <c r="M308" s="6">
        <v>600</v>
      </c>
      <c r="N308" s="6">
        <v>1069200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33662.769999999997</v>
      </c>
      <c r="V308" s="7">
        <f t="shared" ref="V308:V309" si="101">N308/M308</f>
        <v>1782</v>
      </c>
    </row>
    <row r="309" spans="1:22" ht="23.1" customHeight="1" x14ac:dyDescent="0.25">
      <c r="A309" s="24" t="s">
        <v>1875</v>
      </c>
      <c r="B309" s="9" t="s">
        <v>328</v>
      </c>
      <c r="C309" s="3">
        <f t="shared" ref="C309:C334" si="102">D309+L309+N309+P309+R309+S309+T309+U309</f>
        <v>48869.61</v>
      </c>
      <c r="D309" s="4">
        <f t="shared" si="100"/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5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48869.61</v>
      </c>
      <c r="V309" s="7" t="e">
        <f t="shared" si="101"/>
        <v>#DIV/0!</v>
      </c>
    </row>
    <row r="310" spans="1:22" ht="42.95" customHeight="1" x14ac:dyDescent="0.25">
      <c r="A310" s="55" t="s">
        <v>330</v>
      </c>
      <c r="B310" s="55"/>
      <c r="C310" s="3">
        <f>SUM(C311)</f>
        <v>2990808.4</v>
      </c>
      <c r="D310" s="3">
        <f t="shared" ref="D310:U310" si="103">SUM(D311)</f>
        <v>0</v>
      </c>
      <c r="E310" s="3">
        <f t="shared" si="103"/>
        <v>0</v>
      </c>
      <c r="F310" s="3">
        <f t="shared" si="103"/>
        <v>0</v>
      </c>
      <c r="G310" s="3">
        <f t="shared" si="103"/>
        <v>0</v>
      </c>
      <c r="H310" s="3">
        <f t="shared" si="103"/>
        <v>0</v>
      </c>
      <c r="I310" s="3">
        <f t="shared" si="103"/>
        <v>0</v>
      </c>
      <c r="J310" s="3">
        <f t="shared" si="103"/>
        <v>0</v>
      </c>
      <c r="K310" s="15">
        <f t="shared" si="103"/>
        <v>0</v>
      </c>
      <c r="L310" s="3">
        <f t="shared" si="103"/>
        <v>0</v>
      </c>
      <c r="M310" s="3">
        <f t="shared" si="103"/>
        <v>443</v>
      </c>
      <c r="N310" s="3">
        <f t="shared" si="103"/>
        <v>1920360.81</v>
      </c>
      <c r="O310" s="3">
        <f t="shared" si="103"/>
        <v>0</v>
      </c>
      <c r="P310" s="3">
        <f t="shared" si="103"/>
        <v>0</v>
      </c>
      <c r="Q310" s="3">
        <f t="shared" si="103"/>
        <v>459</v>
      </c>
      <c r="R310" s="3">
        <f t="shared" si="103"/>
        <v>990609.29</v>
      </c>
      <c r="S310" s="3">
        <f t="shared" si="103"/>
        <v>0</v>
      </c>
      <c r="T310" s="3">
        <f t="shared" si="103"/>
        <v>0</v>
      </c>
      <c r="U310" s="3">
        <f t="shared" si="103"/>
        <v>79838.3</v>
      </c>
      <c r="V310" s="21">
        <f>C310+C734</f>
        <v>7300808.4000000004</v>
      </c>
    </row>
    <row r="311" spans="1:22" ht="23.1" customHeight="1" x14ac:dyDescent="0.25">
      <c r="A311" s="1" t="s">
        <v>1876</v>
      </c>
      <c r="B311" s="2" t="s">
        <v>332</v>
      </c>
      <c r="C311" s="3">
        <f t="shared" si="102"/>
        <v>2990808.4</v>
      </c>
      <c r="D311" s="4">
        <f t="shared" ref="D311" si="104">SUM(E311:J311)</f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5">
        <v>0</v>
      </c>
      <c r="L311" s="4">
        <v>0</v>
      </c>
      <c r="M311" s="4">
        <v>443</v>
      </c>
      <c r="N311" s="4">
        <v>1920360.81</v>
      </c>
      <c r="O311" s="4">
        <v>0</v>
      </c>
      <c r="P311" s="4">
        <v>0</v>
      </c>
      <c r="Q311" s="4">
        <v>459</v>
      </c>
      <c r="R311" s="4">
        <v>990609.29</v>
      </c>
      <c r="S311" s="4">
        <v>0</v>
      </c>
      <c r="T311" s="4">
        <v>0</v>
      </c>
      <c r="U311" s="4">
        <v>79838.3</v>
      </c>
      <c r="V311" s="7">
        <f>N311/M311</f>
        <v>4334.900248306998</v>
      </c>
    </row>
    <row r="312" spans="1:22" ht="42.95" customHeight="1" x14ac:dyDescent="0.25">
      <c r="A312" s="55" t="s">
        <v>1597</v>
      </c>
      <c r="B312" s="55"/>
      <c r="C312" s="3">
        <f>SUM(C313)</f>
        <v>4068458.4</v>
      </c>
      <c r="D312" s="3">
        <f t="shared" ref="D312:U312" si="105">SUM(D313)</f>
        <v>0</v>
      </c>
      <c r="E312" s="3">
        <f t="shared" si="105"/>
        <v>0</v>
      </c>
      <c r="F312" s="3">
        <f t="shared" si="105"/>
        <v>0</v>
      </c>
      <c r="G312" s="3">
        <f t="shared" si="105"/>
        <v>0</v>
      </c>
      <c r="H312" s="3">
        <f t="shared" si="105"/>
        <v>0</v>
      </c>
      <c r="I312" s="3">
        <f t="shared" si="105"/>
        <v>0</v>
      </c>
      <c r="J312" s="3">
        <f t="shared" si="105"/>
        <v>0</v>
      </c>
      <c r="K312" s="15">
        <f t="shared" si="105"/>
        <v>0</v>
      </c>
      <c r="L312" s="3">
        <f t="shared" si="105"/>
        <v>0</v>
      </c>
      <c r="M312" s="3">
        <f t="shared" si="105"/>
        <v>1220.3</v>
      </c>
      <c r="N312" s="3">
        <f t="shared" si="105"/>
        <v>4068458.4</v>
      </c>
      <c r="O312" s="3">
        <f t="shared" si="105"/>
        <v>0</v>
      </c>
      <c r="P312" s="3">
        <f t="shared" si="105"/>
        <v>0</v>
      </c>
      <c r="Q312" s="3">
        <f t="shared" si="105"/>
        <v>0</v>
      </c>
      <c r="R312" s="3">
        <f t="shared" si="105"/>
        <v>0</v>
      </c>
      <c r="S312" s="3">
        <f t="shared" si="105"/>
        <v>0</v>
      </c>
      <c r="T312" s="3">
        <f t="shared" si="105"/>
        <v>0</v>
      </c>
      <c r="U312" s="3">
        <f t="shared" si="105"/>
        <v>0</v>
      </c>
      <c r="V312" s="21">
        <f>C312+C738</f>
        <v>28317108.399999999</v>
      </c>
    </row>
    <row r="313" spans="1:22" ht="23.1" customHeight="1" x14ac:dyDescent="0.25">
      <c r="A313" s="1" t="s">
        <v>1877</v>
      </c>
      <c r="B313" s="2" t="s">
        <v>1598</v>
      </c>
      <c r="C313" s="3">
        <f t="shared" ref="C313" si="106">D313+L313+N313+P313+R313+S313+T313+U313</f>
        <v>4068458.4</v>
      </c>
      <c r="D313" s="4">
        <f t="shared" ref="D313" si="107">SUM(E313:J313)</f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5">
        <v>0</v>
      </c>
      <c r="L313" s="4">
        <v>0</v>
      </c>
      <c r="M313" s="4">
        <v>1220.3</v>
      </c>
      <c r="N313" s="4">
        <v>4068458.4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7">
        <f>N313/M313</f>
        <v>3333.982135540441</v>
      </c>
    </row>
    <row r="314" spans="1:22" ht="35.1" customHeight="1" x14ac:dyDescent="0.25">
      <c r="A314" s="55" t="s">
        <v>333</v>
      </c>
      <c r="B314" s="55"/>
      <c r="C314" s="3">
        <f>SUM(C315:C316)</f>
        <v>7492431.0999999996</v>
      </c>
      <c r="D314" s="3">
        <f t="shared" ref="D314:U314" si="108">SUM(D315:D316)</f>
        <v>341859</v>
      </c>
      <c r="E314" s="3">
        <f t="shared" si="108"/>
        <v>341859</v>
      </c>
      <c r="F314" s="3">
        <f t="shared" si="108"/>
        <v>0</v>
      </c>
      <c r="G314" s="3">
        <f t="shared" si="108"/>
        <v>0</v>
      </c>
      <c r="H314" s="3">
        <f t="shared" si="108"/>
        <v>0</v>
      </c>
      <c r="I314" s="3">
        <f t="shared" si="108"/>
        <v>0</v>
      </c>
      <c r="J314" s="3">
        <f t="shared" si="108"/>
        <v>0</v>
      </c>
      <c r="K314" s="15">
        <f t="shared" si="108"/>
        <v>0</v>
      </c>
      <c r="L314" s="3">
        <f t="shared" si="108"/>
        <v>0</v>
      </c>
      <c r="M314" s="3">
        <f t="shared" si="108"/>
        <v>1034.3699999999999</v>
      </c>
      <c r="N314" s="3">
        <f t="shared" si="108"/>
        <v>5260969.0999999996</v>
      </c>
      <c r="O314" s="3">
        <f t="shared" si="108"/>
        <v>0</v>
      </c>
      <c r="P314" s="3">
        <f t="shared" si="108"/>
        <v>0</v>
      </c>
      <c r="Q314" s="3">
        <f t="shared" si="108"/>
        <v>648.6</v>
      </c>
      <c r="R314" s="3">
        <f t="shared" si="108"/>
        <v>1689603</v>
      </c>
      <c r="S314" s="3">
        <f t="shared" si="108"/>
        <v>0</v>
      </c>
      <c r="T314" s="3">
        <f t="shared" si="108"/>
        <v>0</v>
      </c>
      <c r="U314" s="3">
        <f t="shared" si="108"/>
        <v>200000</v>
      </c>
      <c r="V314" s="21">
        <f>C314</f>
        <v>7492431.0999999996</v>
      </c>
    </row>
    <row r="315" spans="1:22" ht="23.1" customHeight="1" x14ac:dyDescent="0.25">
      <c r="A315" s="24" t="s">
        <v>1878</v>
      </c>
      <c r="B315" s="9" t="s">
        <v>1593</v>
      </c>
      <c r="C315" s="3">
        <f t="shared" si="102"/>
        <v>2367169.1</v>
      </c>
      <c r="D315" s="4">
        <f t="shared" ref="D315:D316" si="109">SUM(E315:J315)</f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12">
        <v>0</v>
      </c>
      <c r="L315" s="6">
        <v>0</v>
      </c>
      <c r="M315" s="6">
        <v>488.37</v>
      </c>
      <c r="N315" s="6">
        <v>2367169.1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7">
        <f t="shared" ref="V315:V316" si="110">N315/M315</f>
        <v>4847.081311300858</v>
      </c>
    </row>
    <row r="316" spans="1:22" ht="23.1" customHeight="1" x14ac:dyDescent="0.25">
      <c r="A316" s="24" t="s">
        <v>1879</v>
      </c>
      <c r="B316" s="9" t="s">
        <v>334</v>
      </c>
      <c r="C316" s="3">
        <f t="shared" si="102"/>
        <v>5125262</v>
      </c>
      <c r="D316" s="4">
        <f t="shared" si="109"/>
        <v>341859</v>
      </c>
      <c r="E316" s="4">
        <f>350*976.74</f>
        <v>341859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12">
        <v>0</v>
      </c>
      <c r="L316" s="6">
        <v>0</v>
      </c>
      <c r="M316" s="6">
        <v>546</v>
      </c>
      <c r="N316" s="4">
        <v>2893800</v>
      </c>
      <c r="O316" s="6">
        <v>0</v>
      </c>
      <c r="P316" s="6">
        <v>0</v>
      </c>
      <c r="Q316" s="6">
        <v>648.6</v>
      </c>
      <c r="R316" s="6">
        <v>1689603</v>
      </c>
      <c r="S316" s="6">
        <v>0</v>
      </c>
      <c r="T316" s="6">
        <v>0</v>
      </c>
      <c r="U316" s="6">
        <v>200000</v>
      </c>
      <c r="V316" s="7">
        <f t="shared" si="110"/>
        <v>5300</v>
      </c>
    </row>
    <row r="317" spans="1:22" ht="40.15" customHeight="1" x14ac:dyDescent="0.25">
      <c r="A317" s="55" t="s">
        <v>335</v>
      </c>
      <c r="B317" s="55"/>
      <c r="C317" s="3">
        <f>SUM(C318)</f>
        <v>3020000</v>
      </c>
      <c r="D317" s="3">
        <f t="shared" ref="D317:U317" si="111">SUM(D318)</f>
        <v>2820000</v>
      </c>
      <c r="E317" s="3">
        <f t="shared" si="111"/>
        <v>420000</v>
      </c>
      <c r="F317" s="3">
        <f t="shared" si="111"/>
        <v>960000</v>
      </c>
      <c r="G317" s="3">
        <f t="shared" si="111"/>
        <v>360000</v>
      </c>
      <c r="H317" s="3">
        <f t="shared" si="111"/>
        <v>600000</v>
      </c>
      <c r="I317" s="3">
        <f t="shared" si="111"/>
        <v>480000</v>
      </c>
      <c r="J317" s="3">
        <f t="shared" si="111"/>
        <v>0</v>
      </c>
      <c r="K317" s="15">
        <f t="shared" si="111"/>
        <v>0</v>
      </c>
      <c r="L317" s="3">
        <f t="shared" si="111"/>
        <v>0</v>
      </c>
      <c r="M317" s="3">
        <f t="shared" si="111"/>
        <v>0</v>
      </c>
      <c r="N317" s="3">
        <f t="shared" si="111"/>
        <v>0</v>
      </c>
      <c r="O317" s="3">
        <f t="shared" si="111"/>
        <v>0</v>
      </c>
      <c r="P317" s="3">
        <f t="shared" si="111"/>
        <v>0</v>
      </c>
      <c r="Q317" s="3">
        <f t="shared" si="111"/>
        <v>0</v>
      </c>
      <c r="R317" s="3">
        <f t="shared" si="111"/>
        <v>0</v>
      </c>
      <c r="S317" s="3">
        <f t="shared" si="111"/>
        <v>0</v>
      </c>
      <c r="T317" s="3">
        <f t="shared" si="111"/>
        <v>0</v>
      </c>
      <c r="U317" s="3">
        <f t="shared" si="111"/>
        <v>200000</v>
      </c>
      <c r="V317" s="21">
        <f>C317+C738</f>
        <v>27268650</v>
      </c>
    </row>
    <row r="318" spans="1:22" ht="21.95" customHeight="1" x14ac:dyDescent="0.25">
      <c r="A318" s="1" t="s">
        <v>1880</v>
      </c>
      <c r="B318" s="9" t="s">
        <v>833</v>
      </c>
      <c r="C318" s="3">
        <f t="shared" si="102"/>
        <v>3020000</v>
      </c>
      <c r="D318" s="4">
        <f t="shared" ref="D318" si="112">SUM(E318:J318)</f>
        <v>2820000</v>
      </c>
      <c r="E318" s="4">
        <f>350*1200</f>
        <v>420000</v>
      </c>
      <c r="F318" s="4">
        <f>800*1200</f>
        <v>960000</v>
      </c>
      <c r="G318" s="4">
        <f>300*1200</f>
        <v>360000</v>
      </c>
      <c r="H318" s="4">
        <f>500*1200</f>
        <v>600000</v>
      </c>
      <c r="I318" s="4">
        <f>400*1200</f>
        <v>480000</v>
      </c>
      <c r="J318" s="4">
        <f>350*0</f>
        <v>0</v>
      </c>
      <c r="K318" s="5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200000</v>
      </c>
      <c r="V318" s="7" t="e">
        <f>N318/M318</f>
        <v>#DIV/0!</v>
      </c>
    </row>
    <row r="319" spans="1:22" ht="40.15" customHeight="1" x14ac:dyDescent="0.25">
      <c r="A319" s="55" t="s">
        <v>337</v>
      </c>
      <c r="B319" s="55"/>
      <c r="C319" s="3">
        <f>SUM(C320)</f>
        <v>2939550.26</v>
      </c>
      <c r="D319" s="3">
        <f t="shared" ref="D319:U319" si="113">SUM(D320)</f>
        <v>0</v>
      </c>
      <c r="E319" s="3">
        <f t="shared" si="113"/>
        <v>0</v>
      </c>
      <c r="F319" s="3">
        <f t="shared" si="113"/>
        <v>0</v>
      </c>
      <c r="G319" s="3">
        <f t="shared" si="113"/>
        <v>0</v>
      </c>
      <c r="H319" s="3">
        <f t="shared" si="113"/>
        <v>0</v>
      </c>
      <c r="I319" s="3">
        <f t="shared" si="113"/>
        <v>0</v>
      </c>
      <c r="J319" s="3">
        <f t="shared" si="113"/>
        <v>0</v>
      </c>
      <c r="K319" s="15">
        <f t="shared" si="113"/>
        <v>0</v>
      </c>
      <c r="L319" s="3">
        <f t="shared" si="113"/>
        <v>0</v>
      </c>
      <c r="M319" s="3">
        <f t="shared" si="113"/>
        <v>550</v>
      </c>
      <c r="N319" s="3">
        <f t="shared" si="113"/>
        <v>2915000</v>
      </c>
      <c r="O319" s="3">
        <f t="shared" si="113"/>
        <v>0</v>
      </c>
      <c r="P319" s="3">
        <f t="shared" si="113"/>
        <v>0</v>
      </c>
      <c r="Q319" s="3">
        <f t="shared" si="113"/>
        <v>0</v>
      </c>
      <c r="R319" s="3">
        <f t="shared" si="113"/>
        <v>0</v>
      </c>
      <c r="S319" s="3">
        <f t="shared" si="113"/>
        <v>0</v>
      </c>
      <c r="T319" s="3">
        <f t="shared" si="113"/>
        <v>0</v>
      </c>
      <c r="U319" s="3">
        <f t="shared" si="113"/>
        <v>24550.26</v>
      </c>
      <c r="V319" s="21">
        <f>C319</f>
        <v>2939550.26</v>
      </c>
    </row>
    <row r="320" spans="1:22" ht="21.95" customHeight="1" x14ac:dyDescent="0.25">
      <c r="A320" s="1" t="s">
        <v>1881</v>
      </c>
      <c r="B320" s="9" t="s">
        <v>338</v>
      </c>
      <c r="C320" s="3">
        <f t="shared" si="102"/>
        <v>2939550.26</v>
      </c>
      <c r="D320" s="4">
        <f t="shared" ref="D320" si="114">SUM(E320:J320)</f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5">
        <v>0</v>
      </c>
      <c r="L320" s="4">
        <v>0</v>
      </c>
      <c r="M320" s="4">
        <v>550</v>
      </c>
      <c r="N320" s="4">
        <f>M320*5300</f>
        <v>2915000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24550.26</v>
      </c>
      <c r="V320" s="7">
        <f>N320/M320</f>
        <v>5300</v>
      </c>
    </row>
    <row r="321" spans="1:22" ht="40.15" customHeight="1" x14ac:dyDescent="0.25">
      <c r="A321" s="55" t="s">
        <v>1923</v>
      </c>
      <c r="B321" s="55"/>
      <c r="C321" s="3">
        <f>SUM(C322:C335)</f>
        <v>76882059.239999995</v>
      </c>
      <c r="D321" s="3">
        <f t="shared" ref="D321:U321" si="115">SUM(D322:D335)</f>
        <v>2256000</v>
      </c>
      <c r="E321" s="3">
        <f t="shared" si="115"/>
        <v>752000</v>
      </c>
      <c r="F321" s="3">
        <f t="shared" si="115"/>
        <v>0</v>
      </c>
      <c r="G321" s="3">
        <f t="shared" si="115"/>
        <v>752000</v>
      </c>
      <c r="H321" s="3">
        <f t="shared" si="115"/>
        <v>0</v>
      </c>
      <c r="I321" s="3">
        <f t="shared" si="115"/>
        <v>752000</v>
      </c>
      <c r="J321" s="3">
        <f t="shared" si="115"/>
        <v>0</v>
      </c>
      <c r="K321" s="15">
        <f t="shared" si="115"/>
        <v>6</v>
      </c>
      <c r="L321" s="3">
        <f t="shared" si="115"/>
        <v>12900000</v>
      </c>
      <c r="M321" s="3">
        <f t="shared" si="115"/>
        <v>8690</v>
      </c>
      <c r="N321" s="3">
        <f t="shared" si="115"/>
        <v>30388628.800000001</v>
      </c>
      <c r="O321" s="3">
        <f t="shared" si="115"/>
        <v>0</v>
      </c>
      <c r="P321" s="3">
        <f t="shared" si="115"/>
        <v>0</v>
      </c>
      <c r="Q321" s="3">
        <f t="shared" si="115"/>
        <v>10614</v>
      </c>
      <c r="R321" s="3">
        <f t="shared" si="115"/>
        <v>27911864.829999998</v>
      </c>
      <c r="S321" s="3">
        <f t="shared" si="115"/>
        <v>500000</v>
      </c>
      <c r="T321" s="3">
        <f t="shared" si="115"/>
        <v>0</v>
      </c>
      <c r="U321" s="3">
        <f t="shared" si="115"/>
        <v>2925565.6100000003</v>
      </c>
      <c r="V321" s="21">
        <f>C321+C740+C1088</f>
        <v>313780974.24000001</v>
      </c>
    </row>
    <row r="322" spans="1:22" ht="21.95" customHeight="1" x14ac:dyDescent="0.25">
      <c r="A322" s="1" t="s">
        <v>1882</v>
      </c>
      <c r="B322" s="9" t="s">
        <v>339</v>
      </c>
      <c r="C322" s="3">
        <f t="shared" si="102"/>
        <v>2925706.35</v>
      </c>
      <c r="D322" s="4">
        <f t="shared" ref="D322:D335" si="116">SUM(E322:J322)</f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5">
        <v>0</v>
      </c>
      <c r="L322" s="4">
        <v>0</v>
      </c>
      <c r="M322" s="4">
        <v>911.03</v>
      </c>
      <c r="N322" s="4">
        <v>2827430.4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98275.95</v>
      </c>
      <c r="V322" s="7">
        <f t="shared" ref="V322:V335" si="117">N322/M322</f>
        <v>3103.5535602559739</v>
      </c>
    </row>
    <row r="323" spans="1:22" ht="21.95" customHeight="1" x14ac:dyDescent="0.25">
      <c r="A323" s="1" t="s">
        <v>1883</v>
      </c>
      <c r="B323" s="9" t="s">
        <v>340</v>
      </c>
      <c r="C323" s="3">
        <f t="shared" si="102"/>
        <v>3929419.09</v>
      </c>
      <c r="D323" s="4">
        <f t="shared" si="116"/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5">
        <v>0</v>
      </c>
      <c r="L323" s="4">
        <v>0</v>
      </c>
      <c r="M323" s="4">
        <v>1236.1400000000001</v>
      </c>
      <c r="N323" s="4">
        <v>3828000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101419.09</v>
      </c>
      <c r="V323" s="7">
        <f t="shared" si="117"/>
        <v>3096.7366155937029</v>
      </c>
    </row>
    <row r="324" spans="1:22" ht="21.95" customHeight="1" x14ac:dyDescent="0.25">
      <c r="A324" s="1" t="s">
        <v>1884</v>
      </c>
      <c r="B324" s="9" t="s">
        <v>341</v>
      </c>
      <c r="C324" s="3">
        <f t="shared" si="102"/>
        <v>4817880.9799999995</v>
      </c>
      <c r="D324" s="4">
        <f t="shared" si="116"/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5">
        <v>0</v>
      </c>
      <c r="L324" s="4">
        <v>0</v>
      </c>
      <c r="M324" s="4">
        <v>1587.42</v>
      </c>
      <c r="N324" s="4">
        <v>4706253.5999999996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111627.38</v>
      </c>
      <c r="V324" s="7">
        <f t="shared" si="117"/>
        <v>2964.71859999244</v>
      </c>
    </row>
    <row r="325" spans="1:22" ht="21.95" customHeight="1" x14ac:dyDescent="0.25">
      <c r="A325" s="1" t="s">
        <v>1885</v>
      </c>
      <c r="B325" s="9" t="s">
        <v>342</v>
      </c>
      <c r="C325" s="3">
        <f t="shared" si="102"/>
        <v>4998407.29</v>
      </c>
      <c r="D325" s="4">
        <f t="shared" si="116"/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5">
        <v>0</v>
      </c>
      <c r="L325" s="4">
        <v>0</v>
      </c>
      <c r="M325" s="4">
        <v>1673</v>
      </c>
      <c r="N325" s="4">
        <v>4914912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83495.289999999994</v>
      </c>
      <c r="V325" s="7">
        <f t="shared" si="117"/>
        <v>2937.7836222355049</v>
      </c>
    </row>
    <row r="326" spans="1:22" ht="21.95" customHeight="1" x14ac:dyDescent="0.25">
      <c r="A326" s="1" t="s">
        <v>1886</v>
      </c>
      <c r="B326" s="9" t="s">
        <v>343</v>
      </c>
      <c r="C326" s="3">
        <f t="shared" si="102"/>
        <v>4568951.93</v>
      </c>
      <c r="D326" s="4">
        <f t="shared" si="116"/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5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1700</v>
      </c>
      <c r="R326" s="4">
        <v>4428500</v>
      </c>
      <c r="S326" s="4">
        <v>0</v>
      </c>
      <c r="T326" s="4">
        <v>0</v>
      </c>
      <c r="U326" s="4">
        <v>140451.93</v>
      </c>
      <c r="V326" s="7" t="e">
        <f t="shared" si="117"/>
        <v>#DIV/0!</v>
      </c>
    </row>
    <row r="327" spans="1:22" ht="21.95" customHeight="1" x14ac:dyDescent="0.25">
      <c r="A327" s="1" t="s">
        <v>1887</v>
      </c>
      <c r="B327" s="9" t="s">
        <v>345</v>
      </c>
      <c r="C327" s="3">
        <f t="shared" si="102"/>
        <v>4532271.66</v>
      </c>
      <c r="D327" s="4">
        <f t="shared" si="116"/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5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1690</v>
      </c>
      <c r="R327" s="4">
        <v>4402450</v>
      </c>
      <c r="S327" s="4">
        <v>0</v>
      </c>
      <c r="T327" s="4">
        <v>0</v>
      </c>
      <c r="U327" s="4">
        <v>129821.66</v>
      </c>
      <c r="V327" s="7" t="e">
        <f t="shared" si="117"/>
        <v>#DIV/0!</v>
      </c>
    </row>
    <row r="328" spans="1:22" ht="21.95" customHeight="1" x14ac:dyDescent="0.25">
      <c r="A328" s="1" t="s">
        <v>1888</v>
      </c>
      <c r="B328" s="9" t="s">
        <v>346</v>
      </c>
      <c r="C328" s="3">
        <f t="shared" si="102"/>
        <v>4552950.93</v>
      </c>
      <c r="D328" s="4">
        <f t="shared" si="116"/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5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1700</v>
      </c>
      <c r="R328" s="4">
        <v>4428500</v>
      </c>
      <c r="S328" s="4">
        <v>0</v>
      </c>
      <c r="T328" s="4">
        <v>0</v>
      </c>
      <c r="U328" s="4">
        <v>124450.93</v>
      </c>
      <c r="V328" s="7" t="e">
        <f t="shared" si="117"/>
        <v>#DIV/0!</v>
      </c>
    </row>
    <row r="329" spans="1:22" ht="21.95" customHeight="1" x14ac:dyDescent="0.25">
      <c r="A329" s="1" t="s">
        <v>1889</v>
      </c>
      <c r="B329" s="9" t="s">
        <v>347</v>
      </c>
      <c r="C329" s="3">
        <f t="shared" si="102"/>
        <v>4528460.6399999997</v>
      </c>
      <c r="D329" s="4">
        <f t="shared" si="116"/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5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1894</v>
      </c>
      <c r="R329" s="4">
        <v>4406264.83</v>
      </c>
      <c r="S329" s="4">
        <v>0</v>
      </c>
      <c r="T329" s="4">
        <v>0</v>
      </c>
      <c r="U329" s="4">
        <v>122195.81</v>
      </c>
      <c r="V329" s="7" t="e">
        <f t="shared" si="117"/>
        <v>#DIV/0!</v>
      </c>
    </row>
    <row r="330" spans="1:22" ht="21.95" customHeight="1" x14ac:dyDescent="0.25">
      <c r="A330" s="1" t="s">
        <v>1890</v>
      </c>
      <c r="B330" s="9" t="s">
        <v>344</v>
      </c>
      <c r="C330" s="3">
        <f>D330+L330+N330+P330+R330+S330+T330+U330</f>
        <v>105201.37</v>
      </c>
      <c r="D330" s="4">
        <f>SUM(E330:J330)</f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5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105201.37</v>
      </c>
      <c r="V330" s="7" t="e">
        <f>N330/M330</f>
        <v>#DIV/0!</v>
      </c>
    </row>
    <row r="331" spans="1:22" ht="21.95" customHeight="1" x14ac:dyDescent="0.25">
      <c r="A331" s="1" t="s">
        <v>1891</v>
      </c>
      <c r="B331" s="9" t="s">
        <v>1437</v>
      </c>
      <c r="C331" s="3">
        <f t="shared" si="102"/>
        <v>7748753.8399999999</v>
      </c>
      <c r="D331" s="4">
        <f t="shared" si="116"/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5">
        <v>0</v>
      </c>
      <c r="L331" s="4">
        <v>0</v>
      </c>
      <c r="M331" s="6">
        <v>783.3</v>
      </c>
      <c r="N331" s="6">
        <f>M331*5500</f>
        <v>4308150</v>
      </c>
      <c r="O331" s="4">
        <v>0</v>
      </c>
      <c r="P331" s="4">
        <v>0</v>
      </c>
      <c r="Q331" s="4">
        <v>900</v>
      </c>
      <c r="R331" s="4">
        <f>Q331*3000</f>
        <v>2700000</v>
      </c>
      <c r="S331" s="4">
        <v>500000</v>
      </c>
      <c r="T331" s="4">
        <v>0</v>
      </c>
      <c r="U331" s="4">
        <v>240603.84</v>
      </c>
      <c r="V331" s="7">
        <f t="shared" si="117"/>
        <v>5500</v>
      </c>
    </row>
    <row r="332" spans="1:22" ht="21.95" customHeight="1" x14ac:dyDescent="0.25">
      <c r="A332" s="1" t="s">
        <v>1892</v>
      </c>
      <c r="B332" s="9" t="s">
        <v>1397</v>
      </c>
      <c r="C332" s="3">
        <f t="shared" ref="C332" si="118">D332+L332+N332+P332+R332+S332+T332+U332</f>
        <v>435666.08</v>
      </c>
      <c r="D332" s="4">
        <f t="shared" ref="D332" si="119">SUM(E332:J332)</f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5">
        <v>0</v>
      </c>
      <c r="L332" s="4">
        <v>0</v>
      </c>
      <c r="M332" s="20"/>
      <c r="N332" s="20"/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435666.08</v>
      </c>
      <c r="V332" s="7">
        <f>N748/M748</f>
        <v>5300</v>
      </c>
    </row>
    <row r="333" spans="1:22" ht="21.95" customHeight="1" x14ac:dyDescent="0.25">
      <c r="A333" s="1" t="s">
        <v>1893</v>
      </c>
      <c r="B333" s="9" t="s">
        <v>1438</v>
      </c>
      <c r="C333" s="3">
        <f t="shared" si="102"/>
        <v>10330706.279999999</v>
      </c>
      <c r="D333" s="4">
        <f t="shared" si="116"/>
        <v>2256000</v>
      </c>
      <c r="E333" s="4">
        <v>752000</v>
      </c>
      <c r="F333" s="4">
        <v>0</v>
      </c>
      <c r="G333" s="4">
        <v>752000</v>
      </c>
      <c r="H333" s="4">
        <v>0</v>
      </c>
      <c r="I333" s="4">
        <v>752000</v>
      </c>
      <c r="J333" s="4">
        <v>0</v>
      </c>
      <c r="K333" s="5">
        <v>0</v>
      </c>
      <c r="L333" s="4">
        <v>0</v>
      </c>
      <c r="M333" s="6">
        <v>807.7</v>
      </c>
      <c r="N333" s="6">
        <f>M333*5500</f>
        <v>4442350</v>
      </c>
      <c r="O333" s="4">
        <v>0</v>
      </c>
      <c r="P333" s="4">
        <v>0</v>
      </c>
      <c r="Q333" s="4">
        <v>1100</v>
      </c>
      <c r="R333" s="4">
        <f>Q333*3000</f>
        <v>3300000</v>
      </c>
      <c r="S333" s="4">
        <v>0</v>
      </c>
      <c r="T333" s="4">
        <v>0</v>
      </c>
      <c r="U333" s="4">
        <v>332356.28000000003</v>
      </c>
      <c r="V333" s="7">
        <f t="shared" si="117"/>
        <v>5500</v>
      </c>
    </row>
    <row r="334" spans="1:22" ht="21.95" customHeight="1" x14ac:dyDescent="0.25">
      <c r="A334" s="1" t="s">
        <v>1894</v>
      </c>
      <c r="B334" s="30" t="s">
        <v>1420</v>
      </c>
      <c r="C334" s="3">
        <f t="shared" si="102"/>
        <v>4746150</v>
      </c>
      <c r="D334" s="4">
        <f t="shared" si="116"/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5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31">
        <v>1630</v>
      </c>
      <c r="R334" s="6">
        <v>4246150</v>
      </c>
      <c r="S334" s="4">
        <v>0</v>
      </c>
      <c r="T334" s="4">
        <v>0</v>
      </c>
      <c r="U334" s="4">
        <v>500000</v>
      </c>
      <c r="V334" s="7" t="e">
        <f t="shared" si="117"/>
        <v>#DIV/0!</v>
      </c>
    </row>
    <row r="335" spans="1:22" ht="21.95" customHeight="1" x14ac:dyDescent="0.25">
      <c r="A335" s="1" t="s">
        <v>1895</v>
      </c>
      <c r="B335" s="9" t="s">
        <v>372</v>
      </c>
      <c r="C335" s="3">
        <f>D335+L335+N335+P335+R335+S335+T335+U335</f>
        <v>18661532.800000001</v>
      </c>
      <c r="D335" s="4">
        <f t="shared" si="116"/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5">
        <v>6</v>
      </c>
      <c r="L335" s="4">
        <v>12900000</v>
      </c>
      <c r="M335" s="4">
        <v>1691.41</v>
      </c>
      <c r="N335" s="4">
        <v>5361532.8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400000</v>
      </c>
      <c r="V335" s="7">
        <f t="shared" si="117"/>
        <v>3169.8599393405498</v>
      </c>
    </row>
    <row r="336" spans="1:22" s="17" customFormat="1" ht="24.95" customHeight="1" x14ac:dyDescent="0.25">
      <c r="A336" s="57" t="s">
        <v>209</v>
      </c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16"/>
    </row>
    <row r="337" spans="1:22" ht="24.95" customHeight="1" x14ac:dyDescent="0.25">
      <c r="A337" s="56" t="s">
        <v>210</v>
      </c>
      <c r="B337" s="56"/>
      <c r="C337" s="3">
        <f t="shared" ref="C337:U337" si="120">C338+C341+C361+C363+C367+C371+C373+C376+C378+C383+C391+C393+C395+C398+C400+C403+C405+C409+C412+C415+C422+C424+C444+C446+C456+C464+C466+C468+C484+C486+C489+C491+C702+C706+C708+C711+C722+C724+C728+C730+C734+C738+C740+C754+C757</f>
        <v>1513154670.78</v>
      </c>
      <c r="D337" s="3">
        <f t="shared" si="120"/>
        <v>252761802.12</v>
      </c>
      <c r="E337" s="3">
        <f t="shared" si="120"/>
        <v>42154416.5</v>
      </c>
      <c r="F337" s="3">
        <f t="shared" si="120"/>
        <v>121323399.62</v>
      </c>
      <c r="G337" s="3">
        <f t="shared" si="120"/>
        <v>34285026</v>
      </c>
      <c r="H337" s="3">
        <f t="shared" si="120"/>
        <v>26040040</v>
      </c>
      <c r="I337" s="3">
        <f t="shared" si="120"/>
        <v>28958920</v>
      </c>
      <c r="J337" s="3">
        <f t="shared" si="120"/>
        <v>0</v>
      </c>
      <c r="K337" s="15">
        <f t="shared" si="120"/>
        <v>25</v>
      </c>
      <c r="L337" s="3">
        <f t="shared" si="120"/>
        <v>54500000</v>
      </c>
      <c r="M337" s="3">
        <f t="shared" si="120"/>
        <v>159342.94000000006</v>
      </c>
      <c r="N337" s="3">
        <f t="shared" si="120"/>
        <v>837226207.22000003</v>
      </c>
      <c r="O337" s="3">
        <f t="shared" si="120"/>
        <v>1639.1</v>
      </c>
      <c r="P337" s="3">
        <f t="shared" si="120"/>
        <v>2747230</v>
      </c>
      <c r="Q337" s="3">
        <f t="shared" si="120"/>
        <v>114925.12000000001</v>
      </c>
      <c r="R337" s="3">
        <f t="shared" si="120"/>
        <v>344775360</v>
      </c>
      <c r="S337" s="3">
        <f t="shared" si="120"/>
        <v>5095136</v>
      </c>
      <c r="T337" s="3">
        <f t="shared" si="120"/>
        <v>0</v>
      </c>
      <c r="U337" s="3">
        <f t="shared" si="120"/>
        <v>16048935.439999999</v>
      </c>
    </row>
    <row r="338" spans="1:22" ht="45" customHeight="1" x14ac:dyDescent="0.25">
      <c r="A338" s="55" t="s">
        <v>1922</v>
      </c>
      <c r="B338" s="55"/>
      <c r="C338" s="3">
        <f>SUM(C339:C340)</f>
        <v>12716900</v>
      </c>
      <c r="D338" s="3">
        <f t="shared" ref="D338:U338" si="121">SUM(D339:D340)</f>
        <v>1454400</v>
      </c>
      <c r="E338" s="3">
        <f t="shared" si="121"/>
        <v>565600</v>
      </c>
      <c r="F338" s="3">
        <f t="shared" si="121"/>
        <v>0</v>
      </c>
      <c r="G338" s="3">
        <f t="shared" si="121"/>
        <v>484800</v>
      </c>
      <c r="H338" s="3">
        <f t="shared" si="121"/>
        <v>0</v>
      </c>
      <c r="I338" s="3">
        <f t="shared" si="121"/>
        <v>404000</v>
      </c>
      <c r="J338" s="3">
        <f t="shared" si="121"/>
        <v>0</v>
      </c>
      <c r="K338" s="15">
        <f t="shared" si="121"/>
        <v>0</v>
      </c>
      <c r="L338" s="3">
        <f t="shared" si="121"/>
        <v>0</v>
      </c>
      <c r="M338" s="3">
        <f t="shared" si="121"/>
        <v>1248</v>
      </c>
      <c r="N338" s="3">
        <f t="shared" si="121"/>
        <v>6864000</v>
      </c>
      <c r="O338" s="3">
        <f t="shared" si="121"/>
        <v>0</v>
      </c>
      <c r="P338" s="3">
        <f t="shared" si="121"/>
        <v>0</v>
      </c>
      <c r="Q338" s="3">
        <f t="shared" si="121"/>
        <v>1399.5</v>
      </c>
      <c r="R338" s="3">
        <f t="shared" si="121"/>
        <v>4198500</v>
      </c>
      <c r="S338" s="3">
        <f t="shared" si="121"/>
        <v>0</v>
      </c>
      <c r="T338" s="3">
        <f t="shared" si="121"/>
        <v>0</v>
      </c>
      <c r="U338" s="3">
        <f t="shared" si="121"/>
        <v>200000</v>
      </c>
    </row>
    <row r="339" spans="1:22" ht="21.95" customHeight="1" x14ac:dyDescent="0.25">
      <c r="A339" s="1" t="s">
        <v>1896</v>
      </c>
      <c r="B339" s="32" t="s">
        <v>20</v>
      </c>
      <c r="C339" s="3">
        <f t="shared" ref="C339:C399" si="122">D339+L339+N339+P339+R339+S339+T339+U339</f>
        <v>5592200</v>
      </c>
      <c r="D339" s="4">
        <f t="shared" ref="D339:D340" si="123">SUM(E339:J339)</f>
        <v>623700</v>
      </c>
      <c r="E339" s="4">
        <f>350*693</f>
        <v>242550</v>
      </c>
      <c r="F339" s="4">
        <f>800*0</f>
        <v>0</v>
      </c>
      <c r="G339" s="4">
        <f>300*693</f>
        <v>207900</v>
      </c>
      <c r="H339" s="4">
        <f>400*0</f>
        <v>0</v>
      </c>
      <c r="I339" s="4">
        <f>250*693</f>
        <v>173250</v>
      </c>
      <c r="J339" s="4">
        <f>350*0</f>
        <v>0</v>
      </c>
      <c r="K339" s="5">
        <v>0</v>
      </c>
      <c r="L339" s="4">
        <v>0</v>
      </c>
      <c r="M339" s="4">
        <v>532</v>
      </c>
      <c r="N339" s="4">
        <f>M339*5500</f>
        <v>2926000</v>
      </c>
      <c r="O339" s="4">
        <v>0</v>
      </c>
      <c r="P339" s="4">
        <v>0</v>
      </c>
      <c r="Q339" s="4">
        <v>647.5</v>
      </c>
      <c r="R339" s="4">
        <f>Q339*3000</f>
        <v>1942500</v>
      </c>
      <c r="S339" s="4">
        <v>0</v>
      </c>
      <c r="T339" s="4">
        <v>0</v>
      </c>
      <c r="U339" s="4">
        <v>100000</v>
      </c>
      <c r="V339" s="7">
        <f>N339/M339</f>
        <v>5500</v>
      </c>
    </row>
    <row r="340" spans="1:22" ht="21.95" customHeight="1" x14ac:dyDescent="0.25">
      <c r="A340" s="1" t="s">
        <v>1897</v>
      </c>
      <c r="B340" s="33" t="s">
        <v>23</v>
      </c>
      <c r="C340" s="3">
        <f t="shared" si="122"/>
        <v>7124700</v>
      </c>
      <c r="D340" s="4">
        <f t="shared" si="123"/>
        <v>830700</v>
      </c>
      <c r="E340" s="4">
        <f>350*923</f>
        <v>323050</v>
      </c>
      <c r="F340" s="4">
        <f>800*0</f>
        <v>0</v>
      </c>
      <c r="G340" s="4">
        <f>300*923</f>
        <v>276900</v>
      </c>
      <c r="H340" s="4">
        <f>400*0</f>
        <v>0</v>
      </c>
      <c r="I340" s="4">
        <f>250*923</f>
        <v>230750</v>
      </c>
      <c r="J340" s="4">
        <f>350*0</f>
        <v>0</v>
      </c>
      <c r="K340" s="5">
        <v>0</v>
      </c>
      <c r="L340" s="4">
        <v>0</v>
      </c>
      <c r="M340" s="4">
        <v>716</v>
      </c>
      <c r="N340" s="4">
        <f t="shared" ref="N340" si="124">M340*5500</f>
        <v>3938000</v>
      </c>
      <c r="O340" s="4">
        <v>0</v>
      </c>
      <c r="P340" s="4">
        <v>0</v>
      </c>
      <c r="Q340" s="4">
        <v>752</v>
      </c>
      <c r="R340" s="4">
        <f>Q340*3000</f>
        <v>2256000</v>
      </c>
      <c r="S340" s="4">
        <v>0</v>
      </c>
      <c r="T340" s="4">
        <v>0</v>
      </c>
      <c r="U340" s="4">
        <v>100000</v>
      </c>
      <c r="V340" s="7">
        <f>N340/M340</f>
        <v>5500</v>
      </c>
    </row>
    <row r="341" spans="1:22" ht="45" customHeight="1" x14ac:dyDescent="0.25">
      <c r="A341" s="55" t="s">
        <v>0</v>
      </c>
      <c r="B341" s="55"/>
      <c r="C341" s="3">
        <f>SUM(C342:C360)</f>
        <v>142364717.45999998</v>
      </c>
      <c r="D341" s="3">
        <f t="shared" ref="D341:U341" si="125">SUM(D342:D360)</f>
        <v>20801965</v>
      </c>
      <c r="E341" s="3">
        <f t="shared" si="125"/>
        <v>3098165</v>
      </c>
      <c r="F341" s="3">
        <f t="shared" si="125"/>
        <v>9294495</v>
      </c>
      <c r="G341" s="3">
        <f t="shared" si="125"/>
        <v>2655570</v>
      </c>
      <c r="H341" s="3">
        <f t="shared" si="125"/>
        <v>3540760</v>
      </c>
      <c r="I341" s="3">
        <f t="shared" si="125"/>
        <v>2212975</v>
      </c>
      <c r="J341" s="3">
        <f t="shared" si="125"/>
        <v>0</v>
      </c>
      <c r="K341" s="15">
        <f t="shared" si="125"/>
        <v>10</v>
      </c>
      <c r="L341" s="3">
        <f t="shared" si="125"/>
        <v>21500000</v>
      </c>
      <c r="M341" s="3">
        <f t="shared" si="125"/>
        <v>13469.470000000003</v>
      </c>
      <c r="N341" s="3">
        <f t="shared" si="125"/>
        <v>60837037.020000003</v>
      </c>
      <c r="O341" s="3">
        <f t="shared" si="125"/>
        <v>383.4</v>
      </c>
      <c r="P341" s="3">
        <f t="shared" si="125"/>
        <v>1195680</v>
      </c>
      <c r="Q341" s="3">
        <f t="shared" si="125"/>
        <v>12193.7</v>
      </c>
      <c r="R341" s="3">
        <f t="shared" si="125"/>
        <v>36581100</v>
      </c>
      <c r="S341" s="3">
        <f t="shared" si="125"/>
        <v>0</v>
      </c>
      <c r="T341" s="3">
        <f t="shared" si="125"/>
        <v>0</v>
      </c>
      <c r="U341" s="3">
        <f t="shared" si="125"/>
        <v>1448935.44</v>
      </c>
    </row>
    <row r="342" spans="1:22" ht="23.1" customHeight="1" x14ac:dyDescent="0.25">
      <c r="A342" s="1" t="s">
        <v>1898</v>
      </c>
      <c r="B342" s="22" t="s">
        <v>40</v>
      </c>
      <c r="C342" s="3">
        <f t="shared" si="122"/>
        <v>3781250</v>
      </c>
      <c r="D342" s="4">
        <f t="shared" ref="D342:D360" si="126">SUM(E342:J342)</f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5">
        <v>0</v>
      </c>
      <c r="L342" s="4">
        <v>0</v>
      </c>
      <c r="M342" s="4">
        <v>687.5</v>
      </c>
      <c r="N342" s="4">
        <f t="shared" ref="N342:N343" si="127">M342*5500</f>
        <v>3781250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7">
        <f t="shared" ref="V342:V360" si="128">N342/M342</f>
        <v>5500</v>
      </c>
    </row>
    <row r="343" spans="1:22" ht="23.1" customHeight="1" x14ac:dyDescent="0.25">
      <c r="A343" s="1" t="s">
        <v>1899</v>
      </c>
      <c r="B343" s="9" t="s">
        <v>44</v>
      </c>
      <c r="C343" s="3">
        <f t="shared" si="122"/>
        <v>4675000</v>
      </c>
      <c r="D343" s="4">
        <f t="shared" si="126"/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5">
        <v>0</v>
      </c>
      <c r="L343" s="4">
        <v>0</v>
      </c>
      <c r="M343" s="4">
        <v>850</v>
      </c>
      <c r="N343" s="4">
        <f t="shared" si="127"/>
        <v>4675000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7">
        <f t="shared" si="128"/>
        <v>5500</v>
      </c>
    </row>
    <row r="344" spans="1:22" ht="23.1" customHeight="1" x14ac:dyDescent="0.25">
      <c r="A344" s="1" t="s">
        <v>1900</v>
      </c>
      <c r="B344" s="9" t="s">
        <v>17</v>
      </c>
      <c r="C344" s="3">
        <f t="shared" si="122"/>
        <v>14724680.439999999</v>
      </c>
      <c r="D344" s="4">
        <f t="shared" si="126"/>
        <v>4928655</v>
      </c>
      <c r="E344" s="4">
        <f>350*2097.3</f>
        <v>734055.00000000012</v>
      </c>
      <c r="F344" s="4">
        <f>1050*2097.3</f>
        <v>2202165</v>
      </c>
      <c r="G344" s="4">
        <f>300*2097.3</f>
        <v>629190</v>
      </c>
      <c r="H344" s="4">
        <f>400*2097.3</f>
        <v>838920.00000000012</v>
      </c>
      <c r="I344" s="4">
        <f>250*2097.3</f>
        <v>524325</v>
      </c>
      <c r="J344" s="4">
        <f>350*0</f>
        <v>0</v>
      </c>
      <c r="K344" s="5">
        <v>0</v>
      </c>
      <c r="L344" s="4">
        <v>0</v>
      </c>
      <c r="M344" s="4">
        <v>1315</v>
      </c>
      <c r="N344" s="4">
        <f>M344*3686</f>
        <v>4847090</v>
      </c>
      <c r="O344" s="4">
        <v>0</v>
      </c>
      <c r="P344" s="4">
        <v>0</v>
      </c>
      <c r="Q344" s="4">
        <v>1500</v>
      </c>
      <c r="R344" s="4">
        <f>Q344*3000</f>
        <v>4500000</v>
      </c>
      <c r="S344" s="4">
        <v>0</v>
      </c>
      <c r="T344" s="4">
        <v>0</v>
      </c>
      <c r="U344" s="4">
        <v>448935.44</v>
      </c>
      <c r="V344" s="7">
        <f t="shared" si="128"/>
        <v>3686</v>
      </c>
    </row>
    <row r="345" spans="1:22" ht="23.1" customHeight="1" x14ac:dyDescent="0.25">
      <c r="A345" s="1" t="s">
        <v>1901</v>
      </c>
      <c r="B345" s="9" t="s">
        <v>47</v>
      </c>
      <c r="C345" s="3">
        <f t="shared" si="122"/>
        <v>1409650</v>
      </c>
      <c r="D345" s="4">
        <f t="shared" si="126"/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5">
        <v>0</v>
      </c>
      <c r="L345" s="4">
        <v>0</v>
      </c>
      <c r="M345" s="4">
        <v>256.3</v>
      </c>
      <c r="N345" s="4">
        <f t="shared" ref="N345:N349" si="129">M345*5500</f>
        <v>1409650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7">
        <f t="shared" si="128"/>
        <v>5500</v>
      </c>
    </row>
    <row r="346" spans="1:22" ht="23.1" customHeight="1" x14ac:dyDescent="0.25">
      <c r="A346" s="1" t="s">
        <v>1902</v>
      </c>
      <c r="B346" s="9" t="s">
        <v>32</v>
      </c>
      <c r="C346" s="3">
        <f t="shared" si="122"/>
        <v>10227570</v>
      </c>
      <c r="D346" s="4">
        <f t="shared" si="126"/>
        <v>2341540</v>
      </c>
      <c r="E346" s="4">
        <f>350*996.4</f>
        <v>348740</v>
      </c>
      <c r="F346" s="4">
        <f>1050*996.4</f>
        <v>1046220</v>
      </c>
      <c r="G346" s="4">
        <f>300*996.4</f>
        <v>298920</v>
      </c>
      <c r="H346" s="4">
        <f>400*996.4</f>
        <v>398560</v>
      </c>
      <c r="I346" s="4">
        <f>250*996.4</f>
        <v>249100</v>
      </c>
      <c r="J346" s="4">
        <f>350*0</f>
        <v>0</v>
      </c>
      <c r="K346" s="5">
        <v>0</v>
      </c>
      <c r="L346" s="4">
        <v>0</v>
      </c>
      <c r="M346" s="4">
        <v>774.3</v>
      </c>
      <c r="N346" s="4">
        <f t="shared" si="129"/>
        <v>4258650</v>
      </c>
      <c r="O346" s="4">
        <v>383.4</v>
      </c>
      <c r="P346" s="4">
        <v>1195680</v>
      </c>
      <c r="Q346" s="4">
        <v>743.9</v>
      </c>
      <c r="R346" s="4">
        <f>Q346*3000</f>
        <v>2231700</v>
      </c>
      <c r="S346" s="4">
        <v>0</v>
      </c>
      <c r="T346" s="4">
        <v>0</v>
      </c>
      <c r="U346" s="4">
        <v>200000</v>
      </c>
      <c r="V346" s="7">
        <f t="shared" si="128"/>
        <v>5500</v>
      </c>
    </row>
    <row r="347" spans="1:22" ht="23.1" customHeight="1" x14ac:dyDescent="0.25">
      <c r="A347" s="1" t="s">
        <v>1903</v>
      </c>
      <c r="B347" s="9" t="s">
        <v>51</v>
      </c>
      <c r="C347" s="3">
        <f t="shared" si="122"/>
        <v>6689100</v>
      </c>
      <c r="D347" s="4">
        <f t="shared" si="126"/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5">
        <v>0</v>
      </c>
      <c r="L347" s="4">
        <v>0</v>
      </c>
      <c r="M347" s="4">
        <v>1216.2</v>
      </c>
      <c r="N347" s="4">
        <f t="shared" si="129"/>
        <v>6689100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7">
        <f t="shared" si="128"/>
        <v>5500</v>
      </c>
    </row>
    <row r="348" spans="1:22" ht="23.1" customHeight="1" x14ac:dyDescent="0.25">
      <c r="A348" s="1" t="s">
        <v>1904</v>
      </c>
      <c r="B348" s="9" t="s">
        <v>52</v>
      </c>
      <c r="C348" s="3">
        <f t="shared" si="122"/>
        <v>2772000</v>
      </c>
      <c r="D348" s="4">
        <f t="shared" si="126"/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5">
        <v>0</v>
      </c>
      <c r="L348" s="4">
        <v>0</v>
      </c>
      <c r="M348" s="4">
        <v>504</v>
      </c>
      <c r="N348" s="4">
        <f t="shared" si="129"/>
        <v>2772000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7">
        <f t="shared" si="128"/>
        <v>5500</v>
      </c>
    </row>
    <row r="349" spans="1:22" ht="23.1" customHeight="1" x14ac:dyDescent="0.25">
      <c r="A349" s="1" t="s">
        <v>1905</v>
      </c>
      <c r="B349" s="22" t="s">
        <v>58</v>
      </c>
      <c r="C349" s="3">
        <f t="shared" si="122"/>
        <v>3345649.9999999995</v>
      </c>
      <c r="D349" s="4">
        <f t="shared" si="126"/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5">
        <v>0</v>
      </c>
      <c r="L349" s="4">
        <v>0</v>
      </c>
      <c r="M349" s="4">
        <v>608.29999999999995</v>
      </c>
      <c r="N349" s="4">
        <f t="shared" si="129"/>
        <v>3345649.9999999995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7">
        <f t="shared" si="128"/>
        <v>5500</v>
      </c>
    </row>
    <row r="350" spans="1:22" ht="23.1" customHeight="1" x14ac:dyDescent="0.25">
      <c r="A350" s="1" t="s">
        <v>1906</v>
      </c>
      <c r="B350" s="9" t="s">
        <v>33</v>
      </c>
      <c r="C350" s="3">
        <f t="shared" si="122"/>
        <v>3384485.2</v>
      </c>
      <c r="D350" s="4">
        <f t="shared" si="126"/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5">
        <v>0</v>
      </c>
      <c r="L350" s="4">
        <v>0</v>
      </c>
      <c r="M350" s="4">
        <v>918.2</v>
      </c>
      <c r="N350" s="4">
        <f t="shared" ref="N350:N352" si="130">M350*3686</f>
        <v>3384485.2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7">
        <f t="shared" si="128"/>
        <v>3686</v>
      </c>
    </row>
    <row r="351" spans="1:22" ht="23.1" customHeight="1" x14ac:dyDescent="0.25">
      <c r="A351" s="1" t="s">
        <v>1907</v>
      </c>
      <c r="B351" s="9" t="s">
        <v>1932</v>
      </c>
      <c r="C351" s="3">
        <f t="shared" ref="C351" si="131">D351+L351+N351+P351+R351+S351+T351+U351</f>
        <v>13400000</v>
      </c>
      <c r="D351" s="4">
        <f t="shared" ref="D351" si="132">SUM(E351:J351)</f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5">
        <v>6</v>
      </c>
      <c r="L351" s="4">
        <f>K351*2150000</f>
        <v>12900000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500000</v>
      </c>
      <c r="V351" s="7" t="e">
        <f t="shared" si="128"/>
        <v>#DIV/0!</v>
      </c>
    </row>
    <row r="352" spans="1:22" ht="23.1" customHeight="1" x14ac:dyDescent="0.25">
      <c r="A352" s="1" t="s">
        <v>1908</v>
      </c>
      <c r="B352" s="9" t="s">
        <v>34</v>
      </c>
      <c r="C352" s="3">
        <f t="shared" si="122"/>
        <v>1232229.8</v>
      </c>
      <c r="D352" s="4">
        <f t="shared" si="126"/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5">
        <v>0</v>
      </c>
      <c r="L352" s="4">
        <v>0</v>
      </c>
      <c r="M352" s="4">
        <v>334.3</v>
      </c>
      <c r="N352" s="4">
        <f t="shared" si="130"/>
        <v>1232229.8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7">
        <f t="shared" si="128"/>
        <v>3686</v>
      </c>
    </row>
    <row r="353" spans="1:22" ht="23.1" customHeight="1" x14ac:dyDescent="0.25">
      <c r="A353" s="1" t="s">
        <v>1909</v>
      </c>
      <c r="B353" s="9" t="s">
        <v>61</v>
      </c>
      <c r="C353" s="3">
        <f>D353+L353+N353+P353+R353+S353+T353+U353</f>
        <v>5286600</v>
      </c>
      <c r="D353" s="4">
        <f>SUM(E353:J353)</f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5">
        <v>0</v>
      </c>
      <c r="L353" s="4">
        <v>0</v>
      </c>
      <c r="M353" s="4">
        <v>961.2</v>
      </c>
      <c r="N353" s="4">
        <f>M353*5500</f>
        <v>5286600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7">
        <f>N353/M353</f>
        <v>5500</v>
      </c>
    </row>
    <row r="354" spans="1:22" ht="23.1" customHeight="1" x14ac:dyDescent="0.25">
      <c r="A354" s="1" t="s">
        <v>1910</v>
      </c>
      <c r="B354" s="9" t="s">
        <v>60</v>
      </c>
      <c r="C354" s="3">
        <f t="shared" si="122"/>
        <v>1705550.0000000002</v>
      </c>
      <c r="D354" s="4">
        <f t="shared" si="126"/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5">
        <v>0</v>
      </c>
      <c r="L354" s="4">
        <v>0</v>
      </c>
      <c r="M354" s="4">
        <v>310.10000000000002</v>
      </c>
      <c r="N354" s="4">
        <f t="shared" ref="N354" si="133">M354*5500</f>
        <v>1705550.0000000002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7">
        <f t="shared" si="128"/>
        <v>5500</v>
      </c>
    </row>
    <row r="355" spans="1:22" ht="23.1" customHeight="1" x14ac:dyDescent="0.25">
      <c r="A355" s="1" t="s">
        <v>1911</v>
      </c>
      <c r="B355" s="9" t="s">
        <v>64</v>
      </c>
      <c r="C355" s="3">
        <f t="shared" si="122"/>
        <v>13097316</v>
      </c>
      <c r="D355" s="4">
        <f t="shared" si="126"/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5">
        <v>0</v>
      </c>
      <c r="L355" s="4">
        <v>0</v>
      </c>
      <c r="M355" s="4">
        <v>1206</v>
      </c>
      <c r="N355" s="4">
        <f t="shared" ref="N355:N357" si="134">M355*3686</f>
        <v>4445316</v>
      </c>
      <c r="O355" s="4">
        <v>0</v>
      </c>
      <c r="P355" s="4">
        <v>0</v>
      </c>
      <c r="Q355" s="4">
        <v>2884</v>
      </c>
      <c r="R355" s="4">
        <f t="shared" ref="R355:R356" si="135">Q355*3000</f>
        <v>8652000</v>
      </c>
      <c r="S355" s="4">
        <v>0</v>
      </c>
      <c r="T355" s="4">
        <v>0</v>
      </c>
      <c r="U355" s="4">
        <v>0</v>
      </c>
      <c r="V355" s="7">
        <f t="shared" si="128"/>
        <v>3686</v>
      </c>
    </row>
    <row r="356" spans="1:22" ht="23.1" customHeight="1" x14ac:dyDescent="0.25">
      <c r="A356" s="1" t="s">
        <v>1912</v>
      </c>
      <c r="B356" s="9" t="s">
        <v>1218</v>
      </c>
      <c r="C356" s="3">
        <f t="shared" si="122"/>
        <v>9951322.8200000003</v>
      </c>
      <c r="D356" s="4">
        <f t="shared" si="126"/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5">
        <v>0</v>
      </c>
      <c r="L356" s="4">
        <v>0</v>
      </c>
      <c r="M356" s="4">
        <v>1006.87</v>
      </c>
      <c r="N356" s="4">
        <f t="shared" si="134"/>
        <v>3711322.82</v>
      </c>
      <c r="O356" s="4">
        <v>0</v>
      </c>
      <c r="P356" s="4">
        <v>0</v>
      </c>
      <c r="Q356" s="4">
        <v>2080</v>
      </c>
      <c r="R356" s="4">
        <f t="shared" si="135"/>
        <v>6240000</v>
      </c>
      <c r="S356" s="4">
        <v>0</v>
      </c>
      <c r="T356" s="4">
        <v>0</v>
      </c>
      <c r="U356" s="4">
        <v>0</v>
      </c>
      <c r="V356" s="7">
        <f t="shared" si="128"/>
        <v>3686</v>
      </c>
    </row>
    <row r="357" spans="1:22" ht="23.1" customHeight="1" x14ac:dyDescent="0.25">
      <c r="A357" s="1" t="s">
        <v>839</v>
      </c>
      <c r="B357" s="22" t="s">
        <v>36</v>
      </c>
      <c r="C357" s="3">
        <f t="shared" si="122"/>
        <v>4556264.5999999996</v>
      </c>
      <c r="D357" s="4">
        <f t="shared" si="126"/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5">
        <v>0</v>
      </c>
      <c r="L357" s="4">
        <v>0</v>
      </c>
      <c r="M357" s="4">
        <v>1236.0999999999999</v>
      </c>
      <c r="N357" s="4">
        <f t="shared" si="134"/>
        <v>4556264.5999999996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7">
        <f t="shared" si="128"/>
        <v>3686</v>
      </c>
    </row>
    <row r="358" spans="1:22" ht="23.1" customHeight="1" x14ac:dyDescent="0.25">
      <c r="A358" s="1" t="s">
        <v>840</v>
      </c>
      <c r="B358" s="9" t="s">
        <v>1389</v>
      </c>
      <c r="C358" s="3">
        <f t="shared" si="122"/>
        <v>8800000</v>
      </c>
      <c r="D358" s="4">
        <f t="shared" si="126"/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5">
        <v>4</v>
      </c>
      <c r="L358" s="4">
        <f>K358*2150000</f>
        <v>8600000</v>
      </c>
      <c r="M358" s="4">
        <v>0</v>
      </c>
      <c r="N358" s="23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200000</v>
      </c>
      <c r="V358" s="7" t="e">
        <f t="shared" si="128"/>
        <v>#DIV/0!</v>
      </c>
    </row>
    <row r="359" spans="1:22" ht="23.1" customHeight="1" x14ac:dyDescent="0.25">
      <c r="A359" s="1" t="s">
        <v>841</v>
      </c>
      <c r="B359" s="22" t="s">
        <v>37</v>
      </c>
      <c r="C359" s="3">
        <f t="shared" si="122"/>
        <v>14957400</v>
      </c>
      <c r="D359" s="4">
        <f t="shared" si="126"/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5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4985.8</v>
      </c>
      <c r="R359" s="4">
        <f>Q359*3000</f>
        <v>14957400</v>
      </c>
      <c r="S359" s="4">
        <v>0</v>
      </c>
      <c r="T359" s="4">
        <v>0</v>
      </c>
      <c r="U359" s="4">
        <v>0</v>
      </c>
      <c r="V359" s="7" t="e">
        <f t="shared" si="128"/>
        <v>#DIV/0!</v>
      </c>
    </row>
    <row r="360" spans="1:22" ht="23.1" customHeight="1" x14ac:dyDescent="0.25">
      <c r="A360" s="1" t="s">
        <v>842</v>
      </c>
      <c r="B360" s="22" t="s">
        <v>38</v>
      </c>
      <c r="C360" s="3">
        <f t="shared" si="122"/>
        <v>18368648.600000001</v>
      </c>
      <c r="D360" s="4">
        <f t="shared" si="126"/>
        <v>13531770</v>
      </c>
      <c r="E360" s="4">
        <f>350*5758.2</f>
        <v>2015370</v>
      </c>
      <c r="F360" s="4">
        <f>1050*5758.2</f>
        <v>6046110</v>
      </c>
      <c r="G360" s="4">
        <f>300*5758.2</f>
        <v>1727460</v>
      </c>
      <c r="H360" s="4">
        <f>400*5758.2</f>
        <v>2303280</v>
      </c>
      <c r="I360" s="4">
        <f>250*5758.2</f>
        <v>1439550</v>
      </c>
      <c r="J360" s="4">
        <f>350*0</f>
        <v>0</v>
      </c>
      <c r="K360" s="5">
        <v>0</v>
      </c>
      <c r="L360" s="4">
        <v>0</v>
      </c>
      <c r="M360" s="4">
        <v>1285.0999999999999</v>
      </c>
      <c r="N360" s="4">
        <f>M360*3686</f>
        <v>4736878.5999999996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100000</v>
      </c>
      <c r="V360" s="7">
        <f t="shared" si="128"/>
        <v>3686</v>
      </c>
    </row>
    <row r="361" spans="1:22" ht="42.95" customHeight="1" x14ac:dyDescent="0.25">
      <c r="A361" s="55" t="s">
        <v>30</v>
      </c>
      <c r="B361" s="55"/>
      <c r="C361" s="3">
        <f>SUM(C362)</f>
        <v>1963500</v>
      </c>
      <c r="D361" s="3">
        <f t="shared" ref="D361:U361" si="136">SUM(D362)</f>
        <v>0</v>
      </c>
      <c r="E361" s="3">
        <f t="shared" si="136"/>
        <v>0</v>
      </c>
      <c r="F361" s="3">
        <f t="shared" si="136"/>
        <v>0</v>
      </c>
      <c r="G361" s="3">
        <f t="shared" si="136"/>
        <v>0</v>
      </c>
      <c r="H361" s="3">
        <f t="shared" si="136"/>
        <v>0</v>
      </c>
      <c r="I361" s="3">
        <f t="shared" si="136"/>
        <v>0</v>
      </c>
      <c r="J361" s="3">
        <f t="shared" si="136"/>
        <v>0</v>
      </c>
      <c r="K361" s="15">
        <f t="shared" si="136"/>
        <v>0</v>
      </c>
      <c r="L361" s="3">
        <f t="shared" si="136"/>
        <v>0</v>
      </c>
      <c r="M361" s="3">
        <f t="shared" si="136"/>
        <v>357</v>
      </c>
      <c r="N361" s="3">
        <f t="shared" si="136"/>
        <v>1963500</v>
      </c>
      <c r="O361" s="3">
        <f t="shared" si="136"/>
        <v>0</v>
      </c>
      <c r="P361" s="3">
        <f t="shared" si="136"/>
        <v>0</v>
      </c>
      <c r="Q361" s="3">
        <f t="shared" si="136"/>
        <v>0</v>
      </c>
      <c r="R361" s="3">
        <f t="shared" si="136"/>
        <v>0</v>
      </c>
      <c r="S361" s="3">
        <f t="shared" si="136"/>
        <v>0</v>
      </c>
      <c r="T361" s="3">
        <f t="shared" si="136"/>
        <v>0</v>
      </c>
      <c r="U361" s="3">
        <f t="shared" si="136"/>
        <v>0</v>
      </c>
      <c r="V361" s="21">
        <f>C361</f>
        <v>1963500</v>
      </c>
    </row>
    <row r="362" spans="1:22" ht="21.95" customHeight="1" x14ac:dyDescent="0.25">
      <c r="A362" s="1" t="s">
        <v>1913</v>
      </c>
      <c r="B362" s="9" t="s">
        <v>31</v>
      </c>
      <c r="C362" s="3">
        <f t="shared" si="122"/>
        <v>1963500</v>
      </c>
      <c r="D362" s="4">
        <f t="shared" ref="D362" si="137">SUM(E362:J362)</f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5">
        <v>0</v>
      </c>
      <c r="L362" s="4">
        <v>0</v>
      </c>
      <c r="M362" s="4">
        <v>357</v>
      </c>
      <c r="N362" s="4">
        <f t="shared" ref="N362" si="138">M362*5500</f>
        <v>1963500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7">
        <f>N362/M362</f>
        <v>5500</v>
      </c>
    </row>
    <row r="363" spans="1:22" ht="42.95" customHeight="1" x14ac:dyDescent="0.25">
      <c r="A363" s="55" t="s">
        <v>74</v>
      </c>
      <c r="B363" s="55"/>
      <c r="C363" s="3">
        <f>SUM(C364:C366)</f>
        <v>7505000</v>
      </c>
      <c r="D363" s="3">
        <f t="shared" ref="D363:U363" si="139">SUM(D364:D366)</f>
        <v>0</v>
      </c>
      <c r="E363" s="3">
        <f t="shared" si="139"/>
        <v>0</v>
      </c>
      <c r="F363" s="3">
        <f t="shared" si="139"/>
        <v>0</v>
      </c>
      <c r="G363" s="3">
        <f t="shared" si="139"/>
        <v>0</v>
      </c>
      <c r="H363" s="3">
        <f t="shared" si="139"/>
        <v>0</v>
      </c>
      <c r="I363" s="3">
        <f t="shared" si="139"/>
        <v>0</v>
      </c>
      <c r="J363" s="3">
        <f t="shared" si="139"/>
        <v>0</v>
      </c>
      <c r="K363" s="15">
        <f t="shared" si="139"/>
        <v>0</v>
      </c>
      <c r="L363" s="3">
        <f t="shared" si="139"/>
        <v>0</v>
      </c>
      <c r="M363" s="3">
        <f t="shared" si="139"/>
        <v>1310</v>
      </c>
      <c r="N363" s="3">
        <f t="shared" si="139"/>
        <v>7205000</v>
      </c>
      <c r="O363" s="3">
        <f t="shared" si="139"/>
        <v>0</v>
      </c>
      <c r="P363" s="3">
        <f t="shared" si="139"/>
        <v>0</v>
      </c>
      <c r="Q363" s="3">
        <f t="shared" si="139"/>
        <v>0</v>
      </c>
      <c r="R363" s="3">
        <f t="shared" si="139"/>
        <v>0</v>
      </c>
      <c r="S363" s="3">
        <f t="shared" si="139"/>
        <v>0</v>
      </c>
      <c r="T363" s="3">
        <f t="shared" si="139"/>
        <v>0</v>
      </c>
      <c r="U363" s="3">
        <f t="shared" si="139"/>
        <v>300000</v>
      </c>
    </row>
    <row r="364" spans="1:22" ht="23.1" customHeight="1" x14ac:dyDescent="0.25">
      <c r="A364" s="24" t="s">
        <v>843</v>
      </c>
      <c r="B364" s="9" t="s">
        <v>1213</v>
      </c>
      <c r="C364" s="3">
        <f t="shared" si="122"/>
        <v>300000</v>
      </c>
      <c r="D364" s="4">
        <f t="shared" ref="D364:D366" si="140">SUM(E364:J364)</f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12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300000</v>
      </c>
      <c r="V364" s="7" t="e">
        <f t="shared" ref="V364:V366" si="141">N364/M364</f>
        <v>#DIV/0!</v>
      </c>
    </row>
    <row r="365" spans="1:22" ht="23.1" customHeight="1" x14ac:dyDescent="0.25">
      <c r="A365" s="24" t="s">
        <v>844</v>
      </c>
      <c r="B365" s="9" t="s">
        <v>1214</v>
      </c>
      <c r="C365" s="3">
        <f t="shared" si="122"/>
        <v>4565000</v>
      </c>
      <c r="D365" s="4">
        <f t="shared" si="140"/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5">
        <v>0</v>
      </c>
      <c r="L365" s="4">
        <v>0</v>
      </c>
      <c r="M365" s="4">
        <v>830</v>
      </c>
      <c r="N365" s="4">
        <f t="shared" ref="N365:N366" si="142">M365*5500</f>
        <v>4565000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6">
        <v>0</v>
      </c>
      <c r="U365" s="4">
        <v>0</v>
      </c>
      <c r="V365" s="7">
        <f t="shared" si="141"/>
        <v>5500</v>
      </c>
    </row>
    <row r="366" spans="1:22" ht="23.1" customHeight="1" x14ac:dyDescent="0.25">
      <c r="A366" s="24" t="s">
        <v>845</v>
      </c>
      <c r="B366" s="9" t="s">
        <v>1215</v>
      </c>
      <c r="C366" s="3">
        <f t="shared" si="122"/>
        <v>2640000</v>
      </c>
      <c r="D366" s="4">
        <f t="shared" si="140"/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5">
        <v>0</v>
      </c>
      <c r="L366" s="4">
        <v>0</v>
      </c>
      <c r="M366" s="4">
        <v>480</v>
      </c>
      <c r="N366" s="4">
        <f t="shared" si="142"/>
        <v>2640000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6">
        <v>0</v>
      </c>
      <c r="U366" s="4">
        <v>0</v>
      </c>
      <c r="V366" s="7">
        <f t="shared" si="141"/>
        <v>5500</v>
      </c>
    </row>
    <row r="367" spans="1:22" ht="42.95" customHeight="1" x14ac:dyDescent="0.25">
      <c r="A367" s="55" t="s">
        <v>2</v>
      </c>
      <c r="B367" s="55"/>
      <c r="C367" s="3">
        <f>SUM(C368:C370)</f>
        <v>12335800</v>
      </c>
      <c r="D367" s="3">
        <f t="shared" ref="D367:U367" si="143">SUM(D368:D370)</f>
        <v>802800</v>
      </c>
      <c r="E367" s="3">
        <f t="shared" si="143"/>
        <v>312200</v>
      </c>
      <c r="F367" s="3">
        <f t="shared" si="143"/>
        <v>0</v>
      </c>
      <c r="G367" s="3">
        <f t="shared" si="143"/>
        <v>267600</v>
      </c>
      <c r="H367" s="3">
        <f t="shared" si="143"/>
        <v>0</v>
      </c>
      <c r="I367" s="3">
        <f t="shared" si="143"/>
        <v>223000</v>
      </c>
      <c r="J367" s="3">
        <f t="shared" si="143"/>
        <v>0</v>
      </c>
      <c r="K367" s="15">
        <f t="shared" si="143"/>
        <v>0</v>
      </c>
      <c r="L367" s="3">
        <f t="shared" si="143"/>
        <v>0</v>
      </c>
      <c r="M367" s="3">
        <f t="shared" si="143"/>
        <v>1628</v>
      </c>
      <c r="N367" s="3">
        <f t="shared" si="143"/>
        <v>8954000</v>
      </c>
      <c r="O367" s="3">
        <f t="shared" si="143"/>
        <v>0</v>
      </c>
      <c r="P367" s="3">
        <f t="shared" si="143"/>
        <v>0</v>
      </c>
      <c r="Q367" s="3">
        <f t="shared" si="143"/>
        <v>730</v>
      </c>
      <c r="R367" s="3">
        <f t="shared" si="143"/>
        <v>2190000</v>
      </c>
      <c r="S367" s="3">
        <f t="shared" si="143"/>
        <v>189000</v>
      </c>
      <c r="T367" s="3">
        <f t="shared" si="143"/>
        <v>0</v>
      </c>
      <c r="U367" s="3">
        <f t="shared" si="143"/>
        <v>200000</v>
      </c>
    </row>
    <row r="368" spans="1:22" ht="23.1" customHeight="1" x14ac:dyDescent="0.25">
      <c r="A368" s="1" t="s">
        <v>846</v>
      </c>
      <c r="B368" s="9" t="s">
        <v>77</v>
      </c>
      <c r="C368" s="3">
        <f t="shared" si="122"/>
        <v>6945800</v>
      </c>
      <c r="D368" s="4">
        <f t="shared" ref="D368:D370" si="144">SUM(E368:J368)</f>
        <v>802800</v>
      </c>
      <c r="E368" s="4">
        <f>350*892</f>
        <v>312200</v>
      </c>
      <c r="F368" s="4">
        <f>800*0</f>
        <v>0</v>
      </c>
      <c r="G368" s="4">
        <f>300*892</f>
        <v>267600</v>
      </c>
      <c r="H368" s="4">
        <f>400*0</f>
        <v>0</v>
      </c>
      <c r="I368" s="4">
        <f>250*892</f>
        <v>223000</v>
      </c>
      <c r="J368" s="4">
        <f>350*0</f>
        <v>0</v>
      </c>
      <c r="K368" s="5">
        <v>0</v>
      </c>
      <c r="L368" s="4">
        <v>0</v>
      </c>
      <c r="M368" s="6">
        <v>648</v>
      </c>
      <c r="N368" s="4">
        <f t="shared" ref="N368:N370" si="145">M368*5500</f>
        <v>3564000</v>
      </c>
      <c r="O368" s="4">
        <v>0</v>
      </c>
      <c r="P368" s="4">
        <v>0</v>
      </c>
      <c r="Q368" s="4">
        <v>730</v>
      </c>
      <c r="R368" s="4">
        <f>Q368*3000</f>
        <v>2190000</v>
      </c>
      <c r="S368" s="6">
        <v>189000</v>
      </c>
      <c r="T368" s="4">
        <v>0</v>
      </c>
      <c r="U368" s="4">
        <v>200000</v>
      </c>
      <c r="V368" s="7">
        <f t="shared" ref="V368:V370" si="146">N368/M368</f>
        <v>5500</v>
      </c>
    </row>
    <row r="369" spans="1:258" ht="23.1" customHeight="1" x14ac:dyDescent="0.25">
      <c r="A369" s="1" t="s">
        <v>847</v>
      </c>
      <c r="B369" s="9" t="s">
        <v>79</v>
      </c>
      <c r="C369" s="3">
        <f t="shared" si="122"/>
        <v>2695000</v>
      </c>
      <c r="D369" s="4">
        <f t="shared" si="144"/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5">
        <v>0</v>
      </c>
      <c r="L369" s="4">
        <v>0</v>
      </c>
      <c r="M369" s="6">
        <v>490</v>
      </c>
      <c r="N369" s="4">
        <f t="shared" si="145"/>
        <v>2695000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6">
        <v>0</v>
      </c>
      <c r="V369" s="7">
        <f t="shared" si="146"/>
        <v>5500</v>
      </c>
    </row>
    <row r="370" spans="1:258" ht="23.1" customHeight="1" x14ac:dyDescent="0.25">
      <c r="A370" s="1" t="s">
        <v>848</v>
      </c>
      <c r="B370" s="9" t="s">
        <v>80</v>
      </c>
      <c r="C370" s="3">
        <f t="shared" si="122"/>
        <v>2695000</v>
      </c>
      <c r="D370" s="4">
        <f t="shared" si="144"/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5">
        <v>0</v>
      </c>
      <c r="L370" s="4">
        <v>0</v>
      </c>
      <c r="M370" s="6">
        <v>490</v>
      </c>
      <c r="N370" s="4">
        <f t="shared" si="145"/>
        <v>2695000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6">
        <v>0</v>
      </c>
      <c r="V370" s="7">
        <f t="shared" si="146"/>
        <v>5500</v>
      </c>
    </row>
    <row r="371" spans="1:258" ht="45" customHeight="1" x14ac:dyDescent="0.25">
      <c r="A371" s="55" t="s">
        <v>81</v>
      </c>
      <c r="B371" s="55"/>
      <c r="C371" s="3">
        <f>SUM(C372)</f>
        <v>1663600</v>
      </c>
      <c r="D371" s="3">
        <f t="shared" ref="D371:U371" si="147">SUM(D372)</f>
        <v>117600</v>
      </c>
      <c r="E371" s="3">
        <f t="shared" si="147"/>
        <v>117600</v>
      </c>
      <c r="F371" s="3">
        <f t="shared" si="147"/>
        <v>0</v>
      </c>
      <c r="G371" s="3">
        <f t="shared" si="147"/>
        <v>0</v>
      </c>
      <c r="H371" s="3">
        <f t="shared" si="147"/>
        <v>0</v>
      </c>
      <c r="I371" s="3">
        <f t="shared" si="147"/>
        <v>0</v>
      </c>
      <c r="J371" s="3">
        <f t="shared" si="147"/>
        <v>0</v>
      </c>
      <c r="K371" s="15">
        <f t="shared" si="147"/>
        <v>0</v>
      </c>
      <c r="L371" s="3">
        <f t="shared" si="147"/>
        <v>0</v>
      </c>
      <c r="M371" s="3">
        <f t="shared" si="147"/>
        <v>0</v>
      </c>
      <c r="N371" s="3">
        <f t="shared" si="147"/>
        <v>0</v>
      </c>
      <c r="O371" s="3">
        <f t="shared" si="147"/>
        <v>0</v>
      </c>
      <c r="P371" s="3">
        <f t="shared" si="147"/>
        <v>0</v>
      </c>
      <c r="Q371" s="3">
        <f t="shared" si="147"/>
        <v>426</v>
      </c>
      <c r="R371" s="3">
        <f t="shared" si="147"/>
        <v>1278000</v>
      </c>
      <c r="S371" s="3">
        <f t="shared" si="147"/>
        <v>168000</v>
      </c>
      <c r="T371" s="3">
        <f t="shared" si="147"/>
        <v>0</v>
      </c>
      <c r="U371" s="3">
        <f t="shared" si="147"/>
        <v>100000</v>
      </c>
      <c r="V371" s="21">
        <f>C371+C794</f>
        <v>3724450</v>
      </c>
    </row>
    <row r="372" spans="1:258" ht="21.95" customHeight="1" x14ac:dyDescent="0.25">
      <c r="A372" s="24" t="s">
        <v>849</v>
      </c>
      <c r="B372" s="2" t="s">
        <v>84</v>
      </c>
      <c r="C372" s="3">
        <f t="shared" si="122"/>
        <v>1663600</v>
      </c>
      <c r="D372" s="4">
        <f t="shared" ref="D372" si="148">SUM(E372:J372)</f>
        <v>117600</v>
      </c>
      <c r="E372" s="4">
        <f>350*336</f>
        <v>117600</v>
      </c>
      <c r="F372" s="4">
        <v>0</v>
      </c>
      <c r="G372" s="4">
        <v>0</v>
      </c>
      <c r="H372" s="4">
        <v>0</v>
      </c>
      <c r="I372" s="4">
        <v>0</v>
      </c>
      <c r="J372" s="4">
        <f>350*0</f>
        <v>0</v>
      </c>
      <c r="K372" s="12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426</v>
      </c>
      <c r="R372" s="4">
        <f>Q372*3000</f>
        <v>1278000</v>
      </c>
      <c r="S372" s="6">
        <v>168000</v>
      </c>
      <c r="T372" s="6">
        <v>0</v>
      </c>
      <c r="U372" s="6">
        <v>100000</v>
      </c>
      <c r="V372" s="7" t="e">
        <f>N372/M372</f>
        <v>#DIV/0!</v>
      </c>
    </row>
    <row r="373" spans="1:258" ht="45" customHeight="1" x14ac:dyDescent="0.25">
      <c r="A373" s="55" t="s">
        <v>832</v>
      </c>
      <c r="B373" s="55"/>
      <c r="C373" s="3">
        <f>SUM(C374:C375)</f>
        <v>7095848.4000000004</v>
      </c>
      <c r="D373" s="3">
        <f t="shared" ref="D373:U373" si="149">SUM(D374:D375)</f>
        <v>0</v>
      </c>
      <c r="E373" s="3">
        <f t="shared" si="149"/>
        <v>0</v>
      </c>
      <c r="F373" s="3">
        <f t="shared" si="149"/>
        <v>0</v>
      </c>
      <c r="G373" s="3">
        <f t="shared" si="149"/>
        <v>0</v>
      </c>
      <c r="H373" s="3">
        <f t="shared" si="149"/>
        <v>0</v>
      </c>
      <c r="I373" s="3">
        <f t="shared" si="149"/>
        <v>0</v>
      </c>
      <c r="J373" s="3">
        <f t="shared" si="149"/>
        <v>0</v>
      </c>
      <c r="K373" s="15">
        <f t="shared" si="149"/>
        <v>0</v>
      </c>
      <c r="L373" s="3">
        <f t="shared" si="149"/>
        <v>0</v>
      </c>
      <c r="M373" s="3">
        <f t="shared" si="149"/>
        <v>929.4</v>
      </c>
      <c r="N373" s="3">
        <f t="shared" si="149"/>
        <v>4459748.4000000004</v>
      </c>
      <c r="O373" s="3">
        <f t="shared" si="149"/>
        <v>0</v>
      </c>
      <c r="P373" s="3">
        <f t="shared" si="149"/>
        <v>0</v>
      </c>
      <c r="Q373" s="3">
        <f t="shared" si="149"/>
        <v>878.7</v>
      </c>
      <c r="R373" s="3">
        <f t="shared" si="149"/>
        <v>2636100</v>
      </c>
      <c r="S373" s="3">
        <f t="shared" si="149"/>
        <v>0</v>
      </c>
      <c r="T373" s="3">
        <f t="shared" si="149"/>
        <v>0</v>
      </c>
      <c r="U373" s="3">
        <f t="shared" si="149"/>
        <v>0</v>
      </c>
    </row>
    <row r="374" spans="1:258" ht="21.95" customHeight="1" x14ac:dyDescent="0.25">
      <c r="A374" s="1" t="s">
        <v>850</v>
      </c>
      <c r="B374" s="9" t="s">
        <v>89</v>
      </c>
      <c r="C374" s="3">
        <f t="shared" si="122"/>
        <v>3135000</v>
      </c>
      <c r="D374" s="4">
        <f t="shared" ref="D374:D375" si="150">SUM(E374:J374)</f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5">
        <v>0</v>
      </c>
      <c r="L374" s="4">
        <v>0</v>
      </c>
      <c r="M374" s="4">
        <v>570</v>
      </c>
      <c r="N374" s="4">
        <f t="shared" ref="N374" si="151">M374*5500</f>
        <v>3135000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7">
        <f t="shared" ref="V374:V375" si="152">N374/M374</f>
        <v>5500</v>
      </c>
    </row>
    <row r="375" spans="1:258" ht="21.95" customHeight="1" x14ac:dyDescent="0.25">
      <c r="A375" s="1" t="s">
        <v>851</v>
      </c>
      <c r="B375" s="9" t="s">
        <v>90</v>
      </c>
      <c r="C375" s="3">
        <f t="shared" si="122"/>
        <v>3960848.4</v>
      </c>
      <c r="D375" s="4">
        <f t="shared" si="150"/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12">
        <v>0</v>
      </c>
      <c r="L375" s="6">
        <v>0</v>
      </c>
      <c r="M375" s="6">
        <v>359.4</v>
      </c>
      <c r="N375" s="6">
        <f>M375*3686</f>
        <v>1324748.3999999999</v>
      </c>
      <c r="O375" s="6">
        <v>0</v>
      </c>
      <c r="P375" s="6">
        <v>0</v>
      </c>
      <c r="Q375" s="6">
        <v>878.7</v>
      </c>
      <c r="R375" s="4">
        <f>Q375*3000</f>
        <v>2636100</v>
      </c>
      <c r="S375" s="6">
        <v>0</v>
      </c>
      <c r="T375" s="6">
        <v>0</v>
      </c>
      <c r="U375" s="6">
        <v>0</v>
      </c>
      <c r="V375" s="7">
        <f t="shared" si="152"/>
        <v>3686</v>
      </c>
      <c r="IX375" s="34"/>
    </row>
    <row r="376" spans="1:258" ht="45" customHeight="1" x14ac:dyDescent="0.25">
      <c r="A376" s="55" t="s">
        <v>92</v>
      </c>
      <c r="B376" s="55"/>
      <c r="C376" s="3">
        <f>SUM(C377)</f>
        <v>2370660</v>
      </c>
      <c r="D376" s="3">
        <f t="shared" ref="D376:U376" si="153">SUM(D377)</f>
        <v>176260</v>
      </c>
      <c r="E376" s="3">
        <f t="shared" si="153"/>
        <v>176260</v>
      </c>
      <c r="F376" s="3">
        <f t="shared" si="153"/>
        <v>0</v>
      </c>
      <c r="G376" s="3">
        <f t="shared" si="153"/>
        <v>0</v>
      </c>
      <c r="H376" s="3">
        <f t="shared" si="153"/>
        <v>0</v>
      </c>
      <c r="I376" s="3">
        <f t="shared" si="153"/>
        <v>0</v>
      </c>
      <c r="J376" s="3">
        <f t="shared" si="153"/>
        <v>0</v>
      </c>
      <c r="K376" s="15">
        <f t="shared" si="153"/>
        <v>0</v>
      </c>
      <c r="L376" s="3">
        <f t="shared" si="153"/>
        <v>0</v>
      </c>
      <c r="M376" s="3">
        <f t="shared" si="153"/>
        <v>380.8</v>
      </c>
      <c r="N376" s="3">
        <f t="shared" si="153"/>
        <v>2094400</v>
      </c>
      <c r="O376" s="3">
        <f t="shared" si="153"/>
        <v>0</v>
      </c>
      <c r="P376" s="3">
        <f t="shared" si="153"/>
        <v>0</v>
      </c>
      <c r="Q376" s="3">
        <f t="shared" si="153"/>
        <v>0</v>
      </c>
      <c r="R376" s="3">
        <f t="shared" si="153"/>
        <v>0</v>
      </c>
      <c r="S376" s="3">
        <f t="shared" si="153"/>
        <v>0</v>
      </c>
      <c r="T376" s="3">
        <f t="shared" si="153"/>
        <v>0</v>
      </c>
      <c r="U376" s="3">
        <f t="shared" si="153"/>
        <v>100000</v>
      </c>
      <c r="V376" s="21">
        <f>C376</f>
        <v>2370660</v>
      </c>
    </row>
    <row r="377" spans="1:258" ht="21.95" customHeight="1" x14ac:dyDescent="0.25">
      <c r="A377" s="1" t="s">
        <v>1926</v>
      </c>
      <c r="B377" s="2" t="s">
        <v>91</v>
      </c>
      <c r="C377" s="3">
        <f t="shared" si="122"/>
        <v>2370660</v>
      </c>
      <c r="D377" s="4">
        <f t="shared" ref="D377" si="154">SUM(E377:J377)</f>
        <v>176260</v>
      </c>
      <c r="E377" s="4">
        <f>350*503.6</f>
        <v>176260</v>
      </c>
      <c r="F377" s="4">
        <v>0</v>
      </c>
      <c r="G377" s="4">
        <v>0</v>
      </c>
      <c r="H377" s="4">
        <f>400*0</f>
        <v>0</v>
      </c>
      <c r="I377" s="4">
        <v>0</v>
      </c>
      <c r="J377" s="4">
        <f>350*0</f>
        <v>0</v>
      </c>
      <c r="K377" s="5">
        <v>0</v>
      </c>
      <c r="L377" s="4">
        <v>0</v>
      </c>
      <c r="M377" s="6">
        <v>380.8</v>
      </c>
      <c r="N377" s="4">
        <f t="shared" ref="N377" si="155">M377*5500</f>
        <v>2094400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100000</v>
      </c>
      <c r="V377" s="7">
        <f>N377/M377</f>
        <v>5500</v>
      </c>
    </row>
    <row r="378" spans="1:258" ht="45" customHeight="1" x14ac:dyDescent="0.25">
      <c r="A378" s="55" t="s">
        <v>93</v>
      </c>
      <c r="B378" s="55"/>
      <c r="C378" s="3">
        <f>SUM(C379:C382)</f>
        <v>15765374.120000001</v>
      </c>
      <c r="D378" s="3">
        <f t="shared" ref="D378:U378" si="156">SUM(D379:D382)</f>
        <v>1093502.1200000001</v>
      </c>
      <c r="E378" s="3">
        <f t="shared" si="156"/>
        <v>0</v>
      </c>
      <c r="F378" s="3">
        <f t="shared" si="156"/>
        <v>1093502.1200000001</v>
      </c>
      <c r="G378" s="3">
        <f t="shared" si="156"/>
        <v>0</v>
      </c>
      <c r="H378" s="3">
        <f t="shared" si="156"/>
        <v>0</v>
      </c>
      <c r="I378" s="3">
        <f t="shared" si="156"/>
        <v>0</v>
      </c>
      <c r="J378" s="3">
        <f t="shared" si="156"/>
        <v>0</v>
      </c>
      <c r="K378" s="15">
        <f t="shared" si="156"/>
        <v>5</v>
      </c>
      <c r="L378" s="3">
        <f t="shared" si="156"/>
        <v>11500000</v>
      </c>
      <c r="M378" s="3">
        <f t="shared" si="156"/>
        <v>752</v>
      </c>
      <c r="N378" s="3">
        <f t="shared" si="156"/>
        <v>2771872</v>
      </c>
      <c r="O378" s="3">
        <f t="shared" si="156"/>
        <v>0</v>
      </c>
      <c r="P378" s="3">
        <f t="shared" si="156"/>
        <v>0</v>
      </c>
      <c r="Q378" s="3">
        <f t="shared" si="156"/>
        <v>0</v>
      </c>
      <c r="R378" s="3">
        <f t="shared" si="156"/>
        <v>0</v>
      </c>
      <c r="S378" s="3">
        <f t="shared" si="156"/>
        <v>0</v>
      </c>
      <c r="T378" s="3">
        <f t="shared" si="156"/>
        <v>0</v>
      </c>
      <c r="U378" s="3">
        <f t="shared" si="156"/>
        <v>400000</v>
      </c>
    </row>
    <row r="379" spans="1:258" s="35" customFormat="1" ht="21.95" customHeight="1" x14ac:dyDescent="0.25">
      <c r="A379" s="1" t="s">
        <v>1914</v>
      </c>
      <c r="B379" s="9" t="s">
        <v>94</v>
      </c>
      <c r="C379" s="3">
        <f t="shared" si="122"/>
        <v>2771872</v>
      </c>
      <c r="D379" s="4">
        <f t="shared" ref="D379:D381" si="157">SUM(E379:J379)</f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5">
        <v>0</v>
      </c>
      <c r="L379" s="4">
        <v>0</v>
      </c>
      <c r="M379" s="6">
        <v>752</v>
      </c>
      <c r="N379" s="4">
        <f>M379*3686</f>
        <v>2771872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7">
        <f t="shared" ref="V379:V381" si="158">N379/M379</f>
        <v>3686</v>
      </c>
    </row>
    <row r="380" spans="1:258" s="7" customFormat="1" ht="21.95" customHeight="1" x14ac:dyDescent="0.25">
      <c r="A380" s="1" t="s">
        <v>852</v>
      </c>
      <c r="B380" s="9" t="s">
        <v>98</v>
      </c>
      <c r="C380" s="3">
        <f t="shared" si="122"/>
        <v>4800000</v>
      </c>
      <c r="D380" s="4">
        <f t="shared" si="157"/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12">
        <v>2</v>
      </c>
      <c r="L380" s="6">
        <v>4600000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200000</v>
      </c>
      <c r="V380" s="7" t="e">
        <f t="shared" si="158"/>
        <v>#DIV/0!</v>
      </c>
    </row>
    <row r="381" spans="1:258" ht="21.95" customHeight="1" x14ac:dyDescent="0.25">
      <c r="A381" s="1" t="s">
        <v>853</v>
      </c>
      <c r="B381" s="9" t="s">
        <v>100</v>
      </c>
      <c r="C381" s="3">
        <f t="shared" si="122"/>
        <v>7100000</v>
      </c>
      <c r="D381" s="4">
        <f t="shared" si="157"/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5">
        <v>3</v>
      </c>
      <c r="L381" s="4">
        <v>6900000</v>
      </c>
      <c r="M381" s="6">
        <v>0</v>
      </c>
      <c r="N381" s="6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200000</v>
      </c>
      <c r="V381" s="7" t="e">
        <f t="shared" si="158"/>
        <v>#DIV/0!</v>
      </c>
    </row>
    <row r="382" spans="1:258" ht="21.95" customHeight="1" x14ac:dyDescent="0.25">
      <c r="A382" s="1" t="s">
        <v>854</v>
      </c>
      <c r="B382" s="9" t="s">
        <v>1594</v>
      </c>
      <c r="C382" s="3">
        <f>D382+L382+N382+P382+R382+S382+T382+U382</f>
        <v>1093502.1200000001</v>
      </c>
      <c r="D382" s="4">
        <f>SUM(E382:J382)</f>
        <v>1093502.1200000001</v>
      </c>
      <c r="E382" s="4">
        <v>0</v>
      </c>
      <c r="F382" s="4">
        <v>1093502.1200000001</v>
      </c>
      <c r="G382" s="4">
        <v>0</v>
      </c>
      <c r="H382" s="4">
        <v>0</v>
      </c>
      <c r="I382" s="4">
        <v>0</v>
      </c>
      <c r="J382" s="4">
        <v>0</v>
      </c>
      <c r="K382" s="5">
        <v>0</v>
      </c>
      <c r="L382" s="4">
        <v>0</v>
      </c>
      <c r="M382" s="6">
        <v>0</v>
      </c>
      <c r="N382" s="6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7" t="e">
        <f>N382/M382</f>
        <v>#DIV/0!</v>
      </c>
    </row>
    <row r="383" spans="1:258" ht="50.25" customHeight="1" x14ac:dyDescent="0.25">
      <c r="A383" s="55" t="s">
        <v>102</v>
      </c>
      <c r="B383" s="55"/>
      <c r="C383" s="3">
        <f>SUM(C384:C390)</f>
        <v>28122710</v>
      </c>
      <c r="D383" s="3">
        <f t="shared" ref="D383:U383" si="159">SUM(D384:D390)</f>
        <v>2151660</v>
      </c>
      <c r="E383" s="3">
        <f t="shared" si="159"/>
        <v>320460</v>
      </c>
      <c r="F383" s="3">
        <f t="shared" si="159"/>
        <v>961380</v>
      </c>
      <c r="G383" s="3">
        <f t="shared" si="159"/>
        <v>274680</v>
      </c>
      <c r="H383" s="3">
        <f t="shared" si="159"/>
        <v>366240</v>
      </c>
      <c r="I383" s="3">
        <f t="shared" si="159"/>
        <v>228900</v>
      </c>
      <c r="J383" s="3">
        <f t="shared" si="159"/>
        <v>0</v>
      </c>
      <c r="K383" s="15">
        <f t="shared" si="159"/>
        <v>0</v>
      </c>
      <c r="L383" s="3">
        <f t="shared" si="159"/>
        <v>0</v>
      </c>
      <c r="M383" s="3">
        <f t="shared" si="159"/>
        <v>4493.3999999999996</v>
      </c>
      <c r="N383" s="3">
        <f t="shared" si="159"/>
        <v>22945050</v>
      </c>
      <c r="O383" s="3">
        <f t="shared" si="159"/>
        <v>0</v>
      </c>
      <c r="P383" s="3">
        <f t="shared" si="159"/>
        <v>0</v>
      </c>
      <c r="Q383" s="3">
        <f t="shared" si="159"/>
        <v>942</v>
      </c>
      <c r="R383" s="3">
        <f t="shared" si="159"/>
        <v>2826000</v>
      </c>
      <c r="S383" s="3">
        <f t="shared" si="159"/>
        <v>0</v>
      </c>
      <c r="T383" s="3">
        <f t="shared" si="159"/>
        <v>0</v>
      </c>
      <c r="U383" s="3">
        <f t="shared" si="159"/>
        <v>200000</v>
      </c>
    </row>
    <row r="384" spans="1:258" s="19" customFormat="1" ht="21.95" customHeight="1" x14ac:dyDescent="0.25">
      <c r="A384" s="1" t="s">
        <v>855</v>
      </c>
      <c r="B384" s="9" t="s">
        <v>103</v>
      </c>
      <c r="C384" s="3">
        <f t="shared" si="122"/>
        <v>3696000</v>
      </c>
      <c r="D384" s="4">
        <f t="shared" ref="D384:D390" si="160">SUM(E384:J384)</f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5">
        <v>0</v>
      </c>
      <c r="L384" s="4">
        <v>0</v>
      </c>
      <c r="M384" s="6">
        <v>672</v>
      </c>
      <c r="N384" s="4">
        <f t="shared" ref="N384:N385" si="161">M384*5500</f>
        <v>3696000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7">
        <f t="shared" ref="V384:V390" si="162">N384/M384</f>
        <v>5500</v>
      </c>
    </row>
    <row r="385" spans="1:22" ht="21.95" customHeight="1" x14ac:dyDescent="0.25">
      <c r="A385" s="1" t="s">
        <v>856</v>
      </c>
      <c r="B385" s="9" t="s">
        <v>105</v>
      </c>
      <c r="C385" s="3">
        <f t="shared" si="122"/>
        <v>3696000</v>
      </c>
      <c r="D385" s="4">
        <f t="shared" si="160"/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5">
        <v>0</v>
      </c>
      <c r="L385" s="4">
        <v>0</v>
      </c>
      <c r="M385" s="6">
        <v>672</v>
      </c>
      <c r="N385" s="4">
        <f t="shared" si="161"/>
        <v>3696000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7">
        <f t="shared" si="162"/>
        <v>5500</v>
      </c>
    </row>
    <row r="386" spans="1:22" ht="21.95" customHeight="1" x14ac:dyDescent="0.25">
      <c r="A386" s="1" t="s">
        <v>857</v>
      </c>
      <c r="B386" s="9" t="s">
        <v>1592</v>
      </c>
      <c r="C386" s="3">
        <f t="shared" si="122"/>
        <v>3593850</v>
      </c>
      <c r="D386" s="4">
        <f t="shared" si="160"/>
        <v>0</v>
      </c>
      <c r="E386" s="4">
        <f>350*0</f>
        <v>0</v>
      </c>
      <c r="F386" s="4">
        <f>800*0</f>
        <v>0</v>
      </c>
      <c r="G386" s="4">
        <f>350*0</f>
        <v>0</v>
      </c>
      <c r="H386" s="4">
        <f>400*0</f>
        <v>0</v>
      </c>
      <c r="I386" s="4">
        <f>250*0</f>
        <v>0</v>
      </c>
      <c r="J386" s="4">
        <v>0</v>
      </c>
      <c r="K386" s="12">
        <v>0</v>
      </c>
      <c r="L386" s="6">
        <v>0</v>
      </c>
      <c r="M386" s="6">
        <v>975</v>
      </c>
      <c r="N386" s="6">
        <f>M386*3686</f>
        <v>3593850</v>
      </c>
      <c r="O386" s="6">
        <v>0</v>
      </c>
      <c r="P386" s="6">
        <v>0</v>
      </c>
      <c r="Q386" s="6">
        <v>0</v>
      </c>
      <c r="R386" s="6">
        <f>Q386*3000</f>
        <v>0</v>
      </c>
      <c r="S386" s="6">
        <v>0</v>
      </c>
      <c r="T386" s="6">
        <v>0</v>
      </c>
      <c r="U386" s="6">
        <v>0</v>
      </c>
      <c r="V386" s="7">
        <f t="shared" si="162"/>
        <v>3686</v>
      </c>
    </row>
    <row r="387" spans="1:22" ht="21" customHeight="1" x14ac:dyDescent="0.25">
      <c r="A387" s="1" t="s">
        <v>858</v>
      </c>
      <c r="B387" s="9" t="s">
        <v>108</v>
      </c>
      <c r="C387" s="3">
        <f t="shared" si="122"/>
        <v>5177660</v>
      </c>
      <c r="D387" s="4">
        <f t="shared" si="160"/>
        <v>2151660</v>
      </c>
      <c r="E387" s="4">
        <f>350*915.6</f>
        <v>320460</v>
      </c>
      <c r="F387" s="4">
        <f>1050*915.6</f>
        <v>961380</v>
      </c>
      <c r="G387" s="4">
        <f>300*915.6</f>
        <v>274680</v>
      </c>
      <c r="H387" s="4">
        <f>400*915.6</f>
        <v>366240</v>
      </c>
      <c r="I387" s="4">
        <f>250*915.6</f>
        <v>228900</v>
      </c>
      <c r="J387" s="4">
        <v>0</v>
      </c>
      <c r="K387" s="5">
        <v>0</v>
      </c>
      <c r="L387" s="4">
        <v>0</v>
      </c>
      <c r="M387" s="6">
        <v>0</v>
      </c>
      <c r="N387" s="6">
        <v>0</v>
      </c>
      <c r="O387" s="4">
        <v>0</v>
      </c>
      <c r="P387" s="4">
        <v>0</v>
      </c>
      <c r="Q387" s="4">
        <v>942</v>
      </c>
      <c r="R387" s="4">
        <f>Q387*3000</f>
        <v>2826000</v>
      </c>
      <c r="S387" s="4">
        <v>0</v>
      </c>
      <c r="T387" s="4">
        <v>0</v>
      </c>
      <c r="U387" s="4">
        <v>200000</v>
      </c>
      <c r="V387" s="7" t="e">
        <f t="shared" si="162"/>
        <v>#DIV/0!</v>
      </c>
    </row>
    <row r="388" spans="1:22" ht="21.95" customHeight="1" x14ac:dyDescent="0.25">
      <c r="A388" s="1" t="s">
        <v>859</v>
      </c>
      <c r="B388" s="9" t="s">
        <v>113</v>
      </c>
      <c r="C388" s="3">
        <f t="shared" si="122"/>
        <v>3696000</v>
      </c>
      <c r="D388" s="4">
        <f t="shared" si="160"/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5">
        <v>0</v>
      </c>
      <c r="L388" s="4">
        <v>0</v>
      </c>
      <c r="M388" s="6">
        <v>672</v>
      </c>
      <c r="N388" s="4">
        <f t="shared" ref="N388:N390" si="163">M388*5500</f>
        <v>3696000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7">
        <f t="shared" si="162"/>
        <v>5500</v>
      </c>
    </row>
    <row r="389" spans="1:22" ht="21.95" customHeight="1" x14ac:dyDescent="0.25">
      <c r="A389" s="1" t="s">
        <v>860</v>
      </c>
      <c r="B389" s="9" t="s">
        <v>114</v>
      </c>
      <c r="C389" s="3">
        <f t="shared" si="122"/>
        <v>4567200</v>
      </c>
      <c r="D389" s="4">
        <f t="shared" si="160"/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5">
        <v>0</v>
      </c>
      <c r="L389" s="4">
        <v>0</v>
      </c>
      <c r="M389" s="6">
        <v>830.4</v>
      </c>
      <c r="N389" s="4">
        <f t="shared" si="163"/>
        <v>4567200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7">
        <f t="shared" si="162"/>
        <v>5500</v>
      </c>
    </row>
    <row r="390" spans="1:22" ht="21.95" customHeight="1" x14ac:dyDescent="0.25">
      <c r="A390" s="1" t="s">
        <v>861</v>
      </c>
      <c r="B390" s="9" t="s">
        <v>115</v>
      </c>
      <c r="C390" s="3">
        <f t="shared" si="122"/>
        <v>3696000</v>
      </c>
      <c r="D390" s="4">
        <f t="shared" si="160"/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5">
        <v>0</v>
      </c>
      <c r="L390" s="4">
        <v>0</v>
      </c>
      <c r="M390" s="6">
        <v>672</v>
      </c>
      <c r="N390" s="4">
        <f t="shared" si="163"/>
        <v>3696000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7">
        <f t="shared" si="162"/>
        <v>5500</v>
      </c>
    </row>
    <row r="391" spans="1:22" ht="45" customHeight="1" x14ac:dyDescent="0.25">
      <c r="A391" s="55" t="s">
        <v>116</v>
      </c>
      <c r="B391" s="55"/>
      <c r="C391" s="3">
        <f t="shared" si="122"/>
        <v>1375000</v>
      </c>
      <c r="D391" s="3">
        <f t="shared" ref="D391:U391" si="164">SUM(D392)</f>
        <v>0</v>
      </c>
      <c r="E391" s="3">
        <f t="shared" si="164"/>
        <v>0</v>
      </c>
      <c r="F391" s="3">
        <f t="shared" si="164"/>
        <v>0</v>
      </c>
      <c r="G391" s="3">
        <f t="shared" si="164"/>
        <v>0</v>
      </c>
      <c r="H391" s="3">
        <f t="shared" si="164"/>
        <v>0</v>
      </c>
      <c r="I391" s="3">
        <f t="shared" si="164"/>
        <v>0</v>
      </c>
      <c r="J391" s="3">
        <f t="shared" si="164"/>
        <v>0</v>
      </c>
      <c r="K391" s="15">
        <f t="shared" si="164"/>
        <v>0</v>
      </c>
      <c r="L391" s="3">
        <f t="shared" si="164"/>
        <v>0</v>
      </c>
      <c r="M391" s="3">
        <f t="shared" si="164"/>
        <v>250</v>
      </c>
      <c r="N391" s="3">
        <f t="shared" si="164"/>
        <v>1375000</v>
      </c>
      <c r="O391" s="3">
        <f t="shared" si="164"/>
        <v>0</v>
      </c>
      <c r="P391" s="3">
        <f t="shared" si="164"/>
        <v>0</v>
      </c>
      <c r="Q391" s="3">
        <f t="shared" si="164"/>
        <v>0</v>
      </c>
      <c r="R391" s="3">
        <f t="shared" si="164"/>
        <v>0</v>
      </c>
      <c r="S391" s="3">
        <f t="shared" si="164"/>
        <v>0</v>
      </c>
      <c r="T391" s="3">
        <f t="shared" si="164"/>
        <v>0</v>
      </c>
      <c r="U391" s="3">
        <f t="shared" si="164"/>
        <v>0</v>
      </c>
      <c r="V391" s="21"/>
    </row>
    <row r="392" spans="1:22" ht="21.95" customHeight="1" x14ac:dyDescent="0.25">
      <c r="A392" s="1" t="s">
        <v>862</v>
      </c>
      <c r="B392" s="9" t="s">
        <v>118</v>
      </c>
      <c r="C392" s="3">
        <f t="shared" si="122"/>
        <v>1375000</v>
      </c>
      <c r="D392" s="4">
        <f t="shared" ref="D392" si="165">SUM(E392:J392)</f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5">
        <v>0</v>
      </c>
      <c r="L392" s="4">
        <v>0</v>
      </c>
      <c r="M392" s="6">
        <v>250</v>
      </c>
      <c r="N392" s="4">
        <f t="shared" ref="N392" si="166">M392*5500</f>
        <v>1375000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7">
        <f>N392/M392</f>
        <v>5500</v>
      </c>
    </row>
    <row r="393" spans="1:22" ht="45" customHeight="1" x14ac:dyDescent="0.25">
      <c r="A393" s="55" t="s">
        <v>1578</v>
      </c>
      <c r="B393" s="55"/>
      <c r="C393" s="3">
        <f>SUM(C394)</f>
        <v>100000</v>
      </c>
      <c r="D393" s="3">
        <f t="shared" ref="D393:U393" si="167">SUM(D394)</f>
        <v>0</v>
      </c>
      <c r="E393" s="3">
        <f t="shared" si="167"/>
        <v>0</v>
      </c>
      <c r="F393" s="3">
        <f t="shared" si="167"/>
        <v>0</v>
      </c>
      <c r="G393" s="3">
        <f t="shared" si="167"/>
        <v>0</v>
      </c>
      <c r="H393" s="3">
        <f t="shared" si="167"/>
        <v>0</v>
      </c>
      <c r="I393" s="3">
        <f t="shared" si="167"/>
        <v>0</v>
      </c>
      <c r="J393" s="3">
        <f t="shared" si="167"/>
        <v>0</v>
      </c>
      <c r="K393" s="15">
        <f t="shared" si="167"/>
        <v>0</v>
      </c>
      <c r="L393" s="3">
        <f t="shared" si="167"/>
        <v>0</v>
      </c>
      <c r="M393" s="3">
        <f t="shared" si="167"/>
        <v>0</v>
      </c>
      <c r="N393" s="3">
        <f t="shared" si="167"/>
        <v>0</v>
      </c>
      <c r="O393" s="3">
        <f t="shared" si="167"/>
        <v>0</v>
      </c>
      <c r="P393" s="3">
        <f t="shared" si="167"/>
        <v>0</v>
      </c>
      <c r="Q393" s="3">
        <f t="shared" si="167"/>
        <v>0</v>
      </c>
      <c r="R393" s="3">
        <f t="shared" si="167"/>
        <v>0</v>
      </c>
      <c r="S393" s="3">
        <f t="shared" si="167"/>
        <v>0</v>
      </c>
      <c r="T393" s="3">
        <f t="shared" si="167"/>
        <v>0</v>
      </c>
      <c r="U393" s="3">
        <f t="shared" si="167"/>
        <v>100000</v>
      </c>
      <c r="V393" s="21"/>
    </row>
    <row r="394" spans="1:22" ht="21.95" customHeight="1" x14ac:dyDescent="0.25">
      <c r="A394" s="1" t="s">
        <v>863</v>
      </c>
      <c r="B394" s="9" t="s">
        <v>1579</v>
      </c>
      <c r="C394" s="3">
        <f>D394+L394+N394+P394+R394+S394+T394+U394</f>
        <v>100000</v>
      </c>
      <c r="D394" s="4">
        <f t="shared" ref="D394" si="168">SUM(E394:J394)</f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5">
        <v>0</v>
      </c>
      <c r="L394" s="4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100000</v>
      </c>
      <c r="V394" s="7" t="e">
        <f t="shared" ref="V394" si="169">N394/M394</f>
        <v>#DIV/0!</v>
      </c>
    </row>
    <row r="395" spans="1:22" ht="45" customHeight="1" x14ac:dyDescent="0.25">
      <c r="A395" s="55" t="s">
        <v>124</v>
      </c>
      <c r="B395" s="55"/>
      <c r="C395" s="3">
        <f>SUM(C396:C397)</f>
        <v>2726900</v>
      </c>
      <c r="D395" s="3">
        <f t="shared" ref="D395:U395" si="170">SUM(D396:D397)</f>
        <v>0</v>
      </c>
      <c r="E395" s="3">
        <f t="shared" si="170"/>
        <v>0</v>
      </c>
      <c r="F395" s="3">
        <f t="shared" si="170"/>
        <v>0</v>
      </c>
      <c r="G395" s="3">
        <f t="shared" si="170"/>
        <v>0</v>
      </c>
      <c r="H395" s="3">
        <f t="shared" si="170"/>
        <v>0</v>
      </c>
      <c r="I395" s="3">
        <f t="shared" si="170"/>
        <v>0</v>
      </c>
      <c r="J395" s="3">
        <f t="shared" si="170"/>
        <v>0</v>
      </c>
      <c r="K395" s="15">
        <f t="shared" si="170"/>
        <v>0</v>
      </c>
      <c r="L395" s="3">
        <f t="shared" si="170"/>
        <v>0</v>
      </c>
      <c r="M395" s="3">
        <f t="shared" si="170"/>
        <v>495.8</v>
      </c>
      <c r="N395" s="3">
        <f t="shared" si="170"/>
        <v>2726900</v>
      </c>
      <c r="O395" s="3">
        <f t="shared" si="170"/>
        <v>0</v>
      </c>
      <c r="P395" s="3">
        <f t="shared" si="170"/>
        <v>0</v>
      </c>
      <c r="Q395" s="3">
        <f t="shared" si="170"/>
        <v>0</v>
      </c>
      <c r="R395" s="3">
        <f t="shared" si="170"/>
        <v>0</v>
      </c>
      <c r="S395" s="3">
        <f t="shared" si="170"/>
        <v>0</v>
      </c>
      <c r="T395" s="3">
        <f t="shared" si="170"/>
        <v>0</v>
      </c>
      <c r="U395" s="3">
        <f t="shared" si="170"/>
        <v>0</v>
      </c>
    </row>
    <row r="396" spans="1:22" ht="21.95" customHeight="1" x14ac:dyDescent="0.25">
      <c r="A396" s="1" t="s">
        <v>864</v>
      </c>
      <c r="B396" s="2" t="s">
        <v>121</v>
      </c>
      <c r="C396" s="3">
        <f t="shared" si="122"/>
        <v>808500</v>
      </c>
      <c r="D396" s="4">
        <f t="shared" ref="D396:D397" si="171">SUM(E396:J396)</f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5">
        <v>0</v>
      </c>
      <c r="L396" s="4">
        <v>0</v>
      </c>
      <c r="M396" s="4">
        <v>147</v>
      </c>
      <c r="N396" s="4">
        <f t="shared" ref="N396:N397" si="172">M396*5500</f>
        <v>808500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7">
        <f t="shared" ref="V396:V397" si="173">N396/M396</f>
        <v>5500</v>
      </c>
    </row>
    <row r="397" spans="1:22" ht="21.95" customHeight="1" x14ac:dyDescent="0.25">
      <c r="A397" s="1" t="s">
        <v>865</v>
      </c>
      <c r="B397" s="2" t="s">
        <v>123</v>
      </c>
      <c r="C397" s="3">
        <f t="shared" si="122"/>
        <v>1918400</v>
      </c>
      <c r="D397" s="4">
        <f t="shared" si="171"/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12">
        <v>0</v>
      </c>
      <c r="L397" s="6">
        <v>0</v>
      </c>
      <c r="M397" s="6">
        <v>348.8</v>
      </c>
      <c r="N397" s="4">
        <f t="shared" si="172"/>
        <v>1918400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7">
        <f t="shared" si="173"/>
        <v>5500</v>
      </c>
    </row>
    <row r="398" spans="1:22" ht="45" customHeight="1" x14ac:dyDescent="0.25">
      <c r="A398" s="55" t="s">
        <v>127</v>
      </c>
      <c r="B398" s="55"/>
      <c r="C398" s="3">
        <f>SUM(C399)</f>
        <v>2374300</v>
      </c>
      <c r="D398" s="3">
        <f t="shared" ref="D398:U398" si="174">SUM(D399)</f>
        <v>109200</v>
      </c>
      <c r="E398" s="3">
        <f t="shared" si="174"/>
        <v>109200</v>
      </c>
      <c r="F398" s="3">
        <f t="shared" si="174"/>
        <v>0</v>
      </c>
      <c r="G398" s="3">
        <f t="shared" si="174"/>
        <v>0</v>
      </c>
      <c r="H398" s="3">
        <f t="shared" si="174"/>
        <v>0</v>
      </c>
      <c r="I398" s="3">
        <f t="shared" si="174"/>
        <v>0</v>
      </c>
      <c r="J398" s="3">
        <f t="shared" si="174"/>
        <v>0</v>
      </c>
      <c r="K398" s="15">
        <f t="shared" si="174"/>
        <v>0</v>
      </c>
      <c r="L398" s="3">
        <f t="shared" si="174"/>
        <v>0</v>
      </c>
      <c r="M398" s="3">
        <f t="shared" si="174"/>
        <v>282</v>
      </c>
      <c r="N398" s="3">
        <f t="shared" si="174"/>
        <v>1551000</v>
      </c>
      <c r="O398" s="3">
        <f t="shared" si="174"/>
        <v>0</v>
      </c>
      <c r="P398" s="3">
        <f t="shared" si="174"/>
        <v>0</v>
      </c>
      <c r="Q398" s="3">
        <f t="shared" si="174"/>
        <v>155.69999999999999</v>
      </c>
      <c r="R398" s="3">
        <f t="shared" si="174"/>
        <v>467099.99999999994</v>
      </c>
      <c r="S398" s="3">
        <f t="shared" si="174"/>
        <v>147000</v>
      </c>
      <c r="T398" s="3">
        <f t="shared" si="174"/>
        <v>0</v>
      </c>
      <c r="U398" s="3">
        <f t="shared" si="174"/>
        <v>100000</v>
      </c>
      <c r="V398" s="21"/>
    </row>
    <row r="399" spans="1:22" ht="21.95" customHeight="1" x14ac:dyDescent="0.25">
      <c r="A399" s="24" t="s">
        <v>866</v>
      </c>
      <c r="B399" s="9" t="s">
        <v>125</v>
      </c>
      <c r="C399" s="3">
        <f t="shared" si="122"/>
        <v>2374300</v>
      </c>
      <c r="D399" s="4">
        <f t="shared" ref="D399" si="175">SUM(E399:J399)</f>
        <v>109200</v>
      </c>
      <c r="E399" s="4">
        <f>350*312</f>
        <v>109200</v>
      </c>
      <c r="F399" s="4">
        <f>800*0</f>
        <v>0</v>
      </c>
      <c r="G399" s="4">
        <f>350*0</f>
        <v>0</v>
      </c>
      <c r="H399" s="4">
        <f>400*0</f>
        <v>0</v>
      </c>
      <c r="I399" s="4">
        <f>250*0</f>
        <v>0</v>
      </c>
      <c r="J399" s="4">
        <v>0</v>
      </c>
      <c r="K399" s="12">
        <v>0</v>
      </c>
      <c r="L399" s="6">
        <v>0</v>
      </c>
      <c r="M399" s="6">
        <v>282</v>
      </c>
      <c r="N399" s="4">
        <f t="shared" ref="N399" si="176">M399*5500</f>
        <v>1551000</v>
      </c>
      <c r="O399" s="6">
        <v>0</v>
      </c>
      <c r="P399" s="6">
        <v>0</v>
      </c>
      <c r="Q399" s="6">
        <v>155.69999999999999</v>
      </c>
      <c r="R399" s="4">
        <f>Q399*3000</f>
        <v>467099.99999999994</v>
      </c>
      <c r="S399" s="6">
        <v>147000</v>
      </c>
      <c r="T399" s="6">
        <v>0</v>
      </c>
      <c r="U399" s="6">
        <v>100000</v>
      </c>
      <c r="V399" s="7">
        <f t="shared" ref="V399" si="177">N399/M399</f>
        <v>5500</v>
      </c>
    </row>
    <row r="400" spans="1:22" ht="45" customHeight="1" x14ac:dyDescent="0.25">
      <c r="A400" s="55" t="s">
        <v>131</v>
      </c>
      <c r="B400" s="55"/>
      <c r="C400" s="3">
        <f>SUM(C401:C402)</f>
        <v>7572300</v>
      </c>
      <c r="D400" s="3">
        <f t="shared" ref="D400:U400" si="178">SUM(D401:D402)</f>
        <v>0</v>
      </c>
      <c r="E400" s="3">
        <f t="shared" si="178"/>
        <v>0</v>
      </c>
      <c r="F400" s="3">
        <f t="shared" si="178"/>
        <v>0</v>
      </c>
      <c r="G400" s="3">
        <f t="shared" si="178"/>
        <v>0</v>
      </c>
      <c r="H400" s="3">
        <f t="shared" si="178"/>
        <v>0</v>
      </c>
      <c r="I400" s="3">
        <f t="shared" si="178"/>
        <v>0</v>
      </c>
      <c r="J400" s="3">
        <f t="shared" si="178"/>
        <v>0</v>
      </c>
      <c r="K400" s="15">
        <f t="shared" si="178"/>
        <v>0</v>
      </c>
      <c r="L400" s="3">
        <f t="shared" si="178"/>
        <v>0</v>
      </c>
      <c r="M400" s="3">
        <f t="shared" si="178"/>
        <v>1888</v>
      </c>
      <c r="N400" s="3">
        <f t="shared" si="178"/>
        <v>7572300</v>
      </c>
      <c r="O400" s="3">
        <f t="shared" si="178"/>
        <v>0</v>
      </c>
      <c r="P400" s="3">
        <f t="shared" si="178"/>
        <v>0</v>
      </c>
      <c r="Q400" s="3">
        <f t="shared" si="178"/>
        <v>0</v>
      </c>
      <c r="R400" s="3">
        <f t="shared" si="178"/>
        <v>0</v>
      </c>
      <c r="S400" s="3">
        <f t="shared" si="178"/>
        <v>0</v>
      </c>
      <c r="T400" s="3">
        <f t="shared" si="178"/>
        <v>0</v>
      </c>
      <c r="U400" s="3">
        <f t="shared" si="178"/>
        <v>0</v>
      </c>
    </row>
    <row r="401" spans="1:22" ht="21.95" customHeight="1" x14ac:dyDescent="0.25">
      <c r="A401" s="1" t="s">
        <v>867</v>
      </c>
      <c r="B401" s="9" t="s">
        <v>1584</v>
      </c>
      <c r="C401" s="3">
        <f t="shared" ref="C401:C461" si="179">D401+L401+N401+P401+R401+S401+T401+U401</f>
        <v>5713300</v>
      </c>
      <c r="D401" s="4">
        <f t="shared" ref="D401:D402" si="180">SUM(E401:J401)</f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5">
        <v>0</v>
      </c>
      <c r="L401" s="4">
        <v>0</v>
      </c>
      <c r="M401" s="4">
        <v>1550</v>
      </c>
      <c r="N401" s="4">
        <f>M401*3686</f>
        <v>5713300</v>
      </c>
      <c r="O401" s="4">
        <v>0</v>
      </c>
      <c r="P401" s="4">
        <v>0</v>
      </c>
      <c r="Q401" s="4">
        <v>0</v>
      </c>
      <c r="R401" s="6">
        <v>0</v>
      </c>
      <c r="S401" s="4">
        <v>0</v>
      </c>
      <c r="T401" s="4">
        <v>0</v>
      </c>
      <c r="U401" s="4">
        <v>0</v>
      </c>
      <c r="V401" s="7">
        <f t="shared" ref="V401:V402" si="181">N401/M401</f>
        <v>3686</v>
      </c>
    </row>
    <row r="402" spans="1:22" ht="21.95" customHeight="1" x14ac:dyDescent="0.25">
      <c r="A402" s="1" t="s">
        <v>1599</v>
      </c>
      <c r="B402" s="9" t="s">
        <v>128</v>
      </c>
      <c r="C402" s="3">
        <f t="shared" si="179"/>
        <v>1859000</v>
      </c>
      <c r="D402" s="4">
        <f t="shared" si="180"/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5">
        <v>0</v>
      </c>
      <c r="L402" s="4">
        <v>0</v>
      </c>
      <c r="M402" s="4">
        <v>338</v>
      </c>
      <c r="N402" s="4">
        <f t="shared" ref="N402" si="182">M402*5500</f>
        <v>1859000</v>
      </c>
      <c r="O402" s="4">
        <v>0</v>
      </c>
      <c r="P402" s="4">
        <v>0</v>
      </c>
      <c r="Q402" s="4">
        <v>0</v>
      </c>
      <c r="R402" s="6">
        <v>0</v>
      </c>
      <c r="S402" s="4">
        <v>0</v>
      </c>
      <c r="T402" s="4">
        <v>0</v>
      </c>
      <c r="U402" s="4">
        <v>0</v>
      </c>
      <c r="V402" s="7">
        <f t="shared" si="181"/>
        <v>5500</v>
      </c>
    </row>
    <row r="403" spans="1:22" ht="45" customHeight="1" x14ac:dyDescent="0.25">
      <c r="A403" s="55" t="s">
        <v>1588</v>
      </c>
      <c r="B403" s="55"/>
      <c r="C403" s="3">
        <f>SUM(C404)</f>
        <v>2164305</v>
      </c>
      <c r="D403" s="3">
        <f t="shared" ref="D403:U403" si="183">SUM(D404)</f>
        <v>0</v>
      </c>
      <c r="E403" s="3">
        <f t="shared" si="183"/>
        <v>0</v>
      </c>
      <c r="F403" s="3">
        <f t="shared" si="183"/>
        <v>0</v>
      </c>
      <c r="G403" s="3">
        <f t="shared" si="183"/>
        <v>0</v>
      </c>
      <c r="H403" s="3">
        <f t="shared" si="183"/>
        <v>0</v>
      </c>
      <c r="I403" s="3">
        <f t="shared" si="183"/>
        <v>0</v>
      </c>
      <c r="J403" s="3">
        <f t="shared" si="183"/>
        <v>0</v>
      </c>
      <c r="K403" s="15">
        <f t="shared" si="183"/>
        <v>0</v>
      </c>
      <c r="L403" s="3">
        <f t="shared" si="183"/>
        <v>0</v>
      </c>
      <c r="M403" s="3">
        <f t="shared" si="183"/>
        <v>393.51</v>
      </c>
      <c r="N403" s="3">
        <f t="shared" si="183"/>
        <v>2164305</v>
      </c>
      <c r="O403" s="3">
        <f t="shared" si="183"/>
        <v>0</v>
      </c>
      <c r="P403" s="3">
        <f t="shared" si="183"/>
        <v>0</v>
      </c>
      <c r="Q403" s="3">
        <f t="shared" si="183"/>
        <v>0</v>
      </c>
      <c r="R403" s="3">
        <f t="shared" si="183"/>
        <v>0</v>
      </c>
      <c r="S403" s="3">
        <f t="shared" si="183"/>
        <v>0</v>
      </c>
      <c r="T403" s="3">
        <f t="shared" si="183"/>
        <v>0</v>
      </c>
      <c r="U403" s="3">
        <f t="shared" si="183"/>
        <v>0</v>
      </c>
      <c r="V403" s="21">
        <f>C403</f>
        <v>2164305</v>
      </c>
    </row>
    <row r="404" spans="1:22" ht="21.95" customHeight="1" x14ac:dyDescent="0.25">
      <c r="A404" s="1" t="s">
        <v>868</v>
      </c>
      <c r="B404" s="9" t="s">
        <v>129</v>
      </c>
      <c r="C404" s="3">
        <f t="shared" si="179"/>
        <v>2164305</v>
      </c>
      <c r="D404" s="4">
        <f t="shared" ref="D404" si="184">SUM(E404:J404)</f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5">
        <v>0</v>
      </c>
      <c r="L404" s="4">
        <v>0</v>
      </c>
      <c r="M404" s="4">
        <v>393.51</v>
      </c>
      <c r="N404" s="4">
        <f t="shared" ref="N404" si="185">M404*5500</f>
        <v>2164305</v>
      </c>
      <c r="O404" s="4">
        <v>0</v>
      </c>
      <c r="P404" s="4">
        <v>0</v>
      </c>
      <c r="Q404" s="4">
        <v>0</v>
      </c>
      <c r="R404" s="6">
        <v>0</v>
      </c>
      <c r="S404" s="4">
        <v>0</v>
      </c>
      <c r="T404" s="4">
        <v>0</v>
      </c>
      <c r="U404" s="4">
        <v>0</v>
      </c>
      <c r="V404" s="7">
        <f t="shared" ref="V404" si="186">N404/M404</f>
        <v>5500</v>
      </c>
    </row>
    <row r="405" spans="1:22" ht="45" customHeight="1" x14ac:dyDescent="0.25">
      <c r="A405" s="55" t="s">
        <v>133</v>
      </c>
      <c r="B405" s="55"/>
      <c r="C405" s="3">
        <f>SUM(C406:C408)</f>
        <v>3593850</v>
      </c>
      <c r="D405" s="3">
        <f t="shared" ref="D405:U405" si="187">SUM(D406:D408)</f>
        <v>0</v>
      </c>
      <c r="E405" s="3">
        <f t="shared" si="187"/>
        <v>0</v>
      </c>
      <c r="F405" s="3">
        <f t="shared" si="187"/>
        <v>0</v>
      </c>
      <c r="G405" s="3">
        <f t="shared" si="187"/>
        <v>0</v>
      </c>
      <c r="H405" s="3">
        <f t="shared" si="187"/>
        <v>0</v>
      </c>
      <c r="I405" s="3">
        <f t="shared" si="187"/>
        <v>0</v>
      </c>
      <c r="J405" s="3">
        <f t="shared" si="187"/>
        <v>0</v>
      </c>
      <c r="K405" s="15">
        <f t="shared" si="187"/>
        <v>0</v>
      </c>
      <c r="L405" s="3">
        <f t="shared" si="187"/>
        <v>0</v>
      </c>
      <c r="M405" s="3">
        <f t="shared" si="187"/>
        <v>975</v>
      </c>
      <c r="N405" s="3">
        <f t="shared" si="187"/>
        <v>3593850</v>
      </c>
      <c r="O405" s="3">
        <f t="shared" si="187"/>
        <v>0</v>
      </c>
      <c r="P405" s="3">
        <f t="shared" si="187"/>
        <v>0</v>
      </c>
      <c r="Q405" s="3">
        <f t="shared" si="187"/>
        <v>0</v>
      </c>
      <c r="R405" s="3">
        <f t="shared" si="187"/>
        <v>0</v>
      </c>
      <c r="S405" s="3">
        <f t="shared" si="187"/>
        <v>0</v>
      </c>
      <c r="T405" s="3">
        <f t="shared" si="187"/>
        <v>0</v>
      </c>
      <c r="U405" s="3">
        <f t="shared" si="187"/>
        <v>0</v>
      </c>
    </row>
    <row r="406" spans="1:22" ht="21.95" customHeight="1" x14ac:dyDescent="0.25">
      <c r="A406" s="24" t="s">
        <v>869</v>
      </c>
      <c r="B406" s="9" t="s">
        <v>1394</v>
      </c>
      <c r="C406" s="3">
        <f t="shared" si="179"/>
        <v>1197950</v>
      </c>
      <c r="D406" s="4">
        <f t="shared" ref="D406:D408" si="188">SUM(E406:J406)</f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12">
        <v>0</v>
      </c>
      <c r="L406" s="6">
        <v>0</v>
      </c>
      <c r="M406" s="6">
        <v>325</v>
      </c>
      <c r="N406" s="4">
        <f t="shared" ref="N406:N408" si="189">M406*3686</f>
        <v>1197950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7">
        <f t="shared" ref="V406:V408" si="190">N406/M406</f>
        <v>3686</v>
      </c>
    </row>
    <row r="407" spans="1:22" ht="21.95" customHeight="1" x14ac:dyDescent="0.25">
      <c r="A407" s="24" t="s">
        <v>870</v>
      </c>
      <c r="B407" s="9" t="s">
        <v>137</v>
      </c>
      <c r="C407" s="3">
        <f t="shared" si="179"/>
        <v>1197950</v>
      </c>
      <c r="D407" s="4">
        <f t="shared" si="188"/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5">
        <v>0</v>
      </c>
      <c r="L407" s="4">
        <v>0</v>
      </c>
      <c r="M407" s="4">
        <v>325</v>
      </c>
      <c r="N407" s="4">
        <f t="shared" si="189"/>
        <v>1197950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7">
        <f t="shared" si="190"/>
        <v>3686</v>
      </c>
    </row>
    <row r="408" spans="1:22" ht="21.95" customHeight="1" x14ac:dyDescent="0.25">
      <c r="A408" s="24" t="s">
        <v>871</v>
      </c>
      <c r="B408" s="9" t="s">
        <v>138</v>
      </c>
      <c r="C408" s="3">
        <f t="shared" si="179"/>
        <v>1197950</v>
      </c>
      <c r="D408" s="4">
        <f t="shared" si="188"/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5">
        <v>0</v>
      </c>
      <c r="L408" s="4">
        <v>0</v>
      </c>
      <c r="M408" s="4">
        <v>325</v>
      </c>
      <c r="N408" s="4">
        <f t="shared" si="189"/>
        <v>1197950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7">
        <f t="shared" si="190"/>
        <v>3686</v>
      </c>
    </row>
    <row r="409" spans="1:22" ht="45" customHeight="1" x14ac:dyDescent="0.25">
      <c r="A409" s="55" t="s">
        <v>139</v>
      </c>
      <c r="B409" s="55"/>
      <c r="C409" s="3">
        <f>SUM(C410:C411)</f>
        <v>3516645</v>
      </c>
      <c r="D409" s="3">
        <f t="shared" ref="D409:U409" si="191">SUM(D410:D411)</f>
        <v>0</v>
      </c>
      <c r="E409" s="3">
        <f t="shared" si="191"/>
        <v>0</v>
      </c>
      <c r="F409" s="3">
        <f t="shared" si="191"/>
        <v>0</v>
      </c>
      <c r="G409" s="3">
        <f t="shared" si="191"/>
        <v>0</v>
      </c>
      <c r="H409" s="3">
        <f t="shared" si="191"/>
        <v>0</v>
      </c>
      <c r="I409" s="3">
        <f t="shared" si="191"/>
        <v>0</v>
      </c>
      <c r="J409" s="3">
        <f t="shared" si="191"/>
        <v>0</v>
      </c>
      <c r="K409" s="15">
        <f t="shared" si="191"/>
        <v>0</v>
      </c>
      <c r="L409" s="3">
        <f t="shared" si="191"/>
        <v>0</v>
      </c>
      <c r="M409" s="3">
        <f t="shared" si="191"/>
        <v>639.39</v>
      </c>
      <c r="N409" s="3">
        <f t="shared" si="191"/>
        <v>3516645</v>
      </c>
      <c r="O409" s="3">
        <f t="shared" si="191"/>
        <v>0</v>
      </c>
      <c r="P409" s="3">
        <f t="shared" si="191"/>
        <v>0</v>
      </c>
      <c r="Q409" s="3">
        <f t="shared" si="191"/>
        <v>0</v>
      </c>
      <c r="R409" s="3">
        <f t="shared" si="191"/>
        <v>0</v>
      </c>
      <c r="S409" s="3">
        <f t="shared" si="191"/>
        <v>0</v>
      </c>
      <c r="T409" s="3">
        <f t="shared" si="191"/>
        <v>0</v>
      </c>
      <c r="U409" s="3">
        <f t="shared" si="191"/>
        <v>0</v>
      </c>
    </row>
    <row r="410" spans="1:22" ht="21.95" customHeight="1" x14ac:dyDescent="0.25">
      <c r="A410" s="1" t="s">
        <v>1454</v>
      </c>
      <c r="B410" s="9" t="s">
        <v>140</v>
      </c>
      <c r="C410" s="3">
        <f t="shared" si="179"/>
        <v>1944360</v>
      </c>
      <c r="D410" s="4">
        <f t="shared" ref="D410:D411" si="192">SUM(E410:J410)</f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5">
        <v>0</v>
      </c>
      <c r="L410" s="4">
        <v>0</v>
      </c>
      <c r="M410" s="4">
        <v>353.52</v>
      </c>
      <c r="N410" s="4">
        <f t="shared" ref="N410:N411" si="193">M410*5500</f>
        <v>1944360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7">
        <f t="shared" ref="V410:V411" si="194">N410/M410</f>
        <v>5500</v>
      </c>
    </row>
    <row r="411" spans="1:22" ht="21.95" customHeight="1" x14ac:dyDescent="0.25">
      <c r="A411" s="1" t="s">
        <v>872</v>
      </c>
      <c r="B411" s="9" t="s">
        <v>1385</v>
      </c>
      <c r="C411" s="3">
        <f t="shared" si="179"/>
        <v>1572285</v>
      </c>
      <c r="D411" s="4">
        <f t="shared" si="192"/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5">
        <v>0</v>
      </c>
      <c r="L411" s="4">
        <v>0</v>
      </c>
      <c r="M411" s="4">
        <v>285.87</v>
      </c>
      <c r="N411" s="4">
        <f t="shared" si="193"/>
        <v>1572285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7">
        <f t="shared" si="194"/>
        <v>5500</v>
      </c>
    </row>
    <row r="412" spans="1:22" ht="45" customHeight="1" x14ac:dyDescent="0.25">
      <c r="A412" s="55" t="s">
        <v>142</v>
      </c>
      <c r="B412" s="55"/>
      <c r="C412" s="3">
        <f>SUM(C413:C414)</f>
        <v>1848000</v>
      </c>
      <c r="D412" s="3">
        <f t="shared" ref="D412:U412" si="195">SUM(D413:D414)</f>
        <v>0</v>
      </c>
      <c r="E412" s="3">
        <f t="shared" si="195"/>
        <v>0</v>
      </c>
      <c r="F412" s="3">
        <f t="shared" si="195"/>
        <v>0</v>
      </c>
      <c r="G412" s="3">
        <f t="shared" si="195"/>
        <v>0</v>
      </c>
      <c r="H412" s="3">
        <f t="shared" si="195"/>
        <v>0</v>
      </c>
      <c r="I412" s="3">
        <f t="shared" si="195"/>
        <v>0</v>
      </c>
      <c r="J412" s="3">
        <f t="shared" si="195"/>
        <v>0</v>
      </c>
      <c r="K412" s="15">
        <f t="shared" si="195"/>
        <v>0</v>
      </c>
      <c r="L412" s="3">
        <f t="shared" si="195"/>
        <v>0</v>
      </c>
      <c r="M412" s="3">
        <f t="shared" si="195"/>
        <v>336</v>
      </c>
      <c r="N412" s="3">
        <f t="shared" si="195"/>
        <v>1848000</v>
      </c>
      <c r="O412" s="3">
        <f t="shared" si="195"/>
        <v>0</v>
      </c>
      <c r="P412" s="3">
        <f t="shared" si="195"/>
        <v>0</v>
      </c>
      <c r="Q412" s="3">
        <f t="shared" si="195"/>
        <v>0</v>
      </c>
      <c r="R412" s="3">
        <f t="shared" si="195"/>
        <v>0</v>
      </c>
      <c r="S412" s="3">
        <f t="shared" si="195"/>
        <v>0</v>
      </c>
      <c r="T412" s="3">
        <f t="shared" si="195"/>
        <v>0</v>
      </c>
      <c r="U412" s="3">
        <f t="shared" si="195"/>
        <v>0</v>
      </c>
      <c r="V412" s="21">
        <f>C412</f>
        <v>1848000</v>
      </c>
    </row>
    <row r="413" spans="1:22" ht="21.95" customHeight="1" x14ac:dyDescent="0.25">
      <c r="A413" s="1" t="s">
        <v>873</v>
      </c>
      <c r="B413" s="9" t="s">
        <v>143</v>
      </c>
      <c r="C413" s="3">
        <f t="shared" si="179"/>
        <v>825000</v>
      </c>
      <c r="D413" s="4">
        <f t="shared" ref="D413:D414" si="196">SUM(E413:J413)</f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5">
        <v>0</v>
      </c>
      <c r="L413" s="4">
        <v>0</v>
      </c>
      <c r="M413" s="4">
        <v>150</v>
      </c>
      <c r="N413" s="4">
        <f t="shared" ref="N413:N414" si="197">M413*5500</f>
        <v>825000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7">
        <f t="shared" ref="V413:V414" si="198">N413/M413</f>
        <v>5500</v>
      </c>
    </row>
    <row r="414" spans="1:22" ht="21.95" customHeight="1" x14ac:dyDescent="0.25">
      <c r="A414" s="1" t="s">
        <v>874</v>
      </c>
      <c r="B414" s="9" t="s">
        <v>144</v>
      </c>
      <c r="C414" s="3">
        <f t="shared" si="179"/>
        <v>1023000</v>
      </c>
      <c r="D414" s="4">
        <f t="shared" si="196"/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5">
        <v>0</v>
      </c>
      <c r="L414" s="4">
        <v>0</v>
      </c>
      <c r="M414" s="4">
        <v>186</v>
      </c>
      <c r="N414" s="4">
        <f t="shared" si="197"/>
        <v>1023000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7">
        <f t="shared" si="198"/>
        <v>5500</v>
      </c>
    </row>
    <row r="415" spans="1:22" ht="45" customHeight="1" x14ac:dyDescent="0.25">
      <c r="A415" s="55" t="s">
        <v>148</v>
      </c>
      <c r="B415" s="55"/>
      <c r="C415" s="3">
        <f>SUM(C416:C421)</f>
        <v>17311370</v>
      </c>
      <c r="D415" s="3">
        <f t="shared" ref="D415:U415" si="199">SUM(D416:D421)</f>
        <v>0</v>
      </c>
      <c r="E415" s="3">
        <f t="shared" si="199"/>
        <v>0</v>
      </c>
      <c r="F415" s="3">
        <f t="shared" si="199"/>
        <v>0</v>
      </c>
      <c r="G415" s="3">
        <f t="shared" si="199"/>
        <v>0</v>
      </c>
      <c r="H415" s="3">
        <f t="shared" si="199"/>
        <v>0</v>
      </c>
      <c r="I415" s="3">
        <f t="shared" si="199"/>
        <v>0</v>
      </c>
      <c r="J415" s="3">
        <f t="shared" si="199"/>
        <v>0</v>
      </c>
      <c r="K415" s="15">
        <f t="shared" si="199"/>
        <v>0</v>
      </c>
      <c r="L415" s="3">
        <f t="shared" si="199"/>
        <v>0</v>
      </c>
      <c r="M415" s="3">
        <f t="shared" si="199"/>
        <v>1838</v>
      </c>
      <c r="N415" s="3">
        <f t="shared" si="199"/>
        <v>10109000</v>
      </c>
      <c r="O415" s="3">
        <f t="shared" si="199"/>
        <v>0</v>
      </c>
      <c r="P415" s="3">
        <f t="shared" si="199"/>
        <v>0</v>
      </c>
      <c r="Q415" s="3">
        <f t="shared" si="199"/>
        <v>2300.79</v>
      </c>
      <c r="R415" s="3">
        <f t="shared" si="199"/>
        <v>6902370</v>
      </c>
      <c r="S415" s="3">
        <f t="shared" si="199"/>
        <v>0</v>
      </c>
      <c r="T415" s="3">
        <f t="shared" si="199"/>
        <v>0</v>
      </c>
      <c r="U415" s="3">
        <f t="shared" si="199"/>
        <v>300000</v>
      </c>
    </row>
    <row r="416" spans="1:22" ht="21.95" customHeight="1" x14ac:dyDescent="0.25">
      <c r="A416" s="1" t="s">
        <v>1927</v>
      </c>
      <c r="B416" s="9" t="s">
        <v>149</v>
      </c>
      <c r="C416" s="3">
        <f t="shared" si="179"/>
        <v>2387000</v>
      </c>
      <c r="D416" s="4">
        <f t="shared" ref="D416:D421" si="200">SUM(E416:J416)</f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5">
        <v>0</v>
      </c>
      <c r="L416" s="4">
        <v>0</v>
      </c>
      <c r="M416" s="4">
        <v>434</v>
      </c>
      <c r="N416" s="4">
        <f t="shared" ref="N416:N418" si="201">M416*5500</f>
        <v>2387000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7">
        <f t="shared" ref="V416:V421" si="202">N416/M416</f>
        <v>5500</v>
      </c>
    </row>
    <row r="417" spans="1:22" ht="21.95" customHeight="1" x14ac:dyDescent="0.25">
      <c r="A417" s="1" t="s">
        <v>875</v>
      </c>
      <c r="B417" s="9" t="s">
        <v>150</v>
      </c>
      <c r="C417" s="3">
        <f t="shared" si="179"/>
        <v>2387000</v>
      </c>
      <c r="D417" s="4">
        <f t="shared" si="200"/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5">
        <v>0</v>
      </c>
      <c r="L417" s="4">
        <v>0</v>
      </c>
      <c r="M417" s="4">
        <v>434</v>
      </c>
      <c r="N417" s="4">
        <f t="shared" si="201"/>
        <v>2387000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7">
        <f t="shared" si="202"/>
        <v>5500</v>
      </c>
    </row>
    <row r="418" spans="1:22" ht="21.95" customHeight="1" x14ac:dyDescent="0.25">
      <c r="A418" s="1" t="s">
        <v>876</v>
      </c>
      <c r="B418" s="9" t="s">
        <v>151</v>
      </c>
      <c r="C418" s="3">
        <f t="shared" si="179"/>
        <v>2035000</v>
      </c>
      <c r="D418" s="4">
        <f t="shared" si="200"/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5">
        <v>0</v>
      </c>
      <c r="L418" s="4">
        <v>0</v>
      </c>
      <c r="M418" s="4">
        <v>370</v>
      </c>
      <c r="N418" s="4">
        <f t="shared" si="201"/>
        <v>2035000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7">
        <f t="shared" si="202"/>
        <v>5500</v>
      </c>
    </row>
    <row r="419" spans="1:22" ht="21.95" customHeight="1" x14ac:dyDescent="0.25">
      <c r="A419" s="1" t="s">
        <v>877</v>
      </c>
      <c r="B419" s="9" t="s">
        <v>152</v>
      </c>
      <c r="C419" s="3">
        <f t="shared" si="179"/>
        <v>300000</v>
      </c>
      <c r="D419" s="4">
        <f t="shared" si="200"/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5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300000</v>
      </c>
      <c r="V419" s="7" t="e">
        <f t="shared" si="202"/>
        <v>#DIV/0!</v>
      </c>
    </row>
    <row r="420" spans="1:22" ht="21.95" customHeight="1" x14ac:dyDescent="0.25">
      <c r="A420" s="1" t="s">
        <v>878</v>
      </c>
      <c r="B420" s="9" t="s">
        <v>1211</v>
      </c>
      <c r="C420" s="3">
        <f t="shared" si="179"/>
        <v>3300000</v>
      </c>
      <c r="D420" s="4">
        <f t="shared" si="200"/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5">
        <v>0</v>
      </c>
      <c r="L420" s="4">
        <v>0</v>
      </c>
      <c r="M420" s="4">
        <v>600</v>
      </c>
      <c r="N420" s="4">
        <f t="shared" ref="N420" si="203">M420*5500</f>
        <v>3300000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7">
        <f t="shared" si="202"/>
        <v>5500</v>
      </c>
    </row>
    <row r="421" spans="1:22" ht="21.95" customHeight="1" x14ac:dyDescent="0.25">
      <c r="A421" s="1" t="s">
        <v>879</v>
      </c>
      <c r="B421" s="9" t="s">
        <v>1212</v>
      </c>
      <c r="C421" s="3">
        <f t="shared" si="179"/>
        <v>6902370</v>
      </c>
      <c r="D421" s="4">
        <f t="shared" si="200"/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5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2300.79</v>
      </c>
      <c r="R421" s="4">
        <f>Q421*3000</f>
        <v>6902370</v>
      </c>
      <c r="S421" s="4">
        <v>0</v>
      </c>
      <c r="T421" s="4">
        <v>0</v>
      </c>
      <c r="U421" s="4">
        <v>0</v>
      </c>
      <c r="V421" s="7" t="e">
        <f t="shared" si="202"/>
        <v>#DIV/0!</v>
      </c>
    </row>
    <row r="422" spans="1:22" ht="45" customHeight="1" x14ac:dyDescent="0.25">
      <c r="A422" s="55" t="s">
        <v>1603</v>
      </c>
      <c r="B422" s="55"/>
      <c r="C422" s="3">
        <f>SUM(C423)</f>
        <v>1315270</v>
      </c>
      <c r="D422" s="3">
        <f t="shared" ref="D422:U422" si="204">SUM(D423)</f>
        <v>0</v>
      </c>
      <c r="E422" s="3">
        <f t="shared" si="204"/>
        <v>0</v>
      </c>
      <c r="F422" s="3">
        <f t="shared" si="204"/>
        <v>0</v>
      </c>
      <c r="G422" s="3">
        <f t="shared" si="204"/>
        <v>0</v>
      </c>
      <c r="H422" s="3">
        <f t="shared" si="204"/>
        <v>0</v>
      </c>
      <c r="I422" s="3">
        <f t="shared" si="204"/>
        <v>0</v>
      </c>
      <c r="J422" s="3">
        <f t="shared" si="204"/>
        <v>0</v>
      </c>
      <c r="K422" s="15">
        <f t="shared" si="204"/>
        <v>0</v>
      </c>
      <c r="L422" s="3">
        <f t="shared" si="204"/>
        <v>0</v>
      </c>
      <c r="M422" s="3">
        <f t="shared" si="204"/>
        <v>239.14</v>
      </c>
      <c r="N422" s="3">
        <f t="shared" si="204"/>
        <v>1315270</v>
      </c>
      <c r="O422" s="3">
        <f t="shared" si="204"/>
        <v>0</v>
      </c>
      <c r="P422" s="3">
        <f t="shared" si="204"/>
        <v>0</v>
      </c>
      <c r="Q422" s="3">
        <f t="shared" si="204"/>
        <v>0</v>
      </c>
      <c r="R422" s="3">
        <f t="shared" si="204"/>
        <v>0</v>
      </c>
      <c r="S422" s="3">
        <f t="shared" si="204"/>
        <v>0</v>
      </c>
      <c r="T422" s="3">
        <f t="shared" si="204"/>
        <v>0</v>
      </c>
      <c r="U422" s="3">
        <f t="shared" si="204"/>
        <v>0</v>
      </c>
    </row>
    <row r="423" spans="1:22" ht="21.95" customHeight="1" x14ac:dyDescent="0.25">
      <c r="A423" s="1" t="s">
        <v>880</v>
      </c>
      <c r="B423" s="9" t="s">
        <v>159</v>
      </c>
      <c r="C423" s="3">
        <f t="shared" si="179"/>
        <v>1315270</v>
      </c>
      <c r="D423" s="4">
        <f t="shared" ref="D423" si="205">SUM(E423:J423)</f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5">
        <v>0</v>
      </c>
      <c r="L423" s="4">
        <v>0</v>
      </c>
      <c r="M423" s="4">
        <v>239.14</v>
      </c>
      <c r="N423" s="4">
        <f t="shared" ref="N423" si="206">M423*5500</f>
        <v>1315270</v>
      </c>
      <c r="O423" s="4">
        <v>0</v>
      </c>
      <c r="P423" s="4">
        <v>0</v>
      </c>
      <c r="Q423" s="4">
        <v>0</v>
      </c>
      <c r="R423" s="6">
        <v>0</v>
      </c>
      <c r="S423" s="4">
        <v>0</v>
      </c>
      <c r="T423" s="4">
        <v>0</v>
      </c>
      <c r="U423" s="4">
        <v>0</v>
      </c>
      <c r="V423" s="7">
        <f t="shared" ref="V423" si="207">N423/M423</f>
        <v>5500</v>
      </c>
    </row>
    <row r="424" spans="1:22" ht="45" customHeight="1" x14ac:dyDescent="0.25">
      <c r="A424" s="55" t="s">
        <v>163</v>
      </c>
      <c r="B424" s="55"/>
      <c r="C424" s="3">
        <f>SUM(C425:C443)</f>
        <v>124291335.03999999</v>
      </c>
      <c r="D424" s="3">
        <f t="shared" ref="D424:U424" si="208">SUM(D425:D443)</f>
        <v>17097775</v>
      </c>
      <c r="E424" s="3">
        <f t="shared" si="208"/>
        <v>3858505</v>
      </c>
      <c r="F424" s="3">
        <f t="shared" si="208"/>
        <v>8725080</v>
      </c>
      <c r="G424" s="3">
        <f t="shared" si="208"/>
        <v>2273100</v>
      </c>
      <c r="H424" s="3">
        <f t="shared" si="208"/>
        <v>346840</v>
      </c>
      <c r="I424" s="3">
        <f t="shared" si="208"/>
        <v>1894250</v>
      </c>
      <c r="J424" s="3">
        <f t="shared" si="208"/>
        <v>0</v>
      </c>
      <c r="K424" s="15">
        <f t="shared" si="208"/>
        <v>4</v>
      </c>
      <c r="L424" s="3">
        <f t="shared" si="208"/>
        <v>8600000</v>
      </c>
      <c r="M424" s="3">
        <f t="shared" si="208"/>
        <v>8328.11</v>
      </c>
      <c r="N424" s="3">
        <f t="shared" si="208"/>
        <v>42645270.039999999</v>
      </c>
      <c r="O424" s="3">
        <f t="shared" si="208"/>
        <v>0</v>
      </c>
      <c r="P424" s="3">
        <f t="shared" si="208"/>
        <v>0</v>
      </c>
      <c r="Q424" s="3">
        <f t="shared" si="208"/>
        <v>18049.429999999997</v>
      </c>
      <c r="R424" s="3">
        <f t="shared" si="208"/>
        <v>54148290</v>
      </c>
      <c r="S424" s="3">
        <f t="shared" si="208"/>
        <v>0</v>
      </c>
      <c r="T424" s="3">
        <f t="shared" si="208"/>
        <v>0</v>
      </c>
      <c r="U424" s="3">
        <f t="shared" si="208"/>
        <v>1800000</v>
      </c>
    </row>
    <row r="425" spans="1:22" ht="21.95" customHeight="1" x14ac:dyDescent="0.25">
      <c r="A425" s="1" t="s">
        <v>881</v>
      </c>
      <c r="B425" s="26" t="s">
        <v>168</v>
      </c>
      <c r="C425" s="3">
        <f t="shared" si="179"/>
        <v>17402685.039999999</v>
      </c>
      <c r="D425" s="4">
        <f t="shared" ref="D425:D443" si="209">SUM(E425:J425)</f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5">
        <v>0</v>
      </c>
      <c r="L425" s="4">
        <v>0</v>
      </c>
      <c r="M425" s="4">
        <v>1741.64</v>
      </c>
      <c r="N425" s="4">
        <f>M425*3686</f>
        <v>6419685.04</v>
      </c>
      <c r="O425" s="4">
        <v>0</v>
      </c>
      <c r="P425" s="4">
        <v>0</v>
      </c>
      <c r="Q425" s="6">
        <v>3661</v>
      </c>
      <c r="R425" s="4">
        <f t="shared" ref="R425:R427" si="210">Q425*3000</f>
        <v>10983000</v>
      </c>
      <c r="S425" s="4">
        <v>0</v>
      </c>
      <c r="T425" s="4">
        <v>0</v>
      </c>
      <c r="U425" s="4">
        <v>0</v>
      </c>
      <c r="V425" s="7">
        <f t="shared" ref="V425:V443" si="211">N425/M425</f>
        <v>3686</v>
      </c>
    </row>
    <row r="426" spans="1:22" ht="21.95" customHeight="1" x14ac:dyDescent="0.25">
      <c r="A426" s="1" t="s">
        <v>882</v>
      </c>
      <c r="B426" s="26" t="s">
        <v>164</v>
      </c>
      <c r="C426" s="3">
        <f t="shared" si="179"/>
        <v>29471200</v>
      </c>
      <c r="D426" s="4">
        <f t="shared" si="209"/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5">
        <v>4</v>
      </c>
      <c r="L426" s="4">
        <v>8600000</v>
      </c>
      <c r="M426" s="4">
        <v>0</v>
      </c>
      <c r="N426" s="4">
        <v>0</v>
      </c>
      <c r="O426" s="4">
        <v>0</v>
      </c>
      <c r="P426" s="4">
        <v>0</v>
      </c>
      <c r="Q426" s="6">
        <v>6890.4</v>
      </c>
      <c r="R426" s="4">
        <f t="shared" si="210"/>
        <v>20671200</v>
      </c>
      <c r="S426" s="4">
        <v>0</v>
      </c>
      <c r="T426" s="4">
        <v>0</v>
      </c>
      <c r="U426" s="4">
        <v>200000</v>
      </c>
      <c r="V426" s="7" t="e">
        <f t="shared" si="211"/>
        <v>#DIV/0!</v>
      </c>
    </row>
    <row r="427" spans="1:22" ht="21.95" customHeight="1" x14ac:dyDescent="0.25">
      <c r="A427" s="1" t="s">
        <v>883</v>
      </c>
      <c r="B427" s="2" t="s">
        <v>836</v>
      </c>
      <c r="C427" s="3">
        <f t="shared" si="179"/>
        <v>4554480</v>
      </c>
      <c r="D427" s="4">
        <f t="shared" si="209"/>
        <v>668250</v>
      </c>
      <c r="E427" s="4">
        <f>350*742.5</f>
        <v>259875</v>
      </c>
      <c r="F427" s="4">
        <f>800*0</f>
        <v>0</v>
      </c>
      <c r="G427" s="4">
        <f>300*742.5</f>
        <v>222750</v>
      </c>
      <c r="H427" s="4">
        <f>400*0</f>
        <v>0</v>
      </c>
      <c r="I427" s="4">
        <f>250*742.5</f>
        <v>185625</v>
      </c>
      <c r="J427" s="4">
        <f t="shared" ref="J427:J439" si="212">350*0</f>
        <v>0</v>
      </c>
      <c r="K427" s="5">
        <v>0</v>
      </c>
      <c r="L427" s="4">
        <v>0</v>
      </c>
      <c r="M427" s="4">
        <v>426.86</v>
      </c>
      <c r="N427" s="4">
        <f t="shared" ref="N427:N434" si="213">M427*5500</f>
        <v>2347730</v>
      </c>
      <c r="O427" s="4">
        <v>0</v>
      </c>
      <c r="P427" s="4">
        <f>O427*410</f>
        <v>0</v>
      </c>
      <c r="Q427" s="4">
        <v>479.5</v>
      </c>
      <c r="R427" s="4">
        <f t="shared" si="210"/>
        <v>1438500</v>
      </c>
      <c r="S427" s="4">
        <v>0</v>
      </c>
      <c r="T427" s="4">
        <v>0</v>
      </c>
      <c r="U427" s="4">
        <v>100000</v>
      </c>
      <c r="V427" s="7">
        <f t="shared" si="211"/>
        <v>5500</v>
      </c>
    </row>
    <row r="428" spans="1:22" ht="21.95" customHeight="1" x14ac:dyDescent="0.25">
      <c r="A428" s="1" t="s">
        <v>884</v>
      </c>
      <c r="B428" s="2" t="s">
        <v>183</v>
      </c>
      <c r="C428" s="3">
        <f>D428+L428+N428+P428+R428+S428+T428+U428</f>
        <v>2827870</v>
      </c>
      <c r="D428" s="4">
        <f t="shared" si="209"/>
        <v>1224820</v>
      </c>
      <c r="E428" s="4">
        <f>350*521.2</f>
        <v>182420.00000000003</v>
      </c>
      <c r="F428" s="4">
        <f>1050*521.2</f>
        <v>547260</v>
      </c>
      <c r="G428" s="4">
        <f>300*521.2</f>
        <v>156360</v>
      </c>
      <c r="H428" s="4">
        <f>400*521.2</f>
        <v>208480.00000000003</v>
      </c>
      <c r="I428" s="4">
        <f>250*521.2</f>
        <v>130300.00000000001</v>
      </c>
      <c r="J428" s="4">
        <f t="shared" si="212"/>
        <v>0</v>
      </c>
      <c r="K428" s="5">
        <v>0</v>
      </c>
      <c r="L428" s="4">
        <v>0</v>
      </c>
      <c r="M428" s="4">
        <v>255.1</v>
      </c>
      <c r="N428" s="4">
        <f>M428*5500</f>
        <v>1403050</v>
      </c>
      <c r="O428" s="4">
        <v>0</v>
      </c>
      <c r="P428" s="4">
        <f>O428*410</f>
        <v>0</v>
      </c>
      <c r="Q428" s="6">
        <v>0</v>
      </c>
      <c r="R428" s="4">
        <v>0</v>
      </c>
      <c r="S428" s="4">
        <f>S106</f>
        <v>0</v>
      </c>
      <c r="T428" s="4">
        <v>0</v>
      </c>
      <c r="U428" s="4">
        <v>200000</v>
      </c>
      <c r="V428" s="7">
        <f t="shared" si="211"/>
        <v>5500</v>
      </c>
    </row>
    <row r="429" spans="1:22" ht="21.95" customHeight="1" x14ac:dyDescent="0.25">
      <c r="A429" s="1" t="s">
        <v>885</v>
      </c>
      <c r="B429" s="2" t="s">
        <v>175</v>
      </c>
      <c r="C429" s="3">
        <f t="shared" si="179"/>
        <v>8302170</v>
      </c>
      <c r="D429" s="4">
        <f t="shared" si="209"/>
        <v>561890</v>
      </c>
      <c r="E429" s="4">
        <f>350*1605.4</f>
        <v>561890</v>
      </c>
      <c r="F429" s="4">
        <f>800*0</f>
        <v>0</v>
      </c>
      <c r="G429" s="4">
        <v>0</v>
      </c>
      <c r="H429" s="4">
        <f>400*0</f>
        <v>0</v>
      </c>
      <c r="I429" s="4">
        <v>0</v>
      </c>
      <c r="J429" s="4">
        <f t="shared" si="212"/>
        <v>0</v>
      </c>
      <c r="K429" s="5">
        <v>0</v>
      </c>
      <c r="L429" s="4">
        <v>0</v>
      </c>
      <c r="M429" s="4">
        <v>883.2</v>
      </c>
      <c r="N429" s="4">
        <f t="shared" si="213"/>
        <v>4857600</v>
      </c>
      <c r="O429" s="4">
        <v>0</v>
      </c>
      <c r="P429" s="4">
        <f>O429*410</f>
        <v>0</v>
      </c>
      <c r="Q429" s="4">
        <v>927.56</v>
      </c>
      <c r="R429" s="4">
        <f t="shared" ref="R429:R434" si="214">Q429*3000</f>
        <v>2782680</v>
      </c>
      <c r="S429" s="4">
        <v>0</v>
      </c>
      <c r="T429" s="4">
        <v>0</v>
      </c>
      <c r="U429" s="4">
        <v>100000</v>
      </c>
      <c r="V429" s="7">
        <f t="shared" si="211"/>
        <v>5500</v>
      </c>
    </row>
    <row r="430" spans="1:22" ht="21.95" customHeight="1" x14ac:dyDescent="0.25">
      <c r="A430" s="1" t="s">
        <v>886</v>
      </c>
      <c r="B430" s="26" t="s">
        <v>178</v>
      </c>
      <c r="C430" s="3">
        <f t="shared" si="179"/>
        <v>5059200</v>
      </c>
      <c r="D430" s="4">
        <f t="shared" si="209"/>
        <v>1396200</v>
      </c>
      <c r="E430" s="4">
        <f>350*716</f>
        <v>250600</v>
      </c>
      <c r="F430" s="4">
        <f>1050*716</f>
        <v>751800</v>
      </c>
      <c r="G430" s="4">
        <f>300*716</f>
        <v>214800</v>
      </c>
      <c r="H430" s="4">
        <f>400*0</f>
        <v>0</v>
      </c>
      <c r="I430" s="4">
        <f>250*716</f>
        <v>179000</v>
      </c>
      <c r="J430" s="4">
        <f t="shared" si="212"/>
        <v>0</v>
      </c>
      <c r="K430" s="5">
        <v>0</v>
      </c>
      <c r="L430" s="4">
        <v>0</v>
      </c>
      <c r="M430" s="4">
        <v>386</v>
      </c>
      <c r="N430" s="4">
        <f t="shared" si="213"/>
        <v>2123000</v>
      </c>
      <c r="O430" s="4">
        <v>0</v>
      </c>
      <c r="P430" s="4">
        <v>0</v>
      </c>
      <c r="Q430" s="4">
        <v>480</v>
      </c>
      <c r="R430" s="4">
        <f t="shared" si="214"/>
        <v>1440000</v>
      </c>
      <c r="S430" s="4">
        <f>S1244</f>
        <v>0</v>
      </c>
      <c r="T430" s="4">
        <v>0</v>
      </c>
      <c r="U430" s="4">
        <v>100000</v>
      </c>
      <c r="V430" s="7">
        <f t="shared" si="211"/>
        <v>5500</v>
      </c>
    </row>
    <row r="431" spans="1:22" ht="21.95" customHeight="1" x14ac:dyDescent="0.25">
      <c r="A431" s="1" t="s">
        <v>887</v>
      </c>
      <c r="B431" s="26" t="s">
        <v>179</v>
      </c>
      <c r="C431" s="3">
        <f t="shared" si="179"/>
        <v>4974605</v>
      </c>
      <c r="D431" s="4">
        <f t="shared" si="209"/>
        <v>1372605</v>
      </c>
      <c r="E431" s="4">
        <f>350*703.9</f>
        <v>246365</v>
      </c>
      <c r="F431" s="4">
        <f>1050*703.9</f>
        <v>739095</v>
      </c>
      <c r="G431" s="4">
        <f>300*703.9</f>
        <v>211170</v>
      </c>
      <c r="H431" s="4">
        <f>400*0</f>
        <v>0</v>
      </c>
      <c r="I431" s="4">
        <f>250*703.9</f>
        <v>175975</v>
      </c>
      <c r="J431" s="4">
        <f t="shared" si="212"/>
        <v>0</v>
      </c>
      <c r="K431" s="5">
        <v>0</v>
      </c>
      <c r="L431" s="4">
        <v>0</v>
      </c>
      <c r="M431" s="4">
        <v>364</v>
      </c>
      <c r="N431" s="4">
        <f t="shared" si="213"/>
        <v>2002000</v>
      </c>
      <c r="O431" s="4">
        <v>0</v>
      </c>
      <c r="P431" s="4">
        <v>0</v>
      </c>
      <c r="Q431" s="4">
        <v>500</v>
      </c>
      <c r="R431" s="4">
        <f t="shared" si="214"/>
        <v>1500000</v>
      </c>
      <c r="S431" s="4">
        <f>S1245</f>
        <v>0</v>
      </c>
      <c r="T431" s="4">
        <v>0</v>
      </c>
      <c r="U431" s="4">
        <v>100000</v>
      </c>
      <c r="V431" s="7">
        <f t="shared" si="211"/>
        <v>5500</v>
      </c>
    </row>
    <row r="432" spans="1:22" ht="21.95" customHeight="1" x14ac:dyDescent="0.25">
      <c r="A432" s="1" t="s">
        <v>888</v>
      </c>
      <c r="B432" s="2" t="s">
        <v>182</v>
      </c>
      <c r="C432" s="3">
        <f t="shared" si="179"/>
        <v>3047495</v>
      </c>
      <c r="D432" s="4">
        <f t="shared" si="209"/>
        <v>812865</v>
      </c>
      <c r="E432" s="4">
        <f>350*345.9</f>
        <v>121064.99999999999</v>
      </c>
      <c r="F432" s="4">
        <f>1050*345.9</f>
        <v>363195</v>
      </c>
      <c r="G432" s="4">
        <f>300*345.9</f>
        <v>103770</v>
      </c>
      <c r="H432" s="4">
        <f>400*345.9</f>
        <v>138360</v>
      </c>
      <c r="I432" s="4">
        <f>250*345.9</f>
        <v>86475</v>
      </c>
      <c r="J432" s="4">
        <f t="shared" si="212"/>
        <v>0</v>
      </c>
      <c r="K432" s="5">
        <v>0</v>
      </c>
      <c r="L432" s="4">
        <v>0</v>
      </c>
      <c r="M432" s="4">
        <v>206.26</v>
      </c>
      <c r="N432" s="4">
        <f t="shared" si="213"/>
        <v>1134430</v>
      </c>
      <c r="O432" s="4">
        <v>0</v>
      </c>
      <c r="P432" s="4">
        <v>0</v>
      </c>
      <c r="Q432" s="4">
        <v>333.4</v>
      </c>
      <c r="R432" s="4">
        <f t="shared" si="214"/>
        <v>1000199.9999999999</v>
      </c>
      <c r="S432" s="4">
        <f>S882</f>
        <v>0</v>
      </c>
      <c r="T432" s="4">
        <v>0</v>
      </c>
      <c r="U432" s="4">
        <v>100000</v>
      </c>
      <c r="V432" s="7">
        <f t="shared" si="211"/>
        <v>5500</v>
      </c>
    </row>
    <row r="433" spans="1:22" ht="21.95" customHeight="1" x14ac:dyDescent="0.25">
      <c r="A433" s="1" t="s">
        <v>889</v>
      </c>
      <c r="B433" s="26" t="s">
        <v>181</v>
      </c>
      <c r="C433" s="3">
        <f>D433+L433+N433+P433+R433+S433+T433+U433</f>
        <v>1731955</v>
      </c>
      <c r="D433" s="4">
        <f>SUM(E433:J433)</f>
        <v>1631955</v>
      </c>
      <c r="E433" s="4">
        <f>350*836.9</f>
        <v>292915</v>
      </c>
      <c r="F433" s="4">
        <f>1050*836.9</f>
        <v>878745</v>
      </c>
      <c r="G433" s="4">
        <f>300*836.9</f>
        <v>251070</v>
      </c>
      <c r="H433" s="4">
        <f>400*0</f>
        <v>0</v>
      </c>
      <c r="I433" s="4">
        <f>250*836.9</f>
        <v>209225</v>
      </c>
      <c r="J433" s="4">
        <f t="shared" si="212"/>
        <v>0</v>
      </c>
      <c r="K433" s="5">
        <v>0</v>
      </c>
      <c r="L433" s="4">
        <v>0</v>
      </c>
      <c r="M433" s="4">
        <v>0</v>
      </c>
      <c r="N433" s="4">
        <f>M433*5300</f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100000</v>
      </c>
      <c r="V433" s="7" t="e">
        <f>N433/M433</f>
        <v>#DIV/0!</v>
      </c>
    </row>
    <row r="434" spans="1:22" ht="21.95" customHeight="1" x14ac:dyDescent="0.25">
      <c r="A434" s="1" t="s">
        <v>890</v>
      </c>
      <c r="B434" s="2" t="s">
        <v>180</v>
      </c>
      <c r="C434" s="3">
        <f t="shared" si="179"/>
        <v>3820100</v>
      </c>
      <c r="D434" s="4">
        <f t="shared" si="209"/>
        <v>982020</v>
      </c>
      <c r="E434" s="4">
        <f>350*503.6</f>
        <v>176260</v>
      </c>
      <c r="F434" s="4">
        <f>1050*503.6</f>
        <v>528780</v>
      </c>
      <c r="G434" s="4">
        <f>300*503.6</f>
        <v>151080</v>
      </c>
      <c r="H434" s="4">
        <f>400*0</f>
        <v>0</v>
      </c>
      <c r="I434" s="4">
        <f>250*503.6</f>
        <v>125900</v>
      </c>
      <c r="J434" s="4">
        <f t="shared" si="212"/>
        <v>0</v>
      </c>
      <c r="K434" s="5">
        <v>0</v>
      </c>
      <c r="L434" s="4">
        <v>0</v>
      </c>
      <c r="M434" s="4">
        <v>278.38</v>
      </c>
      <c r="N434" s="4">
        <f t="shared" si="213"/>
        <v>1531090</v>
      </c>
      <c r="O434" s="4">
        <v>0</v>
      </c>
      <c r="P434" s="4">
        <v>0</v>
      </c>
      <c r="Q434" s="4">
        <v>402.33</v>
      </c>
      <c r="R434" s="4">
        <f t="shared" si="214"/>
        <v>1206990</v>
      </c>
      <c r="S434" s="4">
        <v>0</v>
      </c>
      <c r="T434" s="4">
        <v>0</v>
      </c>
      <c r="U434" s="4">
        <v>100000</v>
      </c>
      <c r="V434" s="7">
        <f t="shared" si="211"/>
        <v>5500</v>
      </c>
    </row>
    <row r="435" spans="1:22" ht="21.95" customHeight="1" x14ac:dyDescent="0.25">
      <c r="A435" s="1" t="s">
        <v>891</v>
      </c>
      <c r="B435" s="26" t="s">
        <v>186</v>
      </c>
      <c r="C435" s="3">
        <f t="shared" si="179"/>
        <v>7887830</v>
      </c>
      <c r="D435" s="4">
        <f t="shared" si="209"/>
        <v>3762330</v>
      </c>
      <c r="E435" s="4">
        <f>350*1929.4</f>
        <v>675290</v>
      </c>
      <c r="F435" s="4">
        <f>1050*1929.4</f>
        <v>2025870</v>
      </c>
      <c r="G435" s="4">
        <f>300*1929.4</f>
        <v>578820</v>
      </c>
      <c r="H435" s="4">
        <f>400*0</f>
        <v>0</v>
      </c>
      <c r="I435" s="4">
        <f>250*1929.4</f>
        <v>482350</v>
      </c>
      <c r="J435" s="4">
        <f t="shared" si="212"/>
        <v>0</v>
      </c>
      <c r="K435" s="5">
        <v>0</v>
      </c>
      <c r="L435" s="4">
        <v>0</v>
      </c>
      <c r="M435" s="4">
        <v>0</v>
      </c>
      <c r="N435" s="4">
        <f t="shared" ref="N435" si="215">M435*5300</f>
        <v>0</v>
      </c>
      <c r="O435" s="4">
        <v>0</v>
      </c>
      <c r="P435" s="4">
        <v>0</v>
      </c>
      <c r="Q435" s="4">
        <v>1308.5</v>
      </c>
      <c r="R435" s="4">
        <f t="shared" ref="R435:R443" si="216">Q435*3000</f>
        <v>3925500</v>
      </c>
      <c r="S435" s="4">
        <v>0</v>
      </c>
      <c r="T435" s="4">
        <v>0</v>
      </c>
      <c r="U435" s="4">
        <v>200000</v>
      </c>
      <c r="V435" s="7" t="e">
        <f t="shared" si="211"/>
        <v>#DIV/0!</v>
      </c>
    </row>
    <row r="436" spans="1:22" ht="21.95" customHeight="1" x14ac:dyDescent="0.25">
      <c r="A436" s="1" t="s">
        <v>892</v>
      </c>
      <c r="B436" s="2" t="s">
        <v>184</v>
      </c>
      <c r="C436" s="3">
        <f t="shared" si="179"/>
        <v>5015130</v>
      </c>
      <c r="D436" s="4">
        <f t="shared" si="209"/>
        <v>919380</v>
      </c>
      <c r="E436" s="4">
        <f>350*656.7</f>
        <v>229845.00000000003</v>
      </c>
      <c r="F436" s="4">
        <f>1050*656.7</f>
        <v>689535</v>
      </c>
      <c r="G436" s="4">
        <v>0</v>
      </c>
      <c r="H436" s="4">
        <f>400*0</f>
        <v>0</v>
      </c>
      <c r="I436" s="4">
        <v>0</v>
      </c>
      <c r="J436" s="4">
        <f t="shared" si="212"/>
        <v>0</v>
      </c>
      <c r="K436" s="5">
        <v>0</v>
      </c>
      <c r="L436" s="4">
        <v>0</v>
      </c>
      <c r="M436" s="4">
        <v>368.3</v>
      </c>
      <c r="N436" s="4">
        <f t="shared" ref="N436:N443" si="217">M436*5500</f>
        <v>2025650</v>
      </c>
      <c r="O436" s="4">
        <v>0</v>
      </c>
      <c r="P436" s="4">
        <v>0</v>
      </c>
      <c r="Q436" s="6">
        <v>656.7</v>
      </c>
      <c r="R436" s="4">
        <f t="shared" si="216"/>
        <v>1970100.0000000002</v>
      </c>
      <c r="S436" s="4">
        <f>S1078</f>
        <v>0</v>
      </c>
      <c r="T436" s="4">
        <v>0</v>
      </c>
      <c r="U436" s="4">
        <v>100000</v>
      </c>
      <c r="V436" s="7">
        <f t="shared" si="211"/>
        <v>5500</v>
      </c>
    </row>
    <row r="437" spans="1:22" ht="21.95" customHeight="1" x14ac:dyDescent="0.25">
      <c r="A437" s="1" t="s">
        <v>893</v>
      </c>
      <c r="B437" s="2" t="s">
        <v>185</v>
      </c>
      <c r="C437" s="3">
        <f t="shared" si="179"/>
        <v>5359260</v>
      </c>
      <c r="D437" s="4">
        <f t="shared" si="209"/>
        <v>1145760</v>
      </c>
      <c r="E437" s="4">
        <f>350*818.4</f>
        <v>286440</v>
      </c>
      <c r="F437" s="4">
        <f>1050*818.4</f>
        <v>859320</v>
      </c>
      <c r="G437" s="4">
        <v>0</v>
      </c>
      <c r="H437" s="4">
        <f>400*0</f>
        <v>0</v>
      </c>
      <c r="I437" s="4">
        <v>0</v>
      </c>
      <c r="J437" s="4">
        <f t="shared" si="212"/>
        <v>0</v>
      </c>
      <c r="K437" s="5">
        <v>0</v>
      </c>
      <c r="L437" s="4">
        <v>0</v>
      </c>
      <c r="M437" s="4">
        <v>428</v>
      </c>
      <c r="N437" s="4">
        <f t="shared" si="217"/>
        <v>2354000</v>
      </c>
      <c r="O437" s="4">
        <v>0</v>
      </c>
      <c r="P437" s="4">
        <v>0</v>
      </c>
      <c r="Q437" s="4">
        <v>586.5</v>
      </c>
      <c r="R437" s="4">
        <f t="shared" si="216"/>
        <v>1759500</v>
      </c>
      <c r="S437" s="4">
        <v>0</v>
      </c>
      <c r="T437" s="4">
        <v>0</v>
      </c>
      <c r="U437" s="4">
        <v>100000</v>
      </c>
      <c r="V437" s="7">
        <f t="shared" si="211"/>
        <v>5500</v>
      </c>
    </row>
    <row r="438" spans="1:22" ht="21.95" customHeight="1" x14ac:dyDescent="0.25">
      <c r="A438" s="1" t="s">
        <v>894</v>
      </c>
      <c r="B438" s="2" t="s">
        <v>187</v>
      </c>
      <c r="C438" s="3">
        <f>D438+L438+N438+P438+R438+S438+T438+U438</f>
        <v>5061145</v>
      </c>
      <c r="D438" s="4">
        <f>SUM(E438:J438)</f>
        <v>1546545</v>
      </c>
      <c r="E438" s="4">
        <f>350*793.1</f>
        <v>277585</v>
      </c>
      <c r="F438" s="4">
        <f>1050*793.1</f>
        <v>832755</v>
      </c>
      <c r="G438" s="4">
        <f>300*793.1</f>
        <v>237930</v>
      </c>
      <c r="H438" s="4">
        <v>0</v>
      </c>
      <c r="I438" s="4">
        <f>250*793.1</f>
        <v>198275</v>
      </c>
      <c r="J438" s="4">
        <f t="shared" si="212"/>
        <v>0</v>
      </c>
      <c r="K438" s="5">
        <v>0</v>
      </c>
      <c r="L438" s="4">
        <v>0</v>
      </c>
      <c r="M438" s="4">
        <v>346.8</v>
      </c>
      <c r="N438" s="4">
        <f t="shared" ref="N438" si="218">M438*5500</f>
        <v>1907400</v>
      </c>
      <c r="O438" s="4">
        <v>0</v>
      </c>
      <c r="P438" s="4">
        <f>O438*410</f>
        <v>0</v>
      </c>
      <c r="Q438" s="4">
        <v>502.4</v>
      </c>
      <c r="R438" s="4">
        <f>Q438*3000</f>
        <v>1507200</v>
      </c>
      <c r="S438" s="4">
        <v>0</v>
      </c>
      <c r="T438" s="4">
        <v>0</v>
      </c>
      <c r="U438" s="4">
        <v>100000</v>
      </c>
      <c r="V438" s="7">
        <f>N438/M438</f>
        <v>5500</v>
      </c>
    </row>
    <row r="439" spans="1:22" ht="21.95" customHeight="1" x14ac:dyDescent="0.25">
      <c r="A439" s="1" t="s">
        <v>895</v>
      </c>
      <c r="B439" s="2" t="s">
        <v>188</v>
      </c>
      <c r="C439" s="3">
        <f t="shared" si="179"/>
        <v>2052319.9999999998</v>
      </c>
      <c r="D439" s="4">
        <f t="shared" si="209"/>
        <v>128380</v>
      </c>
      <c r="E439" s="4">
        <f>350*366.8</f>
        <v>128380</v>
      </c>
      <c r="F439" s="4">
        <f>1050*0</f>
        <v>0</v>
      </c>
      <c r="G439" s="4">
        <f>300*0</f>
        <v>0</v>
      </c>
      <c r="H439" s="4">
        <f>400*0</f>
        <v>0</v>
      </c>
      <c r="I439" s="4">
        <f>250*0</f>
        <v>0</v>
      </c>
      <c r="J439" s="4">
        <f t="shared" si="212"/>
        <v>0</v>
      </c>
      <c r="K439" s="5">
        <v>0</v>
      </c>
      <c r="L439" s="4">
        <v>0</v>
      </c>
      <c r="M439" s="4">
        <v>163.19999999999999</v>
      </c>
      <c r="N439" s="4">
        <f t="shared" si="217"/>
        <v>897599.99999999988</v>
      </c>
      <c r="O439" s="4">
        <v>0</v>
      </c>
      <c r="P439" s="4">
        <f>O439*410</f>
        <v>0</v>
      </c>
      <c r="Q439" s="4">
        <v>308.77999999999997</v>
      </c>
      <c r="R439" s="4">
        <f t="shared" si="216"/>
        <v>926339.99999999988</v>
      </c>
      <c r="S439" s="4">
        <v>0</v>
      </c>
      <c r="T439" s="4">
        <v>0</v>
      </c>
      <c r="U439" s="4">
        <v>100000</v>
      </c>
      <c r="V439" s="7">
        <f t="shared" si="211"/>
        <v>5500</v>
      </c>
    </row>
    <row r="440" spans="1:22" ht="21.95" customHeight="1" x14ac:dyDescent="0.25">
      <c r="A440" s="1" t="s">
        <v>896</v>
      </c>
      <c r="B440" s="26" t="s">
        <v>189</v>
      </c>
      <c r="C440" s="3">
        <f t="shared" si="179"/>
        <v>5364165</v>
      </c>
      <c r="D440" s="4">
        <f t="shared" si="209"/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5">
        <v>0</v>
      </c>
      <c r="L440" s="4">
        <v>0</v>
      </c>
      <c r="M440" s="4">
        <v>614.07000000000005</v>
      </c>
      <c r="N440" s="4">
        <f t="shared" si="217"/>
        <v>3377385.0000000005</v>
      </c>
      <c r="O440" s="4">
        <v>0</v>
      </c>
      <c r="P440" s="4">
        <f>O440*410</f>
        <v>0</v>
      </c>
      <c r="Q440" s="4">
        <v>662.26</v>
      </c>
      <c r="R440" s="4">
        <f t="shared" si="216"/>
        <v>1986780</v>
      </c>
      <c r="S440" s="4">
        <f>S886</f>
        <v>0</v>
      </c>
      <c r="T440" s="4">
        <v>0</v>
      </c>
      <c r="U440" s="4">
        <v>0</v>
      </c>
      <c r="V440" s="7">
        <f t="shared" si="211"/>
        <v>5500</v>
      </c>
    </row>
    <row r="441" spans="1:22" ht="21.95" customHeight="1" x14ac:dyDescent="0.25">
      <c r="A441" s="1" t="s">
        <v>897</v>
      </c>
      <c r="B441" s="26" t="s">
        <v>190</v>
      </c>
      <c r="C441" s="3">
        <f t="shared" si="179"/>
        <v>3487125</v>
      </c>
      <c r="D441" s="4">
        <f t="shared" si="209"/>
        <v>944775</v>
      </c>
      <c r="E441" s="4">
        <f>350*484.5</f>
        <v>169575</v>
      </c>
      <c r="F441" s="4">
        <f>1050*484.5</f>
        <v>508725</v>
      </c>
      <c r="G441" s="4">
        <f>300*484.5</f>
        <v>145350</v>
      </c>
      <c r="H441" s="4">
        <f>400*0</f>
        <v>0</v>
      </c>
      <c r="I441" s="4">
        <f>250*484.5</f>
        <v>121125</v>
      </c>
      <c r="J441" s="4">
        <f>350*0</f>
        <v>0</v>
      </c>
      <c r="K441" s="5">
        <v>0</v>
      </c>
      <c r="L441" s="4">
        <v>0</v>
      </c>
      <c r="M441" s="4">
        <v>253.1</v>
      </c>
      <c r="N441" s="4">
        <f t="shared" si="217"/>
        <v>1392050</v>
      </c>
      <c r="O441" s="4">
        <v>0</v>
      </c>
      <c r="P441" s="4">
        <f>O441*410</f>
        <v>0</v>
      </c>
      <c r="Q441" s="4">
        <v>350.1</v>
      </c>
      <c r="R441" s="4">
        <f t="shared" si="216"/>
        <v>1050300</v>
      </c>
      <c r="S441" s="4">
        <f>S888</f>
        <v>0</v>
      </c>
      <c r="T441" s="4">
        <v>0</v>
      </c>
      <c r="U441" s="4">
        <v>100000</v>
      </c>
      <c r="V441" s="7">
        <f t="shared" si="211"/>
        <v>5500</v>
      </c>
    </row>
    <row r="442" spans="1:22" ht="21.95" customHeight="1" x14ac:dyDescent="0.25">
      <c r="A442" s="1" t="s">
        <v>898</v>
      </c>
      <c r="B442" s="2" t="s">
        <v>191</v>
      </c>
      <c r="C442" s="3">
        <f t="shared" si="179"/>
        <v>4749800</v>
      </c>
      <c r="D442" s="4">
        <f t="shared" si="209"/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5">
        <v>0</v>
      </c>
      <c r="L442" s="4">
        <v>0</v>
      </c>
      <c r="M442" s="4">
        <v>863.6</v>
      </c>
      <c r="N442" s="4">
        <f t="shared" si="217"/>
        <v>4749800</v>
      </c>
      <c r="O442" s="4">
        <v>0</v>
      </c>
      <c r="P442" s="4">
        <v>0</v>
      </c>
      <c r="Q442" s="4">
        <v>0</v>
      </c>
      <c r="R442" s="4">
        <f t="shared" si="216"/>
        <v>0</v>
      </c>
      <c r="S442" s="4">
        <v>0</v>
      </c>
      <c r="T442" s="4">
        <v>0</v>
      </c>
      <c r="U442" s="4">
        <v>0</v>
      </c>
      <c r="V442" s="7">
        <f t="shared" si="211"/>
        <v>5500</v>
      </c>
    </row>
    <row r="443" spans="1:22" ht="21.95" customHeight="1" x14ac:dyDescent="0.25">
      <c r="A443" s="1" t="s">
        <v>899</v>
      </c>
      <c r="B443" s="2" t="s">
        <v>192</v>
      </c>
      <c r="C443" s="3">
        <f t="shared" si="179"/>
        <v>4122800</v>
      </c>
      <c r="D443" s="4">
        <f t="shared" si="209"/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5">
        <v>0</v>
      </c>
      <c r="L443" s="4">
        <v>0</v>
      </c>
      <c r="M443" s="4">
        <v>749.6</v>
      </c>
      <c r="N443" s="4">
        <f t="shared" si="217"/>
        <v>4122800</v>
      </c>
      <c r="O443" s="4">
        <v>0</v>
      </c>
      <c r="P443" s="4">
        <v>0</v>
      </c>
      <c r="Q443" s="4">
        <v>0</v>
      </c>
      <c r="R443" s="4">
        <f t="shared" si="216"/>
        <v>0</v>
      </c>
      <c r="S443" s="4">
        <v>0</v>
      </c>
      <c r="T443" s="4">
        <v>0</v>
      </c>
      <c r="U443" s="4">
        <v>0</v>
      </c>
      <c r="V443" s="7">
        <f t="shared" si="211"/>
        <v>5500</v>
      </c>
    </row>
    <row r="444" spans="1:22" ht="45" customHeight="1" x14ac:dyDescent="0.25">
      <c r="A444" s="55" t="s">
        <v>223</v>
      </c>
      <c r="B444" s="55"/>
      <c r="C444" s="3">
        <f>SUM(C445)</f>
        <v>4202040.5</v>
      </c>
      <c r="D444" s="3">
        <f t="shared" ref="D444:U444" si="219">SUM(D445)</f>
        <v>189220.5</v>
      </c>
      <c r="E444" s="3">
        <f t="shared" si="219"/>
        <v>189220.5</v>
      </c>
      <c r="F444" s="3">
        <f t="shared" si="219"/>
        <v>0</v>
      </c>
      <c r="G444" s="3">
        <f t="shared" si="219"/>
        <v>0</v>
      </c>
      <c r="H444" s="3">
        <f t="shared" si="219"/>
        <v>0</v>
      </c>
      <c r="I444" s="3">
        <f t="shared" si="219"/>
        <v>0</v>
      </c>
      <c r="J444" s="3">
        <f t="shared" si="219"/>
        <v>0</v>
      </c>
      <c r="K444" s="15">
        <f t="shared" si="219"/>
        <v>0</v>
      </c>
      <c r="L444" s="3">
        <f t="shared" si="219"/>
        <v>0</v>
      </c>
      <c r="M444" s="3">
        <f t="shared" si="219"/>
        <v>395.68</v>
      </c>
      <c r="N444" s="3">
        <f t="shared" si="219"/>
        <v>2176240</v>
      </c>
      <c r="O444" s="3">
        <f t="shared" si="219"/>
        <v>0</v>
      </c>
      <c r="P444" s="3">
        <f t="shared" si="219"/>
        <v>0</v>
      </c>
      <c r="Q444" s="3">
        <f t="shared" si="219"/>
        <v>526.08000000000004</v>
      </c>
      <c r="R444" s="3">
        <f t="shared" si="219"/>
        <v>1578240.0000000002</v>
      </c>
      <c r="S444" s="3">
        <f t="shared" si="219"/>
        <v>158340</v>
      </c>
      <c r="T444" s="3">
        <f t="shared" si="219"/>
        <v>0</v>
      </c>
      <c r="U444" s="3">
        <f t="shared" si="219"/>
        <v>100000</v>
      </c>
    </row>
    <row r="445" spans="1:22" ht="21.95" customHeight="1" x14ac:dyDescent="0.25">
      <c r="A445" s="1" t="s">
        <v>900</v>
      </c>
      <c r="B445" s="9" t="s">
        <v>225</v>
      </c>
      <c r="C445" s="3">
        <f t="shared" si="179"/>
        <v>4202040.5</v>
      </c>
      <c r="D445" s="4">
        <f t="shared" ref="D445" si="220">SUM(E445:J445)</f>
        <v>189220.5</v>
      </c>
      <c r="E445" s="4">
        <f>350*540.63</f>
        <v>189220.5</v>
      </c>
      <c r="F445" s="4">
        <f>1050*0</f>
        <v>0</v>
      </c>
      <c r="G445" s="4">
        <f>300*0</f>
        <v>0</v>
      </c>
      <c r="H445" s="4">
        <f>400*0</f>
        <v>0</v>
      </c>
      <c r="I445" s="4">
        <f>250*0</f>
        <v>0</v>
      </c>
      <c r="J445" s="4">
        <f>350*0</f>
        <v>0</v>
      </c>
      <c r="K445" s="5">
        <v>0</v>
      </c>
      <c r="L445" s="4">
        <v>0</v>
      </c>
      <c r="M445" s="4">
        <v>395.68</v>
      </c>
      <c r="N445" s="4">
        <f t="shared" ref="N445" si="221">M445*5500</f>
        <v>2176240</v>
      </c>
      <c r="O445" s="4">
        <v>0</v>
      </c>
      <c r="P445" s="4">
        <v>0</v>
      </c>
      <c r="Q445" s="4">
        <v>526.08000000000004</v>
      </c>
      <c r="R445" s="4">
        <f>Q445*3000</f>
        <v>1578240.0000000002</v>
      </c>
      <c r="S445" s="4">
        <v>158340</v>
      </c>
      <c r="T445" s="4">
        <v>0</v>
      </c>
      <c r="U445" s="4">
        <v>100000</v>
      </c>
      <c r="V445" s="7">
        <f t="shared" ref="V445" si="222">N445/M445</f>
        <v>5500</v>
      </c>
    </row>
    <row r="446" spans="1:22" ht="45" customHeight="1" x14ac:dyDescent="0.25">
      <c r="A446" s="55" t="s">
        <v>222</v>
      </c>
      <c r="B446" s="55"/>
      <c r="C446" s="3">
        <f>SUM(C447:C455)</f>
        <v>38396781.5</v>
      </c>
      <c r="D446" s="3">
        <f t="shared" ref="D446:U446" si="223">SUM(D447:D455)</f>
        <v>11296891.5</v>
      </c>
      <c r="E446" s="3">
        <f t="shared" si="223"/>
        <v>1926669.5</v>
      </c>
      <c r="F446" s="3">
        <f t="shared" si="223"/>
        <v>5780008.5</v>
      </c>
      <c r="G446" s="3">
        <f t="shared" si="223"/>
        <v>1651431</v>
      </c>
      <c r="H446" s="3">
        <f t="shared" si="223"/>
        <v>1053300</v>
      </c>
      <c r="I446" s="3">
        <f t="shared" si="223"/>
        <v>885482.5</v>
      </c>
      <c r="J446" s="3">
        <f t="shared" si="223"/>
        <v>0</v>
      </c>
      <c r="K446" s="15">
        <f t="shared" si="223"/>
        <v>0</v>
      </c>
      <c r="L446" s="3">
        <f t="shared" si="223"/>
        <v>0</v>
      </c>
      <c r="M446" s="3">
        <f t="shared" si="223"/>
        <v>3095.7000000000003</v>
      </c>
      <c r="N446" s="3">
        <f t="shared" si="223"/>
        <v>17026350</v>
      </c>
      <c r="O446" s="3">
        <f t="shared" si="223"/>
        <v>0</v>
      </c>
      <c r="P446" s="3">
        <f t="shared" si="223"/>
        <v>0</v>
      </c>
      <c r="Q446" s="3">
        <f t="shared" si="223"/>
        <v>2991.08</v>
      </c>
      <c r="R446" s="3">
        <f t="shared" si="223"/>
        <v>8973240</v>
      </c>
      <c r="S446" s="3">
        <f t="shared" si="223"/>
        <v>300300</v>
      </c>
      <c r="T446" s="3">
        <f t="shared" si="223"/>
        <v>0</v>
      </c>
      <c r="U446" s="3">
        <f t="shared" si="223"/>
        <v>800000</v>
      </c>
    </row>
    <row r="447" spans="1:22" ht="21.95" customHeight="1" x14ac:dyDescent="0.25">
      <c r="A447" s="1" t="s">
        <v>1226</v>
      </c>
      <c r="B447" s="9" t="s">
        <v>213</v>
      </c>
      <c r="C447" s="3">
        <f t="shared" si="179"/>
        <v>4906582</v>
      </c>
      <c r="D447" s="4">
        <f t="shared" ref="D447:D455" si="224">SUM(E447:J447)</f>
        <v>1003017</v>
      </c>
      <c r="E447" s="4">
        <f>350*590.01</f>
        <v>206503.5</v>
      </c>
      <c r="F447" s="4">
        <f>1050*590.01</f>
        <v>619510.5</v>
      </c>
      <c r="G447" s="4">
        <f>300*590.01</f>
        <v>177003</v>
      </c>
      <c r="H447" s="4">
        <f>400*0</f>
        <v>0</v>
      </c>
      <c r="I447" s="4">
        <f>250*0</f>
        <v>0</v>
      </c>
      <c r="J447" s="4">
        <f t="shared" ref="J447:J452" si="225">350*0</f>
        <v>0</v>
      </c>
      <c r="K447" s="5">
        <v>0</v>
      </c>
      <c r="L447" s="4">
        <v>0</v>
      </c>
      <c r="M447" s="6">
        <v>432.03</v>
      </c>
      <c r="N447" s="4">
        <f t="shared" ref="N447:N453" si="226">M447*5500</f>
        <v>2376165</v>
      </c>
      <c r="O447" s="4">
        <v>0</v>
      </c>
      <c r="P447" s="4">
        <v>0</v>
      </c>
      <c r="Q447" s="4">
        <v>475.8</v>
      </c>
      <c r="R447" s="4">
        <f t="shared" ref="R447:R455" si="227">Q447*3000</f>
        <v>1427400</v>
      </c>
      <c r="S447" s="4">
        <v>0</v>
      </c>
      <c r="T447" s="4">
        <v>0</v>
      </c>
      <c r="U447" s="4">
        <v>100000</v>
      </c>
      <c r="V447" s="7">
        <f t="shared" ref="V447:V455" si="228">N447/M447</f>
        <v>5500</v>
      </c>
    </row>
    <row r="448" spans="1:22" ht="21.95" customHeight="1" x14ac:dyDescent="0.25">
      <c r="A448" s="1" t="s">
        <v>1227</v>
      </c>
      <c r="B448" s="9" t="s">
        <v>214</v>
      </c>
      <c r="C448" s="3">
        <f t="shared" si="179"/>
        <v>4872061</v>
      </c>
      <c r="D448" s="4">
        <f t="shared" si="224"/>
        <v>991321</v>
      </c>
      <c r="E448" s="4">
        <f>350*583.13</f>
        <v>204095.5</v>
      </c>
      <c r="F448" s="4">
        <f>1050*583.13</f>
        <v>612286.5</v>
      </c>
      <c r="G448" s="4">
        <f>300*583.13</f>
        <v>174939</v>
      </c>
      <c r="H448" s="4">
        <f>400*0</f>
        <v>0</v>
      </c>
      <c r="I448" s="4">
        <f>250*0</f>
        <v>0</v>
      </c>
      <c r="J448" s="4">
        <f t="shared" si="225"/>
        <v>0</v>
      </c>
      <c r="K448" s="5">
        <v>0</v>
      </c>
      <c r="L448" s="4">
        <v>0</v>
      </c>
      <c r="M448" s="6">
        <v>427.28</v>
      </c>
      <c r="N448" s="4">
        <f t="shared" si="226"/>
        <v>2350040</v>
      </c>
      <c r="O448" s="4">
        <v>0</v>
      </c>
      <c r="P448" s="4">
        <v>0</v>
      </c>
      <c r="Q448" s="4">
        <v>476.9</v>
      </c>
      <c r="R448" s="4">
        <f t="shared" si="227"/>
        <v>1430700</v>
      </c>
      <c r="S448" s="4">
        <v>0</v>
      </c>
      <c r="T448" s="4">
        <v>0</v>
      </c>
      <c r="U448" s="4">
        <v>100000</v>
      </c>
      <c r="V448" s="7">
        <f t="shared" si="228"/>
        <v>5500</v>
      </c>
    </row>
    <row r="449" spans="1:22" ht="21.95" customHeight="1" x14ac:dyDescent="0.25">
      <c r="A449" s="1" t="s">
        <v>1228</v>
      </c>
      <c r="B449" s="9" t="s">
        <v>215</v>
      </c>
      <c r="C449" s="3">
        <f t="shared" si="179"/>
        <v>4838365</v>
      </c>
      <c r="D449" s="4">
        <f t="shared" si="224"/>
        <v>725390</v>
      </c>
      <c r="E449" s="4">
        <f>350*426.7</f>
        <v>149345</v>
      </c>
      <c r="F449" s="4">
        <f>1050*426.7</f>
        <v>448035</v>
      </c>
      <c r="G449" s="4">
        <f>300*426.7</f>
        <v>128010</v>
      </c>
      <c r="H449" s="4">
        <f>400*0</f>
        <v>0</v>
      </c>
      <c r="I449" s="4">
        <f>250*0</f>
        <v>0</v>
      </c>
      <c r="J449" s="4">
        <f t="shared" si="225"/>
        <v>0</v>
      </c>
      <c r="K449" s="12">
        <v>0</v>
      </c>
      <c r="L449" s="6">
        <v>0</v>
      </c>
      <c r="M449" s="6">
        <v>554.65</v>
      </c>
      <c r="N449" s="4">
        <f t="shared" si="226"/>
        <v>3050575</v>
      </c>
      <c r="O449" s="6">
        <v>0</v>
      </c>
      <c r="P449" s="6">
        <v>0</v>
      </c>
      <c r="Q449" s="6">
        <v>320.8</v>
      </c>
      <c r="R449" s="4">
        <f t="shared" si="227"/>
        <v>962400</v>
      </c>
      <c r="S449" s="6">
        <v>0</v>
      </c>
      <c r="T449" s="4">
        <v>0</v>
      </c>
      <c r="U449" s="6">
        <v>100000</v>
      </c>
      <c r="V449" s="7">
        <f t="shared" si="228"/>
        <v>5500</v>
      </c>
    </row>
    <row r="450" spans="1:22" ht="21.95" customHeight="1" x14ac:dyDescent="0.25">
      <c r="A450" s="1" t="s">
        <v>1229</v>
      </c>
      <c r="B450" s="9" t="s">
        <v>216</v>
      </c>
      <c r="C450" s="3">
        <f t="shared" si="179"/>
        <v>4183820</v>
      </c>
      <c r="D450" s="4">
        <f t="shared" si="224"/>
        <v>617100</v>
      </c>
      <c r="E450" s="4">
        <f>350*363</f>
        <v>127050</v>
      </c>
      <c r="F450" s="4">
        <f>1050*363</f>
        <v>381150</v>
      </c>
      <c r="G450" s="4">
        <f>300*363</f>
        <v>108900</v>
      </c>
      <c r="H450" s="4">
        <f>400*0</f>
        <v>0</v>
      </c>
      <c r="I450" s="4">
        <f>250*0</f>
        <v>0</v>
      </c>
      <c r="J450" s="4">
        <f t="shared" si="225"/>
        <v>0</v>
      </c>
      <c r="K450" s="5">
        <v>0</v>
      </c>
      <c r="L450" s="4">
        <v>0</v>
      </c>
      <c r="M450" s="4">
        <v>472.36</v>
      </c>
      <c r="N450" s="4">
        <f t="shared" si="226"/>
        <v>2597980</v>
      </c>
      <c r="O450" s="4">
        <v>0</v>
      </c>
      <c r="P450" s="4">
        <v>0</v>
      </c>
      <c r="Q450" s="4">
        <v>289.58</v>
      </c>
      <c r="R450" s="4">
        <f t="shared" si="227"/>
        <v>868740</v>
      </c>
      <c r="S450" s="4">
        <v>0</v>
      </c>
      <c r="T450" s="4">
        <v>0</v>
      </c>
      <c r="U450" s="4">
        <v>100000</v>
      </c>
      <c r="V450" s="7">
        <f t="shared" si="228"/>
        <v>5500</v>
      </c>
    </row>
    <row r="451" spans="1:22" ht="21.95" customHeight="1" x14ac:dyDescent="0.25">
      <c r="A451" s="1" t="s">
        <v>1230</v>
      </c>
      <c r="B451" s="9" t="s">
        <v>217</v>
      </c>
      <c r="C451" s="3">
        <f t="shared" si="179"/>
        <v>5314806</v>
      </c>
      <c r="D451" s="4">
        <f t="shared" si="224"/>
        <v>998166</v>
      </c>
      <c r="E451" s="4">
        <f>350*511.88</f>
        <v>179158</v>
      </c>
      <c r="F451" s="4">
        <f>1050*511.88</f>
        <v>537474</v>
      </c>
      <c r="G451" s="4">
        <f>300*511.88</f>
        <v>153564</v>
      </c>
      <c r="H451" s="4">
        <v>0</v>
      </c>
      <c r="I451" s="4">
        <f>250*511.88</f>
        <v>127970</v>
      </c>
      <c r="J451" s="4">
        <f t="shared" si="225"/>
        <v>0</v>
      </c>
      <c r="K451" s="5">
        <v>0</v>
      </c>
      <c r="L451" s="4">
        <v>0</v>
      </c>
      <c r="M451" s="4">
        <v>487.88</v>
      </c>
      <c r="N451" s="4">
        <f t="shared" si="226"/>
        <v>2683340</v>
      </c>
      <c r="O451" s="4">
        <v>0</v>
      </c>
      <c r="P451" s="4">
        <v>0</v>
      </c>
      <c r="Q451" s="4">
        <v>457.2</v>
      </c>
      <c r="R451" s="4">
        <f t="shared" si="227"/>
        <v>1371600</v>
      </c>
      <c r="S451" s="4">
        <v>161700</v>
      </c>
      <c r="T451" s="4">
        <v>0</v>
      </c>
      <c r="U451" s="4">
        <v>100000</v>
      </c>
      <c r="V451" s="7">
        <f t="shared" si="228"/>
        <v>5500</v>
      </c>
    </row>
    <row r="452" spans="1:22" ht="21.95" customHeight="1" x14ac:dyDescent="0.25">
      <c r="A452" s="1" t="s">
        <v>1231</v>
      </c>
      <c r="B452" s="9" t="s">
        <v>218</v>
      </c>
      <c r="C452" s="3">
        <f t="shared" si="179"/>
        <v>4489610</v>
      </c>
      <c r="D452" s="4">
        <f t="shared" si="224"/>
        <v>773760</v>
      </c>
      <c r="E452" s="4">
        <f>350*396.8</f>
        <v>138880</v>
      </c>
      <c r="F452" s="4">
        <f>1050*396.8</f>
        <v>416640</v>
      </c>
      <c r="G452" s="4">
        <f>300*396.8</f>
        <v>119040</v>
      </c>
      <c r="H452" s="4">
        <v>0</v>
      </c>
      <c r="I452" s="4">
        <f>250*396.8</f>
        <v>99200</v>
      </c>
      <c r="J452" s="4">
        <f t="shared" si="225"/>
        <v>0</v>
      </c>
      <c r="K452" s="5">
        <v>0</v>
      </c>
      <c r="L452" s="4">
        <v>0</v>
      </c>
      <c r="M452" s="4">
        <v>371.5</v>
      </c>
      <c r="N452" s="4">
        <f t="shared" si="226"/>
        <v>2043250</v>
      </c>
      <c r="O452" s="4">
        <v>0</v>
      </c>
      <c r="P452" s="4">
        <v>0</v>
      </c>
      <c r="Q452" s="4">
        <v>478</v>
      </c>
      <c r="R452" s="4">
        <f t="shared" si="227"/>
        <v>1434000</v>
      </c>
      <c r="S452" s="4">
        <v>138600</v>
      </c>
      <c r="T452" s="4">
        <v>0</v>
      </c>
      <c r="U452" s="4">
        <v>100000</v>
      </c>
      <c r="V452" s="7">
        <f t="shared" si="228"/>
        <v>5500</v>
      </c>
    </row>
    <row r="453" spans="1:22" ht="21.95" customHeight="1" x14ac:dyDescent="0.25">
      <c r="A453" s="1" t="s">
        <v>1232</v>
      </c>
      <c r="B453" s="9" t="s">
        <v>1453</v>
      </c>
      <c r="C453" s="3">
        <f t="shared" si="179"/>
        <v>3403400</v>
      </c>
      <c r="D453" s="4">
        <f t="shared" si="224"/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5">
        <v>0</v>
      </c>
      <c r="L453" s="4">
        <v>0</v>
      </c>
      <c r="M453" s="4">
        <v>350</v>
      </c>
      <c r="N453" s="4">
        <f t="shared" si="226"/>
        <v>1925000</v>
      </c>
      <c r="O453" s="4">
        <v>0</v>
      </c>
      <c r="P453" s="4">
        <v>0</v>
      </c>
      <c r="Q453" s="4">
        <v>492.8</v>
      </c>
      <c r="R453" s="4">
        <f t="shared" si="227"/>
        <v>1478400</v>
      </c>
      <c r="S453" s="4">
        <v>0</v>
      </c>
      <c r="T453" s="4">
        <v>0</v>
      </c>
      <c r="U453" s="4">
        <v>0</v>
      </c>
      <c r="V453" s="7">
        <f t="shared" si="228"/>
        <v>5500</v>
      </c>
    </row>
    <row r="454" spans="1:22" ht="21.95" customHeight="1" x14ac:dyDescent="0.25">
      <c r="A454" s="1" t="s">
        <v>1233</v>
      </c>
      <c r="B454" s="9" t="s">
        <v>1575</v>
      </c>
      <c r="C454" s="3">
        <f t="shared" si="179"/>
        <v>3175586</v>
      </c>
      <c r="D454" s="4">
        <f t="shared" si="224"/>
        <v>3075586</v>
      </c>
      <c r="E454" s="4">
        <f>350*1308.76</f>
        <v>458066</v>
      </c>
      <c r="F454" s="4">
        <f>1050*1308.76</f>
        <v>1374198</v>
      </c>
      <c r="G454" s="4">
        <f>300*1308.76</f>
        <v>392628</v>
      </c>
      <c r="H454" s="4">
        <f>400*1308.76</f>
        <v>523504</v>
      </c>
      <c r="I454" s="4">
        <f>250*1308.76</f>
        <v>327190</v>
      </c>
      <c r="J454" s="4">
        <v>0</v>
      </c>
      <c r="K454" s="5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f t="shared" si="227"/>
        <v>0</v>
      </c>
      <c r="S454" s="4">
        <v>0</v>
      </c>
      <c r="T454" s="4">
        <v>0</v>
      </c>
      <c r="U454" s="4">
        <v>100000</v>
      </c>
      <c r="V454" s="7" t="e">
        <f t="shared" si="228"/>
        <v>#DIV/0!</v>
      </c>
    </row>
    <row r="455" spans="1:22" ht="21.95" customHeight="1" x14ac:dyDescent="0.25">
      <c r="A455" s="1" t="s">
        <v>1234</v>
      </c>
      <c r="B455" s="9" t="s">
        <v>1576</v>
      </c>
      <c r="C455" s="3">
        <f t="shared" si="179"/>
        <v>3212551.5</v>
      </c>
      <c r="D455" s="4">
        <f t="shared" si="224"/>
        <v>3112551.5</v>
      </c>
      <c r="E455" s="4">
        <f>350*1324.49</f>
        <v>463571.5</v>
      </c>
      <c r="F455" s="4">
        <f>1050*1324.49</f>
        <v>1390714.5</v>
      </c>
      <c r="G455" s="4">
        <f>300*1324.49</f>
        <v>397347</v>
      </c>
      <c r="H455" s="4">
        <f>400*1324.49</f>
        <v>529796</v>
      </c>
      <c r="I455" s="4">
        <f>250*1324.49</f>
        <v>331122.5</v>
      </c>
      <c r="J455" s="4">
        <v>0</v>
      </c>
      <c r="K455" s="5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f t="shared" si="227"/>
        <v>0</v>
      </c>
      <c r="S455" s="4">
        <v>0</v>
      </c>
      <c r="T455" s="4">
        <v>0</v>
      </c>
      <c r="U455" s="4">
        <v>100000</v>
      </c>
      <c r="V455" s="7" t="e">
        <f t="shared" si="228"/>
        <v>#DIV/0!</v>
      </c>
    </row>
    <row r="456" spans="1:22" ht="45" customHeight="1" x14ac:dyDescent="0.25">
      <c r="A456" s="55" t="s">
        <v>226</v>
      </c>
      <c r="B456" s="55"/>
      <c r="C456" s="3">
        <f>SUM(C457:C463)</f>
        <v>32627738.5</v>
      </c>
      <c r="D456" s="3">
        <f t="shared" ref="D456:U456" si="229">SUM(D457:D463)</f>
        <v>3662825</v>
      </c>
      <c r="E456" s="3">
        <f t="shared" si="229"/>
        <v>749385</v>
      </c>
      <c r="F456" s="3">
        <f t="shared" si="229"/>
        <v>1454460</v>
      </c>
      <c r="G456" s="3">
        <f t="shared" si="229"/>
        <v>558600</v>
      </c>
      <c r="H456" s="3">
        <f t="shared" si="229"/>
        <v>554080</v>
      </c>
      <c r="I456" s="3">
        <f t="shared" si="229"/>
        <v>346300</v>
      </c>
      <c r="J456" s="3">
        <f t="shared" si="229"/>
        <v>0</v>
      </c>
      <c r="K456" s="15">
        <f t="shared" si="229"/>
        <v>0</v>
      </c>
      <c r="L456" s="3">
        <f t="shared" si="229"/>
        <v>0</v>
      </c>
      <c r="M456" s="3">
        <f t="shared" si="229"/>
        <v>2922.94</v>
      </c>
      <c r="N456" s="3">
        <f t="shared" si="229"/>
        <v>15180507.5</v>
      </c>
      <c r="O456" s="3">
        <f t="shared" si="229"/>
        <v>0</v>
      </c>
      <c r="P456" s="3">
        <f t="shared" si="229"/>
        <v>0</v>
      </c>
      <c r="Q456" s="3">
        <f t="shared" si="229"/>
        <v>4088.44</v>
      </c>
      <c r="R456" s="3">
        <f t="shared" si="229"/>
        <v>12265320</v>
      </c>
      <c r="S456" s="3">
        <f t="shared" si="229"/>
        <v>919086</v>
      </c>
      <c r="T456" s="3">
        <f t="shared" si="229"/>
        <v>0</v>
      </c>
      <c r="U456" s="3">
        <f t="shared" si="229"/>
        <v>600000</v>
      </c>
    </row>
    <row r="457" spans="1:22" ht="21.95" customHeight="1" x14ac:dyDescent="0.25">
      <c r="A457" s="1" t="s">
        <v>1235</v>
      </c>
      <c r="B457" s="9" t="s">
        <v>227</v>
      </c>
      <c r="C457" s="3">
        <f t="shared" si="179"/>
        <v>6722142</v>
      </c>
      <c r="D457" s="4">
        <f t="shared" ref="D457:D463" si="230">SUM(E457:J457)</f>
        <v>1627610</v>
      </c>
      <c r="E457" s="4">
        <f>350*692.6</f>
        <v>242410</v>
      </c>
      <c r="F457" s="4">
        <f>1050*692.6</f>
        <v>727230</v>
      </c>
      <c r="G457" s="4">
        <f>300*692.6</f>
        <v>207780</v>
      </c>
      <c r="H457" s="4">
        <f>400*692.6</f>
        <v>277040</v>
      </c>
      <c r="I457" s="4">
        <f>250*692.6</f>
        <v>173150</v>
      </c>
      <c r="J457" s="4">
        <f>350*0</f>
        <v>0</v>
      </c>
      <c r="K457" s="5">
        <v>0</v>
      </c>
      <c r="L457" s="4">
        <v>0</v>
      </c>
      <c r="M457" s="4">
        <v>525.6</v>
      </c>
      <c r="N457" s="4">
        <f>M457*5500</f>
        <v>2890800</v>
      </c>
      <c r="O457" s="4">
        <v>0</v>
      </c>
      <c r="P457" s="4">
        <v>0</v>
      </c>
      <c r="Q457" s="4">
        <v>639</v>
      </c>
      <c r="R457" s="4">
        <f t="shared" ref="R457:R463" si="231">Q457*3000</f>
        <v>1917000</v>
      </c>
      <c r="S457" s="4">
        <v>186732</v>
      </c>
      <c r="T457" s="4">
        <v>0</v>
      </c>
      <c r="U457" s="4">
        <v>100000</v>
      </c>
      <c r="V457" s="7">
        <f t="shared" ref="V457:V463" si="232">N457/M457</f>
        <v>5500</v>
      </c>
    </row>
    <row r="458" spans="1:22" ht="21.95" customHeight="1" x14ac:dyDescent="0.25">
      <c r="A458" s="1" t="s">
        <v>1236</v>
      </c>
      <c r="B458" s="9" t="s">
        <v>228</v>
      </c>
      <c r="C458" s="3">
        <f t="shared" si="179"/>
        <v>6710000</v>
      </c>
      <c r="D458" s="4">
        <f t="shared" si="230"/>
        <v>1627610</v>
      </c>
      <c r="E458" s="4">
        <f>350*692.6</f>
        <v>242410</v>
      </c>
      <c r="F458" s="4">
        <f>1050*692.6</f>
        <v>727230</v>
      </c>
      <c r="G458" s="4">
        <f>300*692.6</f>
        <v>207780</v>
      </c>
      <c r="H458" s="4">
        <f>400*692.6</f>
        <v>277040</v>
      </c>
      <c r="I458" s="4">
        <f>250*692.6</f>
        <v>173150</v>
      </c>
      <c r="J458" s="4">
        <f>350*0</f>
        <v>0</v>
      </c>
      <c r="K458" s="5">
        <v>0</v>
      </c>
      <c r="L458" s="4">
        <v>0</v>
      </c>
      <c r="M458" s="4">
        <v>523.4</v>
      </c>
      <c r="N458" s="4">
        <f>M458*5500</f>
        <v>2878700</v>
      </c>
      <c r="O458" s="4">
        <v>0</v>
      </c>
      <c r="P458" s="4">
        <v>0</v>
      </c>
      <c r="Q458" s="4">
        <v>639</v>
      </c>
      <c r="R458" s="4">
        <f t="shared" si="231"/>
        <v>1917000</v>
      </c>
      <c r="S458" s="4">
        <v>186690</v>
      </c>
      <c r="T458" s="4">
        <v>0</v>
      </c>
      <c r="U458" s="4">
        <v>100000</v>
      </c>
      <c r="V458" s="7">
        <f t="shared" si="232"/>
        <v>5500</v>
      </c>
    </row>
    <row r="459" spans="1:22" ht="21.95" customHeight="1" x14ac:dyDescent="0.25">
      <c r="A459" s="1" t="s">
        <v>1237</v>
      </c>
      <c r="B459" s="9" t="s">
        <v>232</v>
      </c>
      <c r="C459" s="3">
        <f t="shared" si="179"/>
        <v>4758880</v>
      </c>
      <c r="D459" s="4">
        <f t="shared" si="230"/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5">
        <v>0</v>
      </c>
      <c r="L459" s="4">
        <v>0</v>
      </c>
      <c r="M459" s="4">
        <v>459.48</v>
      </c>
      <c r="N459" s="4">
        <f t="shared" ref="N459" si="233">M459*5500</f>
        <v>2527140</v>
      </c>
      <c r="O459" s="4">
        <v>0</v>
      </c>
      <c r="P459" s="4">
        <v>0</v>
      </c>
      <c r="Q459" s="4">
        <v>648</v>
      </c>
      <c r="R459" s="4">
        <f t="shared" si="231"/>
        <v>1944000</v>
      </c>
      <c r="S459" s="4">
        <v>187740</v>
      </c>
      <c r="T459" s="4">
        <v>0</v>
      </c>
      <c r="U459" s="4">
        <v>100000</v>
      </c>
      <c r="V459" s="7">
        <f t="shared" si="232"/>
        <v>5500</v>
      </c>
    </row>
    <row r="460" spans="1:22" ht="21.95" customHeight="1" x14ac:dyDescent="0.25">
      <c r="A460" s="1" t="s">
        <v>1238</v>
      </c>
      <c r="B460" s="9" t="s">
        <v>235</v>
      </c>
      <c r="C460" s="3">
        <f t="shared" si="179"/>
        <v>4003590</v>
      </c>
      <c r="D460" s="4">
        <f t="shared" si="230"/>
        <v>309920</v>
      </c>
      <c r="E460" s="4">
        <f>350*476.8</f>
        <v>166880</v>
      </c>
      <c r="F460" s="4">
        <v>0</v>
      </c>
      <c r="G460" s="4">
        <f>300*476.8</f>
        <v>143040</v>
      </c>
      <c r="H460" s="4">
        <v>0</v>
      </c>
      <c r="I460" s="4">
        <v>0</v>
      </c>
      <c r="J460" s="4">
        <f>350*0</f>
        <v>0</v>
      </c>
      <c r="K460" s="5">
        <v>0</v>
      </c>
      <c r="L460" s="4">
        <v>0</v>
      </c>
      <c r="M460" s="4">
        <v>365.4</v>
      </c>
      <c r="N460" s="4">
        <f t="shared" ref="N460" si="234">M460*5500</f>
        <v>2009699.9999999998</v>
      </c>
      <c r="O460" s="4">
        <v>0</v>
      </c>
      <c r="P460" s="4">
        <v>0</v>
      </c>
      <c r="Q460" s="4">
        <v>482</v>
      </c>
      <c r="R460" s="4">
        <f t="shared" si="231"/>
        <v>1446000</v>
      </c>
      <c r="S460" s="4">
        <v>137970</v>
      </c>
      <c r="T460" s="4">
        <v>0</v>
      </c>
      <c r="U460" s="4">
        <v>100000</v>
      </c>
      <c r="V460" s="7">
        <f t="shared" si="232"/>
        <v>5500</v>
      </c>
    </row>
    <row r="461" spans="1:22" ht="21.95" customHeight="1" x14ac:dyDescent="0.25">
      <c r="A461" s="1" t="s">
        <v>1239</v>
      </c>
      <c r="B461" s="9" t="s">
        <v>238</v>
      </c>
      <c r="C461" s="3">
        <f t="shared" si="179"/>
        <v>3955890</v>
      </c>
      <c r="D461" s="4">
        <f t="shared" si="230"/>
        <v>97685.000000000015</v>
      </c>
      <c r="E461" s="4">
        <f>350*279.1</f>
        <v>97685.000000000015</v>
      </c>
      <c r="F461" s="4">
        <f>800*0</f>
        <v>0</v>
      </c>
      <c r="G461" s="4">
        <v>0</v>
      </c>
      <c r="H461" s="4">
        <f>400*0</f>
        <v>0</v>
      </c>
      <c r="I461" s="4">
        <v>0</v>
      </c>
      <c r="J461" s="4">
        <v>0</v>
      </c>
      <c r="K461" s="5">
        <v>0</v>
      </c>
      <c r="L461" s="4">
        <v>0</v>
      </c>
      <c r="M461" s="4">
        <v>351.87</v>
      </c>
      <c r="N461" s="4">
        <f t="shared" ref="N461" si="235">M461*5500</f>
        <v>1935285</v>
      </c>
      <c r="O461" s="4">
        <v>0</v>
      </c>
      <c r="P461" s="4">
        <v>0</v>
      </c>
      <c r="Q461" s="4">
        <v>568.44000000000005</v>
      </c>
      <c r="R461" s="4">
        <f t="shared" si="231"/>
        <v>1705320.0000000002</v>
      </c>
      <c r="S461" s="4">
        <v>117600</v>
      </c>
      <c r="T461" s="4">
        <v>0</v>
      </c>
      <c r="U461" s="4">
        <v>100000</v>
      </c>
      <c r="V461" s="7">
        <f t="shared" si="232"/>
        <v>5500</v>
      </c>
    </row>
    <row r="462" spans="1:22" ht="21.95" customHeight="1" x14ac:dyDescent="0.25">
      <c r="A462" s="1" t="s">
        <v>1240</v>
      </c>
      <c r="B462" s="9" t="s">
        <v>1392</v>
      </c>
      <c r="C462" s="3">
        <f t="shared" ref="C462:C526" si="236">D462+L462+N462+P462+R462+S462+T462+U462</f>
        <v>3985962.5</v>
      </c>
      <c r="D462" s="4">
        <f t="shared" si="230"/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5">
        <v>0</v>
      </c>
      <c r="L462" s="4">
        <v>0</v>
      </c>
      <c r="M462" s="4">
        <v>493.75</v>
      </c>
      <c r="N462" s="4">
        <f>M462*3686</f>
        <v>1819962.5</v>
      </c>
      <c r="O462" s="4">
        <v>0</v>
      </c>
      <c r="P462" s="4">
        <v>0</v>
      </c>
      <c r="Q462" s="4">
        <v>722</v>
      </c>
      <c r="R462" s="4">
        <f t="shared" si="231"/>
        <v>2166000</v>
      </c>
      <c r="S462" s="4">
        <v>0</v>
      </c>
      <c r="T462" s="4">
        <v>0</v>
      </c>
      <c r="U462" s="4">
        <v>0</v>
      </c>
      <c r="V462" s="7">
        <f t="shared" si="232"/>
        <v>3686</v>
      </c>
    </row>
    <row r="463" spans="1:22" ht="21.95" customHeight="1" x14ac:dyDescent="0.25">
      <c r="A463" s="1" t="s">
        <v>1241</v>
      </c>
      <c r="B463" s="9" t="s">
        <v>240</v>
      </c>
      <c r="C463" s="3">
        <f t="shared" si="236"/>
        <v>2491274</v>
      </c>
      <c r="D463" s="4">
        <f t="shared" si="230"/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5">
        <v>0</v>
      </c>
      <c r="L463" s="4">
        <v>0</v>
      </c>
      <c r="M463" s="4">
        <v>203.44</v>
      </c>
      <c r="N463" s="4">
        <f t="shared" ref="N463" si="237">M463*5500</f>
        <v>1118920</v>
      </c>
      <c r="O463" s="4">
        <v>0</v>
      </c>
      <c r="P463" s="4">
        <v>0</v>
      </c>
      <c r="Q463" s="4">
        <v>390</v>
      </c>
      <c r="R463" s="4">
        <f t="shared" si="231"/>
        <v>1170000</v>
      </c>
      <c r="S463" s="4">
        <v>102354</v>
      </c>
      <c r="T463" s="4">
        <v>0</v>
      </c>
      <c r="U463" s="4">
        <v>100000</v>
      </c>
      <c r="V463" s="7">
        <f t="shared" si="232"/>
        <v>5500</v>
      </c>
    </row>
    <row r="464" spans="1:22" ht="45" customHeight="1" x14ac:dyDescent="0.25">
      <c r="A464" s="55" t="s">
        <v>1604</v>
      </c>
      <c r="B464" s="55"/>
      <c r="C464" s="3">
        <f>SUM(C465)</f>
        <v>3462550</v>
      </c>
      <c r="D464" s="3">
        <f t="shared" ref="D464:U464" si="238">SUM(D465)</f>
        <v>0</v>
      </c>
      <c r="E464" s="3">
        <f t="shared" si="238"/>
        <v>0</v>
      </c>
      <c r="F464" s="3">
        <f t="shared" si="238"/>
        <v>0</v>
      </c>
      <c r="G464" s="3">
        <f t="shared" si="238"/>
        <v>0</v>
      </c>
      <c r="H464" s="3">
        <f t="shared" si="238"/>
        <v>0</v>
      </c>
      <c r="I464" s="3">
        <f t="shared" si="238"/>
        <v>0</v>
      </c>
      <c r="J464" s="3">
        <f t="shared" si="238"/>
        <v>0</v>
      </c>
      <c r="K464" s="15">
        <f t="shared" si="238"/>
        <v>0</v>
      </c>
      <c r="L464" s="3">
        <f t="shared" si="238"/>
        <v>0</v>
      </c>
      <c r="M464" s="3">
        <f t="shared" si="238"/>
        <v>360.1</v>
      </c>
      <c r="N464" s="3">
        <f t="shared" si="238"/>
        <v>1980550.0000000002</v>
      </c>
      <c r="O464" s="3">
        <f t="shared" si="238"/>
        <v>0</v>
      </c>
      <c r="P464" s="3">
        <f t="shared" si="238"/>
        <v>0</v>
      </c>
      <c r="Q464" s="3">
        <f t="shared" si="238"/>
        <v>494</v>
      </c>
      <c r="R464" s="3">
        <f t="shared" si="238"/>
        <v>1482000</v>
      </c>
      <c r="S464" s="3">
        <f t="shared" si="238"/>
        <v>0</v>
      </c>
      <c r="T464" s="3">
        <f t="shared" si="238"/>
        <v>0</v>
      </c>
      <c r="U464" s="3">
        <f t="shared" si="238"/>
        <v>0</v>
      </c>
      <c r="V464" s="21">
        <f>C464</f>
        <v>3462550</v>
      </c>
    </row>
    <row r="465" spans="1:22" ht="21.95" customHeight="1" x14ac:dyDescent="0.25">
      <c r="A465" s="1" t="s">
        <v>1242</v>
      </c>
      <c r="B465" s="9" t="s">
        <v>1393</v>
      </c>
      <c r="C465" s="3">
        <f t="shared" si="236"/>
        <v>3462550</v>
      </c>
      <c r="D465" s="4">
        <f t="shared" ref="D465" si="239">SUM(E465:J465)</f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5">
        <v>0</v>
      </c>
      <c r="L465" s="4">
        <v>0</v>
      </c>
      <c r="M465" s="4">
        <v>360.1</v>
      </c>
      <c r="N465" s="4">
        <f t="shared" ref="N465" si="240">M465*5500</f>
        <v>1980550.0000000002</v>
      </c>
      <c r="O465" s="4">
        <v>0</v>
      </c>
      <c r="P465" s="4">
        <v>0</v>
      </c>
      <c r="Q465" s="4">
        <v>494</v>
      </c>
      <c r="R465" s="4">
        <f>Q465*3000</f>
        <v>1482000</v>
      </c>
      <c r="S465" s="4">
        <v>0</v>
      </c>
      <c r="T465" s="4">
        <v>0</v>
      </c>
      <c r="U465" s="4">
        <v>0</v>
      </c>
      <c r="V465" s="7">
        <f t="shared" ref="V465" si="241">N465/M465</f>
        <v>5500</v>
      </c>
    </row>
    <row r="466" spans="1:22" ht="45" customHeight="1" x14ac:dyDescent="0.25">
      <c r="A466" s="55" t="s">
        <v>243</v>
      </c>
      <c r="B466" s="55"/>
      <c r="C466" s="3">
        <f>SUM(C467)</f>
        <v>8821300</v>
      </c>
      <c r="D466" s="3">
        <f t="shared" ref="D466:U466" si="242">SUM(D467)</f>
        <v>867150</v>
      </c>
      <c r="E466" s="3">
        <f t="shared" si="242"/>
        <v>337225</v>
      </c>
      <c r="F466" s="3">
        <f t="shared" si="242"/>
        <v>0</v>
      </c>
      <c r="G466" s="3">
        <f t="shared" si="242"/>
        <v>289050</v>
      </c>
      <c r="H466" s="3">
        <f t="shared" si="242"/>
        <v>0</v>
      </c>
      <c r="I466" s="3">
        <f t="shared" si="242"/>
        <v>240875</v>
      </c>
      <c r="J466" s="3">
        <f t="shared" si="242"/>
        <v>0</v>
      </c>
      <c r="K466" s="15">
        <f t="shared" si="242"/>
        <v>0</v>
      </c>
      <c r="L466" s="3">
        <f t="shared" si="242"/>
        <v>0</v>
      </c>
      <c r="M466" s="3">
        <f t="shared" si="242"/>
        <v>756.3</v>
      </c>
      <c r="N466" s="3">
        <f t="shared" si="242"/>
        <v>4159649.9999999995</v>
      </c>
      <c r="O466" s="3">
        <f t="shared" si="242"/>
        <v>0</v>
      </c>
      <c r="P466" s="3">
        <f t="shared" si="242"/>
        <v>0</v>
      </c>
      <c r="Q466" s="3">
        <f t="shared" si="242"/>
        <v>646.29999999999995</v>
      </c>
      <c r="R466" s="3">
        <f t="shared" si="242"/>
        <v>1938899.9999999998</v>
      </c>
      <c r="S466" s="3">
        <f t="shared" si="242"/>
        <v>1755600</v>
      </c>
      <c r="T466" s="3">
        <f t="shared" si="242"/>
        <v>0</v>
      </c>
      <c r="U466" s="3">
        <f t="shared" si="242"/>
        <v>100000</v>
      </c>
      <c r="V466" s="21">
        <f>C466</f>
        <v>8821300</v>
      </c>
    </row>
    <row r="467" spans="1:22" ht="21.95" customHeight="1" x14ac:dyDescent="0.25">
      <c r="A467" s="1" t="s">
        <v>1243</v>
      </c>
      <c r="B467" s="9" t="s">
        <v>241</v>
      </c>
      <c r="C467" s="3">
        <f t="shared" si="236"/>
        <v>8821300</v>
      </c>
      <c r="D467" s="4">
        <f t="shared" ref="D467" si="243">SUM(E467:J467)</f>
        <v>867150</v>
      </c>
      <c r="E467" s="4">
        <f>350*963.5</f>
        <v>337225</v>
      </c>
      <c r="F467" s="4">
        <v>0</v>
      </c>
      <c r="G467" s="4">
        <f>300*963.5</f>
        <v>289050</v>
      </c>
      <c r="H467" s="4">
        <v>0</v>
      </c>
      <c r="I467" s="4">
        <f>250*963.5</f>
        <v>240875</v>
      </c>
      <c r="J467" s="4">
        <f>350*0</f>
        <v>0</v>
      </c>
      <c r="K467" s="5">
        <v>0</v>
      </c>
      <c r="L467" s="4">
        <v>0</v>
      </c>
      <c r="M467" s="4">
        <v>756.3</v>
      </c>
      <c r="N467" s="4">
        <f t="shared" ref="N467" si="244">M467*5500</f>
        <v>4159649.9999999995</v>
      </c>
      <c r="O467" s="4">
        <v>0</v>
      </c>
      <c r="P467" s="4">
        <v>0</v>
      </c>
      <c r="Q467" s="4">
        <v>646.29999999999995</v>
      </c>
      <c r="R467" s="4">
        <f>Q467*3000</f>
        <v>1938899.9999999998</v>
      </c>
      <c r="S467" s="4">
        <v>1755600</v>
      </c>
      <c r="T467" s="4">
        <v>0</v>
      </c>
      <c r="U467" s="4">
        <v>100000</v>
      </c>
      <c r="V467" s="7">
        <f t="shared" ref="V467" si="245">N467/M467</f>
        <v>5500</v>
      </c>
    </row>
    <row r="468" spans="1:22" ht="45" customHeight="1" x14ac:dyDescent="0.25">
      <c r="A468" s="55" t="s">
        <v>268</v>
      </c>
      <c r="B468" s="55"/>
      <c r="C468" s="3">
        <f>SUM(C469:C483)</f>
        <v>112654315</v>
      </c>
      <c r="D468" s="3">
        <f t="shared" ref="D468:U468" si="246">SUM(D469:D483)</f>
        <v>30579510</v>
      </c>
      <c r="E468" s="3">
        <f t="shared" si="246"/>
        <v>5488630</v>
      </c>
      <c r="F468" s="3">
        <f t="shared" si="246"/>
        <v>16465890</v>
      </c>
      <c r="G468" s="3">
        <f t="shared" si="246"/>
        <v>4704540</v>
      </c>
      <c r="H468" s="3">
        <f t="shared" si="246"/>
        <v>0</v>
      </c>
      <c r="I468" s="3">
        <f t="shared" si="246"/>
        <v>3920450</v>
      </c>
      <c r="J468" s="3">
        <f t="shared" si="246"/>
        <v>0</v>
      </c>
      <c r="K468" s="15">
        <f t="shared" si="246"/>
        <v>0</v>
      </c>
      <c r="L468" s="3">
        <f t="shared" si="246"/>
        <v>0</v>
      </c>
      <c r="M468" s="3">
        <f t="shared" si="246"/>
        <v>8861.1</v>
      </c>
      <c r="N468" s="3">
        <f t="shared" si="246"/>
        <v>42491355</v>
      </c>
      <c r="O468" s="3">
        <f t="shared" si="246"/>
        <v>1035.7</v>
      </c>
      <c r="P468" s="3">
        <f t="shared" si="246"/>
        <v>1287550</v>
      </c>
      <c r="Q468" s="3">
        <f t="shared" si="246"/>
        <v>12365.300000000001</v>
      </c>
      <c r="R468" s="3">
        <f t="shared" si="246"/>
        <v>37095900</v>
      </c>
      <c r="S468" s="3">
        <f t="shared" si="246"/>
        <v>0</v>
      </c>
      <c r="T468" s="3">
        <f t="shared" si="246"/>
        <v>0</v>
      </c>
      <c r="U468" s="3">
        <f t="shared" si="246"/>
        <v>1200000</v>
      </c>
    </row>
    <row r="469" spans="1:22" ht="24.95" customHeight="1" x14ac:dyDescent="0.25">
      <c r="A469" s="1" t="s">
        <v>1244</v>
      </c>
      <c r="B469" s="9" t="s">
        <v>1587</v>
      </c>
      <c r="C469" s="3">
        <f t="shared" si="236"/>
        <v>100000</v>
      </c>
      <c r="D469" s="4">
        <f t="shared" ref="D469:D483" si="247">SUM(E469:J469)</f>
        <v>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12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4">
        <f t="shared" ref="R469:R483" si="248">Q469*3000</f>
        <v>0</v>
      </c>
      <c r="S469" s="6">
        <v>0</v>
      </c>
      <c r="T469" s="6">
        <v>0</v>
      </c>
      <c r="U469" s="6">
        <v>100000</v>
      </c>
      <c r="V469" s="7" t="e">
        <f t="shared" ref="V469:V483" si="249">N469/M469</f>
        <v>#DIV/0!</v>
      </c>
    </row>
    <row r="470" spans="1:22" ht="24.95" customHeight="1" x14ac:dyDescent="0.25">
      <c r="A470" s="1" t="s">
        <v>1245</v>
      </c>
      <c r="B470" s="27" t="s">
        <v>249</v>
      </c>
      <c r="C470" s="3">
        <f t="shared" si="236"/>
        <v>8209000</v>
      </c>
      <c r="D470" s="4">
        <f t="shared" si="247"/>
        <v>1833000</v>
      </c>
      <c r="E470" s="4">
        <f>350*940</f>
        <v>329000</v>
      </c>
      <c r="F470" s="4">
        <f>1050*940</f>
        <v>987000</v>
      </c>
      <c r="G470" s="4">
        <f>300*940</f>
        <v>282000</v>
      </c>
      <c r="H470" s="4">
        <f t="shared" ref="H470:H479" si="250">400*0</f>
        <v>0</v>
      </c>
      <c r="I470" s="4">
        <f>250*940</f>
        <v>235000</v>
      </c>
      <c r="J470" s="4">
        <f t="shared" ref="J470:J479" si="251">350*0</f>
        <v>0</v>
      </c>
      <c r="K470" s="5">
        <v>0</v>
      </c>
      <c r="L470" s="4">
        <v>0</v>
      </c>
      <c r="M470" s="4">
        <v>690</v>
      </c>
      <c r="N470" s="4">
        <f t="shared" ref="N470:N471" si="252">M470*5500</f>
        <v>3795000</v>
      </c>
      <c r="O470" s="4">
        <v>0</v>
      </c>
      <c r="P470" s="4">
        <v>0</v>
      </c>
      <c r="Q470" s="4">
        <v>827</v>
      </c>
      <c r="R470" s="4">
        <f t="shared" si="248"/>
        <v>2481000</v>
      </c>
      <c r="S470" s="4">
        <v>0</v>
      </c>
      <c r="T470" s="4">
        <v>0</v>
      </c>
      <c r="U470" s="4">
        <v>100000</v>
      </c>
      <c r="V470" s="7">
        <f t="shared" si="249"/>
        <v>5500</v>
      </c>
    </row>
    <row r="471" spans="1:22" ht="24.95" customHeight="1" x14ac:dyDescent="0.25">
      <c r="A471" s="1" t="s">
        <v>1246</v>
      </c>
      <c r="B471" s="27" t="s">
        <v>247</v>
      </c>
      <c r="C471" s="3">
        <f t="shared" si="236"/>
        <v>6691350</v>
      </c>
      <c r="D471" s="4">
        <f t="shared" si="247"/>
        <v>1476150</v>
      </c>
      <c r="E471" s="4">
        <f>350*757</f>
        <v>264950</v>
      </c>
      <c r="F471" s="4">
        <f>1050*757</f>
        <v>794850</v>
      </c>
      <c r="G471" s="4">
        <f>300*757</f>
        <v>227100</v>
      </c>
      <c r="H471" s="4">
        <f t="shared" si="250"/>
        <v>0</v>
      </c>
      <c r="I471" s="4">
        <f>250*757</f>
        <v>189250</v>
      </c>
      <c r="J471" s="4">
        <f t="shared" si="251"/>
        <v>0</v>
      </c>
      <c r="K471" s="5">
        <v>0</v>
      </c>
      <c r="L471" s="4">
        <v>0</v>
      </c>
      <c r="M471" s="4">
        <v>544.4</v>
      </c>
      <c r="N471" s="4">
        <f t="shared" si="252"/>
        <v>2994200</v>
      </c>
      <c r="O471" s="4">
        <v>0</v>
      </c>
      <c r="P471" s="4">
        <v>0</v>
      </c>
      <c r="Q471" s="4">
        <v>707</v>
      </c>
      <c r="R471" s="4">
        <f t="shared" si="248"/>
        <v>2121000</v>
      </c>
      <c r="S471" s="4">
        <v>0</v>
      </c>
      <c r="T471" s="4">
        <v>0</v>
      </c>
      <c r="U471" s="4">
        <v>100000</v>
      </c>
      <c r="V471" s="7">
        <f t="shared" si="249"/>
        <v>5500</v>
      </c>
    </row>
    <row r="472" spans="1:22" ht="24.95" customHeight="1" x14ac:dyDescent="0.25">
      <c r="A472" s="1" t="s">
        <v>1247</v>
      </c>
      <c r="B472" s="27" t="s">
        <v>252</v>
      </c>
      <c r="C472" s="3">
        <f t="shared" si="236"/>
        <v>7967980</v>
      </c>
      <c r="D472" s="4">
        <f t="shared" si="247"/>
        <v>3623100</v>
      </c>
      <c r="E472" s="4">
        <f>350*1858</f>
        <v>650300</v>
      </c>
      <c r="F472" s="4">
        <f>1050*1858</f>
        <v>1950900</v>
      </c>
      <c r="G472" s="4">
        <f>300*1858</f>
        <v>557400</v>
      </c>
      <c r="H472" s="4">
        <f t="shared" si="250"/>
        <v>0</v>
      </c>
      <c r="I472" s="4">
        <f>250*1858</f>
        <v>464500</v>
      </c>
      <c r="J472" s="4">
        <f t="shared" si="251"/>
        <v>0</v>
      </c>
      <c r="K472" s="5">
        <v>0</v>
      </c>
      <c r="L472" s="4">
        <v>0</v>
      </c>
      <c r="M472" s="4">
        <v>0</v>
      </c>
      <c r="N472" s="4">
        <v>0</v>
      </c>
      <c r="O472" s="4">
        <v>72.400000000000006</v>
      </c>
      <c r="P472" s="4">
        <f>O472*1200</f>
        <v>86880</v>
      </c>
      <c r="Q472" s="4">
        <v>1386</v>
      </c>
      <c r="R472" s="4">
        <f t="shared" si="248"/>
        <v>4158000</v>
      </c>
      <c r="S472" s="4">
        <v>0</v>
      </c>
      <c r="T472" s="4">
        <v>0</v>
      </c>
      <c r="U472" s="4">
        <v>100000</v>
      </c>
      <c r="V472" s="7" t="e">
        <f t="shared" si="249"/>
        <v>#DIV/0!</v>
      </c>
    </row>
    <row r="473" spans="1:22" ht="24.95" customHeight="1" x14ac:dyDescent="0.25">
      <c r="A473" s="1" t="s">
        <v>1248</v>
      </c>
      <c r="B473" s="27" t="s">
        <v>253</v>
      </c>
      <c r="C473" s="3">
        <f t="shared" si="236"/>
        <v>5740079.5999999996</v>
      </c>
      <c r="D473" s="4">
        <f t="shared" si="247"/>
        <v>1534650</v>
      </c>
      <c r="E473" s="4">
        <f>350*787</f>
        <v>275450</v>
      </c>
      <c r="F473" s="4">
        <f>1050*787</f>
        <v>826350</v>
      </c>
      <c r="G473" s="4">
        <f>300*787</f>
        <v>236100</v>
      </c>
      <c r="H473" s="4">
        <f t="shared" si="250"/>
        <v>0</v>
      </c>
      <c r="I473" s="4">
        <f>250*787</f>
        <v>196750</v>
      </c>
      <c r="J473" s="4">
        <f t="shared" si="251"/>
        <v>0</v>
      </c>
      <c r="K473" s="5">
        <v>0</v>
      </c>
      <c r="L473" s="4">
        <v>0</v>
      </c>
      <c r="M473" s="4">
        <v>563.6</v>
      </c>
      <c r="N473" s="4">
        <f>M473*3686</f>
        <v>2077429.6</v>
      </c>
      <c r="O473" s="4">
        <v>0</v>
      </c>
      <c r="P473" s="4">
        <v>0</v>
      </c>
      <c r="Q473" s="4">
        <v>676</v>
      </c>
      <c r="R473" s="4">
        <f t="shared" si="248"/>
        <v>2028000</v>
      </c>
      <c r="S473" s="4">
        <v>0</v>
      </c>
      <c r="T473" s="4">
        <v>0</v>
      </c>
      <c r="U473" s="4">
        <v>100000</v>
      </c>
      <c r="V473" s="7">
        <f t="shared" si="249"/>
        <v>3686</v>
      </c>
    </row>
    <row r="474" spans="1:22" ht="24.95" customHeight="1" x14ac:dyDescent="0.25">
      <c r="A474" s="1" t="s">
        <v>1249</v>
      </c>
      <c r="B474" s="27" t="s">
        <v>254</v>
      </c>
      <c r="C474" s="3">
        <f t="shared" si="236"/>
        <v>13160990</v>
      </c>
      <c r="D474" s="4">
        <f t="shared" si="247"/>
        <v>3720990</v>
      </c>
      <c r="E474" s="4">
        <f>350*1908.2</f>
        <v>667870</v>
      </c>
      <c r="F474" s="4">
        <f>1050*1908.2</f>
        <v>2003610</v>
      </c>
      <c r="G474" s="4">
        <f>300*1908.2</f>
        <v>572460</v>
      </c>
      <c r="H474" s="4">
        <f t="shared" si="250"/>
        <v>0</v>
      </c>
      <c r="I474" s="4">
        <f>250*1908.2</f>
        <v>477050</v>
      </c>
      <c r="J474" s="4">
        <f t="shared" si="251"/>
        <v>0</v>
      </c>
      <c r="K474" s="5">
        <v>0</v>
      </c>
      <c r="L474" s="4">
        <v>0</v>
      </c>
      <c r="M474" s="4">
        <v>916</v>
      </c>
      <c r="N474" s="4">
        <f t="shared" ref="N474:N475" si="253">M474*5500</f>
        <v>5038000</v>
      </c>
      <c r="O474" s="4">
        <v>0</v>
      </c>
      <c r="P474" s="4">
        <v>0</v>
      </c>
      <c r="Q474" s="4">
        <v>1434</v>
      </c>
      <c r="R474" s="4">
        <f t="shared" si="248"/>
        <v>4302000</v>
      </c>
      <c r="S474" s="4">
        <v>0</v>
      </c>
      <c r="T474" s="4">
        <v>0</v>
      </c>
      <c r="U474" s="4">
        <v>100000</v>
      </c>
      <c r="V474" s="7">
        <f t="shared" si="249"/>
        <v>5500</v>
      </c>
    </row>
    <row r="475" spans="1:22" ht="24.95" customHeight="1" x14ac:dyDescent="0.25">
      <c r="A475" s="1" t="s">
        <v>1250</v>
      </c>
      <c r="B475" s="27" t="s">
        <v>255</v>
      </c>
      <c r="C475" s="3">
        <f t="shared" si="236"/>
        <v>6863250</v>
      </c>
      <c r="D475" s="4">
        <f t="shared" si="247"/>
        <v>1511250</v>
      </c>
      <c r="E475" s="4">
        <f>350*775</f>
        <v>271250</v>
      </c>
      <c r="F475" s="4">
        <f>1050*775</f>
        <v>813750</v>
      </c>
      <c r="G475" s="4">
        <f>300*775</f>
        <v>232500</v>
      </c>
      <c r="H475" s="4">
        <f t="shared" si="250"/>
        <v>0</v>
      </c>
      <c r="I475" s="4">
        <f>250*775</f>
        <v>193750</v>
      </c>
      <c r="J475" s="4">
        <f t="shared" si="251"/>
        <v>0</v>
      </c>
      <c r="K475" s="5">
        <v>0</v>
      </c>
      <c r="L475" s="4">
        <v>0</v>
      </c>
      <c r="M475" s="4">
        <v>572</v>
      </c>
      <c r="N475" s="4">
        <f t="shared" si="253"/>
        <v>3146000</v>
      </c>
      <c r="O475" s="4">
        <v>0</v>
      </c>
      <c r="P475" s="4">
        <v>0</v>
      </c>
      <c r="Q475" s="4">
        <v>702</v>
      </c>
      <c r="R475" s="4">
        <f t="shared" si="248"/>
        <v>2106000</v>
      </c>
      <c r="S475" s="4">
        <v>0</v>
      </c>
      <c r="T475" s="4">
        <v>0</v>
      </c>
      <c r="U475" s="4">
        <v>100000</v>
      </c>
      <c r="V475" s="7">
        <f t="shared" si="249"/>
        <v>5500</v>
      </c>
    </row>
    <row r="476" spans="1:22" ht="24.95" customHeight="1" x14ac:dyDescent="0.25">
      <c r="A476" s="1" t="s">
        <v>1251</v>
      </c>
      <c r="B476" s="27" t="s">
        <v>251</v>
      </c>
      <c r="C476" s="3">
        <f>D476+L476+N476+P476+R476+S476+T476+U476</f>
        <v>3340607.8</v>
      </c>
      <c r="D476" s="4">
        <f>SUM(E476:J476)</f>
        <v>739050</v>
      </c>
      <c r="E476" s="4">
        <f>350*379</f>
        <v>132650</v>
      </c>
      <c r="F476" s="4">
        <f>1050*379</f>
        <v>397950</v>
      </c>
      <c r="G476" s="4">
        <f>300*379</f>
        <v>113700</v>
      </c>
      <c r="H476" s="4">
        <f t="shared" si="250"/>
        <v>0</v>
      </c>
      <c r="I476" s="4">
        <f>250*379</f>
        <v>94750</v>
      </c>
      <c r="J476" s="4">
        <f t="shared" si="251"/>
        <v>0</v>
      </c>
      <c r="K476" s="5">
        <v>0</v>
      </c>
      <c r="L476" s="4">
        <v>0</v>
      </c>
      <c r="M476" s="4">
        <v>282.3</v>
      </c>
      <c r="N476" s="4">
        <f>M476*3686</f>
        <v>1040557.8</v>
      </c>
      <c r="O476" s="4">
        <v>0</v>
      </c>
      <c r="P476" s="4">
        <v>0</v>
      </c>
      <c r="Q476" s="4">
        <v>487</v>
      </c>
      <c r="R476" s="4">
        <f>Q476*3000</f>
        <v>1461000</v>
      </c>
      <c r="S476" s="4">
        <v>0</v>
      </c>
      <c r="T476" s="4">
        <v>0</v>
      </c>
      <c r="U476" s="4">
        <v>100000</v>
      </c>
      <c r="V476" s="7">
        <f>N476/M476</f>
        <v>3686</v>
      </c>
    </row>
    <row r="477" spans="1:22" ht="24.95" customHeight="1" x14ac:dyDescent="0.25">
      <c r="A477" s="1" t="s">
        <v>1252</v>
      </c>
      <c r="B477" s="27" t="s">
        <v>257</v>
      </c>
      <c r="C477" s="3">
        <f t="shared" si="236"/>
        <v>3015550</v>
      </c>
      <c r="D477" s="4">
        <f t="shared" si="247"/>
        <v>1109550</v>
      </c>
      <c r="E477" s="4">
        <f>350*569</f>
        <v>199150</v>
      </c>
      <c r="F477" s="4">
        <f>1050*569</f>
        <v>597450</v>
      </c>
      <c r="G477" s="4">
        <f>300*569</f>
        <v>170700</v>
      </c>
      <c r="H477" s="4">
        <f t="shared" si="250"/>
        <v>0</v>
      </c>
      <c r="I477" s="4">
        <f>250*569</f>
        <v>142250</v>
      </c>
      <c r="J477" s="4">
        <f t="shared" si="251"/>
        <v>0</v>
      </c>
      <c r="K477" s="5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602</v>
      </c>
      <c r="R477" s="4">
        <f t="shared" si="248"/>
        <v>1806000</v>
      </c>
      <c r="S477" s="4">
        <v>0</v>
      </c>
      <c r="T477" s="4">
        <v>0</v>
      </c>
      <c r="U477" s="4">
        <v>100000</v>
      </c>
      <c r="V477" s="7" t="e">
        <f t="shared" si="249"/>
        <v>#DIV/0!</v>
      </c>
    </row>
    <row r="478" spans="1:22" ht="24.95" customHeight="1" x14ac:dyDescent="0.25">
      <c r="A478" s="1" t="s">
        <v>1253</v>
      </c>
      <c r="B478" s="27" t="s">
        <v>260</v>
      </c>
      <c r="C478" s="3">
        <f t="shared" si="236"/>
        <v>21785140</v>
      </c>
      <c r="D478" s="4">
        <f t="shared" si="247"/>
        <v>7084740</v>
      </c>
      <c r="E478" s="4">
        <f>350*3633.2</f>
        <v>1271620</v>
      </c>
      <c r="F478" s="4">
        <f>1050*3633.2</f>
        <v>3814860</v>
      </c>
      <c r="G478" s="4">
        <f>300*3633.2</f>
        <v>1089960</v>
      </c>
      <c r="H478" s="4">
        <f t="shared" si="250"/>
        <v>0</v>
      </c>
      <c r="I478" s="4">
        <f>250*3633.2</f>
        <v>908300</v>
      </c>
      <c r="J478" s="4">
        <f t="shared" si="251"/>
        <v>0</v>
      </c>
      <c r="K478" s="5">
        <v>0</v>
      </c>
      <c r="L478" s="4">
        <v>0</v>
      </c>
      <c r="M478" s="4">
        <v>1212</v>
      </c>
      <c r="N478" s="4">
        <f t="shared" ref="N478:N480" si="254">M478*5500</f>
        <v>6666000</v>
      </c>
      <c r="O478" s="4">
        <v>937</v>
      </c>
      <c r="P478" s="4">
        <f>O478*1200</f>
        <v>1124400</v>
      </c>
      <c r="Q478" s="4">
        <v>2270</v>
      </c>
      <c r="R478" s="4">
        <f t="shared" si="248"/>
        <v>6810000</v>
      </c>
      <c r="S478" s="4">
        <v>0</v>
      </c>
      <c r="T478" s="4">
        <v>0</v>
      </c>
      <c r="U478" s="4">
        <v>100000</v>
      </c>
      <c r="V478" s="7">
        <f t="shared" si="249"/>
        <v>5500</v>
      </c>
    </row>
    <row r="479" spans="1:22" ht="24.95" customHeight="1" x14ac:dyDescent="0.25">
      <c r="A479" s="1" t="s">
        <v>1254</v>
      </c>
      <c r="B479" s="27" t="s">
        <v>258</v>
      </c>
      <c r="C479" s="3">
        <f t="shared" si="236"/>
        <v>14601880</v>
      </c>
      <c r="D479" s="4">
        <f t="shared" si="247"/>
        <v>4411680</v>
      </c>
      <c r="E479" s="4">
        <f>350*2262.4</f>
        <v>791840</v>
      </c>
      <c r="F479" s="4">
        <f>1050*2262.4</f>
        <v>2375520</v>
      </c>
      <c r="G479" s="4">
        <f>300*2262.4</f>
        <v>678720</v>
      </c>
      <c r="H479" s="4">
        <f t="shared" si="250"/>
        <v>0</v>
      </c>
      <c r="I479" s="4">
        <f>250*2262.4</f>
        <v>565600</v>
      </c>
      <c r="J479" s="4">
        <f t="shared" si="251"/>
        <v>0</v>
      </c>
      <c r="K479" s="5">
        <v>0</v>
      </c>
      <c r="L479" s="4">
        <v>0</v>
      </c>
      <c r="M479" s="4">
        <v>835.2</v>
      </c>
      <c r="N479" s="4">
        <f t="shared" si="254"/>
        <v>4593600</v>
      </c>
      <c r="O479" s="4">
        <v>0</v>
      </c>
      <c r="P479" s="4">
        <v>0</v>
      </c>
      <c r="Q479" s="4">
        <v>1832.2</v>
      </c>
      <c r="R479" s="4">
        <f t="shared" si="248"/>
        <v>5496600</v>
      </c>
      <c r="S479" s="4">
        <v>0</v>
      </c>
      <c r="T479" s="4">
        <v>0</v>
      </c>
      <c r="U479" s="4">
        <v>100000</v>
      </c>
      <c r="V479" s="7">
        <f t="shared" si="249"/>
        <v>5500</v>
      </c>
    </row>
    <row r="480" spans="1:22" ht="24.95" customHeight="1" x14ac:dyDescent="0.25">
      <c r="A480" s="1" t="s">
        <v>1255</v>
      </c>
      <c r="B480" s="27" t="s">
        <v>259</v>
      </c>
      <c r="C480" s="3">
        <f t="shared" si="236"/>
        <v>3569500</v>
      </c>
      <c r="D480" s="4">
        <f t="shared" si="247"/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5">
        <v>0</v>
      </c>
      <c r="L480" s="4">
        <v>0</v>
      </c>
      <c r="M480" s="4">
        <v>649</v>
      </c>
      <c r="N480" s="4">
        <f t="shared" si="254"/>
        <v>3569500</v>
      </c>
      <c r="O480" s="4">
        <v>0</v>
      </c>
      <c r="P480" s="4">
        <v>0</v>
      </c>
      <c r="Q480" s="4">
        <v>0</v>
      </c>
      <c r="R480" s="4">
        <f t="shared" si="248"/>
        <v>0</v>
      </c>
      <c r="S480" s="4">
        <v>0</v>
      </c>
      <c r="T480" s="4">
        <v>0</v>
      </c>
      <c r="U480" s="4">
        <v>0</v>
      </c>
      <c r="V480" s="7">
        <f t="shared" si="249"/>
        <v>5500</v>
      </c>
    </row>
    <row r="481" spans="1:22" ht="24.95" customHeight="1" x14ac:dyDescent="0.25">
      <c r="A481" s="1" t="s">
        <v>1256</v>
      </c>
      <c r="B481" s="27" t="s">
        <v>262</v>
      </c>
      <c r="C481" s="3">
        <f t="shared" si="236"/>
        <v>11230733.199999999</v>
      </c>
      <c r="D481" s="4">
        <f t="shared" si="247"/>
        <v>3535350</v>
      </c>
      <c r="E481" s="4">
        <f>350*1813</f>
        <v>634550</v>
      </c>
      <c r="F481" s="4">
        <f>1050*1813</f>
        <v>1903650</v>
      </c>
      <c r="G481" s="4">
        <f>300*1813</f>
        <v>543900</v>
      </c>
      <c r="H481" s="4">
        <f>400*0</f>
        <v>0</v>
      </c>
      <c r="I481" s="4">
        <f>250*1813</f>
        <v>453250</v>
      </c>
      <c r="J481" s="4">
        <f t="shared" ref="J481" si="255">350*0</f>
        <v>0</v>
      </c>
      <c r="K481" s="5">
        <v>0</v>
      </c>
      <c r="L481" s="4">
        <v>0</v>
      </c>
      <c r="M481" s="4">
        <v>866.2</v>
      </c>
      <c r="N481" s="4">
        <f t="shared" ref="N481:N483" si="256">M481*3686</f>
        <v>3192813.2</v>
      </c>
      <c r="O481" s="4">
        <v>26.3</v>
      </c>
      <c r="P481" s="4">
        <v>76270</v>
      </c>
      <c r="Q481" s="4">
        <v>1442.1</v>
      </c>
      <c r="R481" s="4">
        <f t="shared" si="248"/>
        <v>4326300</v>
      </c>
      <c r="S481" s="4">
        <v>0</v>
      </c>
      <c r="T481" s="4">
        <v>0</v>
      </c>
      <c r="U481" s="4">
        <v>100000</v>
      </c>
      <c r="V481" s="7">
        <f t="shared" si="249"/>
        <v>3686</v>
      </c>
    </row>
    <row r="482" spans="1:22" ht="24.95" customHeight="1" x14ac:dyDescent="0.25">
      <c r="A482" s="1" t="s">
        <v>1915</v>
      </c>
      <c r="B482" s="27" t="s">
        <v>1209</v>
      </c>
      <c r="C482" s="3">
        <f t="shared" si="236"/>
        <v>3128676.8</v>
      </c>
      <c r="D482" s="4">
        <f t="shared" si="247"/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5">
        <v>0</v>
      </c>
      <c r="L482" s="4">
        <v>0</v>
      </c>
      <c r="M482" s="4">
        <v>848.8</v>
      </c>
      <c r="N482" s="4">
        <f t="shared" si="256"/>
        <v>3128676.8</v>
      </c>
      <c r="O482" s="4">
        <v>0</v>
      </c>
      <c r="P482" s="4">
        <v>0</v>
      </c>
      <c r="Q482" s="4">
        <v>0</v>
      </c>
      <c r="R482" s="4">
        <f t="shared" si="248"/>
        <v>0</v>
      </c>
      <c r="S482" s="4">
        <v>0</v>
      </c>
      <c r="T482" s="4">
        <v>0</v>
      </c>
      <c r="U482" s="4">
        <v>0</v>
      </c>
      <c r="V482" s="7">
        <f t="shared" si="249"/>
        <v>3686</v>
      </c>
    </row>
    <row r="483" spans="1:22" ht="24.95" customHeight="1" x14ac:dyDescent="0.25">
      <c r="A483" s="1" t="s">
        <v>1257</v>
      </c>
      <c r="B483" s="27" t="s">
        <v>1210</v>
      </c>
      <c r="C483" s="3">
        <f t="shared" si="236"/>
        <v>3249577.6</v>
      </c>
      <c r="D483" s="4">
        <f t="shared" si="247"/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5">
        <v>0</v>
      </c>
      <c r="L483" s="4">
        <v>0</v>
      </c>
      <c r="M483" s="4">
        <v>881.6</v>
      </c>
      <c r="N483" s="4">
        <f t="shared" si="256"/>
        <v>3249577.6</v>
      </c>
      <c r="O483" s="4">
        <v>0</v>
      </c>
      <c r="P483" s="4">
        <v>0</v>
      </c>
      <c r="Q483" s="4">
        <v>0</v>
      </c>
      <c r="R483" s="4">
        <f t="shared" si="248"/>
        <v>0</v>
      </c>
      <c r="S483" s="4">
        <v>0</v>
      </c>
      <c r="T483" s="4">
        <v>0</v>
      </c>
      <c r="U483" s="4">
        <v>0</v>
      </c>
      <c r="V483" s="7">
        <f t="shared" si="249"/>
        <v>3686</v>
      </c>
    </row>
    <row r="484" spans="1:22" ht="45" customHeight="1" x14ac:dyDescent="0.25">
      <c r="A484" s="55" t="s">
        <v>1219</v>
      </c>
      <c r="B484" s="55"/>
      <c r="C484" s="3">
        <f>SUM(C485)</f>
        <v>1980000</v>
      </c>
      <c r="D484" s="3">
        <f t="shared" ref="D484:U484" si="257">SUM(D485)</f>
        <v>0</v>
      </c>
      <c r="E484" s="3">
        <f t="shared" si="257"/>
        <v>0</v>
      </c>
      <c r="F484" s="3">
        <f t="shared" si="257"/>
        <v>0</v>
      </c>
      <c r="G484" s="3">
        <f t="shared" si="257"/>
        <v>0</v>
      </c>
      <c r="H484" s="3">
        <f t="shared" si="257"/>
        <v>0</v>
      </c>
      <c r="I484" s="3">
        <f t="shared" si="257"/>
        <v>0</v>
      </c>
      <c r="J484" s="3">
        <f t="shared" si="257"/>
        <v>0</v>
      </c>
      <c r="K484" s="15">
        <f t="shared" si="257"/>
        <v>0</v>
      </c>
      <c r="L484" s="3">
        <f t="shared" si="257"/>
        <v>0</v>
      </c>
      <c r="M484" s="3">
        <f t="shared" si="257"/>
        <v>0</v>
      </c>
      <c r="N484" s="3">
        <f t="shared" si="257"/>
        <v>0</v>
      </c>
      <c r="O484" s="3">
        <f t="shared" si="257"/>
        <v>0</v>
      </c>
      <c r="P484" s="3">
        <f t="shared" si="257"/>
        <v>0</v>
      </c>
      <c r="Q484" s="3">
        <f t="shared" si="257"/>
        <v>660</v>
      </c>
      <c r="R484" s="3">
        <f t="shared" si="257"/>
        <v>1980000</v>
      </c>
      <c r="S484" s="3">
        <f t="shared" si="257"/>
        <v>0</v>
      </c>
      <c r="T484" s="3">
        <f t="shared" si="257"/>
        <v>0</v>
      </c>
      <c r="U484" s="3">
        <f t="shared" si="257"/>
        <v>0</v>
      </c>
    </row>
    <row r="485" spans="1:22" ht="21.95" customHeight="1" x14ac:dyDescent="0.25">
      <c r="A485" s="1" t="s">
        <v>1258</v>
      </c>
      <c r="B485" s="27" t="s">
        <v>1220</v>
      </c>
      <c r="C485" s="3">
        <f t="shared" si="236"/>
        <v>1980000</v>
      </c>
      <c r="D485" s="4">
        <f t="shared" ref="D485" si="258">SUM(E485:J485)</f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5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660</v>
      </c>
      <c r="R485" s="4">
        <f>Q485*3000</f>
        <v>1980000</v>
      </c>
      <c r="S485" s="4">
        <v>0</v>
      </c>
      <c r="T485" s="4">
        <v>0</v>
      </c>
      <c r="U485" s="4">
        <v>0</v>
      </c>
      <c r="V485" s="7" t="e">
        <f t="shared" ref="V485" si="259">N485/M485</f>
        <v>#DIV/0!</v>
      </c>
    </row>
    <row r="486" spans="1:22" ht="45" customHeight="1" x14ac:dyDescent="0.25">
      <c r="A486" s="55" t="s">
        <v>273</v>
      </c>
      <c r="B486" s="55"/>
      <c r="C486" s="3">
        <f>SUM(C487:C488)</f>
        <v>4334000</v>
      </c>
      <c r="D486" s="3">
        <f t="shared" ref="D486:U486" si="260">SUM(D487:D488)</f>
        <v>0</v>
      </c>
      <c r="E486" s="3">
        <f t="shared" si="260"/>
        <v>0</v>
      </c>
      <c r="F486" s="3">
        <f t="shared" si="260"/>
        <v>0</v>
      </c>
      <c r="G486" s="3">
        <f t="shared" si="260"/>
        <v>0</v>
      </c>
      <c r="H486" s="3">
        <f t="shared" si="260"/>
        <v>0</v>
      </c>
      <c r="I486" s="3">
        <f t="shared" si="260"/>
        <v>0</v>
      </c>
      <c r="J486" s="3">
        <f t="shared" si="260"/>
        <v>0</v>
      </c>
      <c r="K486" s="15">
        <f t="shared" si="260"/>
        <v>0</v>
      </c>
      <c r="L486" s="3">
        <f t="shared" si="260"/>
        <v>0</v>
      </c>
      <c r="M486" s="3">
        <f t="shared" si="260"/>
        <v>788</v>
      </c>
      <c r="N486" s="3">
        <f t="shared" si="260"/>
        <v>4334000</v>
      </c>
      <c r="O486" s="3">
        <f t="shared" si="260"/>
        <v>0</v>
      </c>
      <c r="P486" s="3">
        <f t="shared" si="260"/>
        <v>0</v>
      </c>
      <c r="Q486" s="3">
        <f t="shared" si="260"/>
        <v>0</v>
      </c>
      <c r="R486" s="3">
        <f t="shared" si="260"/>
        <v>0</v>
      </c>
      <c r="S486" s="3">
        <f t="shared" si="260"/>
        <v>0</v>
      </c>
      <c r="T486" s="3">
        <f t="shared" si="260"/>
        <v>0</v>
      </c>
      <c r="U486" s="3">
        <f t="shared" si="260"/>
        <v>0</v>
      </c>
      <c r="V486" s="21">
        <f>C486</f>
        <v>4334000</v>
      </c>
    </row>
    <row r="487" spans="1:22" ht="21.95" customHeight="1" x14ac:dyDescent="0.25">
      <c r="A487" s="1" t="s">
        <v>1259</v>
      </c>
      <c r="B487" s="27" t="s">
        <v>274</v>
      </c>
      <c r="C487" s="3">
        <f t="shared" si="236"/>
        <v>2167000</v>
      </c>
      <c r="D487" s="4">
        <f t="shared" ref="D487:D488" si="261">SUM(E487:J487)</f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5">
        <v>0</v>
      </c>
      <c r="L487" s="4">
        <v>0</v>
      </c>
      <c r="M487" s="4">
        <v>394</v>
      </c>
      <c r="N487" s="4">
        <f t="shared" ref="N487:N488" si="262">M487*5500</f>
        <v>2167000</v>
      </c>
      <c r="O487" s="4">
        <v>0</v>
      </c>
      <c r="P487" s="4">
        <v>0</v>
      </c>
      <c r="Q487" s="4">
        <v>0</v>
      </c>
      <c r="R487" s="4">
        <f t="shared" ref="R487:R488" si="263">Q487*3000</f>
        <v>0</v>
      </c>
      <c r="S487" s="4">
        <v>0</v>
      </c>
      <c r="T487" s="4">
        <v>0</v>
      </c>
      <c r="U487" s="4">
        <v>0</v>
      </c>
      <c r="V487" s="7">
        <f t="shared" ref="V487:V488" si="264">N487/M487</f>
        <v>5500</v>
      </c>
    </row>
    <row r="488" spans="1:22" ht="21.95" customHeight="1" x14ac:dyDescent="0.25">
      <c r="A488" s="1" t="s">
        <v>1260</v>
      </c>
      <c r="B488" s="27" t="s">
        <v>275</v>
      </c>
      <c r="C488" s="3">
        <f t="shared" si="236"/>
        <v>2167000</v>
      </c>
      <c r="D488" s="4">
        <f t="shared" si="261"/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5">
        <v>0</v>
      </c>
      <c r="L488" s="4">
        <v>0</v>
      </c>
      <c r="M488" s="4">
        <v>394</v>
      </c>
      <c r="N488" s="4">
        <f t="shared" si="262"/>
        <v>2167000</v>
      </c>
      <c r="O488" s="4">
        <v>0</v>
      </c>
      <c r="P488" s="4">
        <v>0</v>
      </c>
      <c r="Q488" s="4">
        <v>0</v>
      </c>
      <c r="R488" s="4">
        <f t="shared" si="263"/>
        <v>0</v>
      </c>
      <c r="S488" s="4">
        <v>0</v>
      </c>
      <c r="T488" s="4">
        <v>0</v>
      </c>
      <c r="U488" s="4">
        <v>0</v>
      </c>
      <c r="V488" s="7">
        <f t="shared" si="264"/>
        <v>5500</v>
      </c>
    </row>
    <row r="489" spans="1:22" ht="45" customHeight="1" x14ac:dyDescent="0.25">
      <c r="A489" s="55" t="s">
        <v>277</v>
      </c>
      <c r="B489" s="55"/>
      <c r="C489" s="3">
        <f>SUM(C490)</f>
        <v>4032050</v>
      </c>
      <c r="D489" s="3">
        <f t="shared" ref="D489:U489" si="265">SUM(D490)</f>
        <v>169050</v>
      </c>
      <c r="E489" s="3">
        <f t="shared" si="265"/>
        <v>169050</v>
      </c>
      <c r="F489" s="3">
        <f t="shared" si="265"/>
        <v>0</v>
      </c>
      <c r="G489" s="3">
        <f t="shared" si="265"/>
        <v>0</v>
      </c>
      <c r="H489" s="3">
        <f t="shared" si="265"/>
        <v>0</v>
      </c>
      <c r="I489" s="3">
        <f t="shared" si="265"/>
        <v>0</v>
      </c>
      <c r="J489" s="3">
        <f t="shared" si="265"/>
        <v>0</v>
      </c>
      <c r="K489" s="15">
        <f t="shared" si="265"/>
        <v>0</v>
      </c>
      <c r="L489" s="3">
        <f t="shared" si="265"/>
        <v>0</v>
      </c>
      <c r="M489" s="3">
        <f t="shared" si="265"/>
        <v>406</v>
      </c>
      <c r="N489" s="3">
        <f t="shared" si="265"/>
        <v>2233000</v>
      </c>
      <c r="O489" s="3">
        <f t="shared" si="265"/>
        <v>0</v>
      </c>
      <c r="P489" s="3">
        <f t="shared" si="265"/>
        <v>0</v>
      </c>
      <c r="Q489" s="3">
        <f t="shared" si="265"/>
        <v>510</v>
      </c>
      <c r="R489" s="3">
        <f t="shared" si="265"/>
        <v>1530000</v>
      </c>
      <c r="S489" s="3">
        <f t="shared" si="265"/>
        <v>0</v>
      </c>
      <c r="T489" s="3">
        <f t="shared" si="265"/>
        <v>0</v>
      </c>
      <c r="U489" s="3">
        <f t="shared" si="265"/>
        <v>100000</v>
      </c>
      <c r="V489" s="21">
        <f>C489</f>
        <v>4032050</v>
      </c>
    </row>
    <row r="490" spans="1:22" ht="21.95" customHeight="1" x14ac:dyDescent="0.25">
      <c r="A490" s="24" t="s">
        <v>1261</v>
      </c>
      <c r="B490" s="27" t="s">
        <v>276</v>
      </c>
      <c r="C490" s="3">
        <f t="shared" si="236"/>
        <v>4032050</v>
      </c>
      <c r="D490" s="4">
        <f t="shared" ref="D490" si="266">SUM(E490:J490)</f>
        <v>169050</v>
      </c>
      <c r="E490" s="4">
        <f>350*483</f>
        <v>169050</v>
      </c>
      <c r="F490" s="4">
        <f>800*0</f>
        <v>0</v>
      </c>
      <c r="G490" s="4">
        <f>300*0</f>
        <v>0</v>
      </c>
      <c r="H490" s="4">
        <f>400*0</f>
        <v>0</v>
      </c>
      <c r="I490" s="4">
        <f>250*0</f>
        <v>0</v>
      </c>
      <c r="J490" s="4">
        <f>350*0</f>
        <v>0</v>
      </c>
      <c r="K490" s="12">
        <v>0</v>
      </c>
      <c r="L490" s="6">
        <v>0</v>
      </c>
      <c r="M490" s="6">
        <v>406</v>
      </c>
      <c r="N490" s="4">
        <f>M490*5500</f>
        <v>2233000</v>
      </c>
      <c r="O490" s="6">
        <v>0</v>
      </c>
      <c r="P490" s="6">
        <v>0</v>
      </c>
      <c r="Q490" s="6">
        <v>510</v>
      </c>
      <c r="R490" s="4">
        <f>Q490*3000</f>
        <v>1530000</v>
      </c>
      <c r="S490" s="6">
        <v>0</v>
      </c>
      <c r="T490" s="6">
        <v>0</v>
      </c>
      <c r="U490" s="6">
        <v>100000</v>
      </c>
      <c r="V490" s="7">
        <f t="shared" ref="V490" si="267">N490/M490</f>
        <v>5500</v>
      </c>
    </row>
    <row r="491" spans="1:22" ht="45" customHeight="1" x14ac:dyDescent="0.25">
      <c r="A491" s="55" t="s">
        <v>381</v>
      </c>
      <c r="B491" s="55"/>
      <c r="C491" s="3">
        <f>SUM(C492:C701)</f>
        <v>643604340.46000004</v>
      </c>
      <c r="D491" s="3">
        <f t="shared" ref="D491:U491" si="268">SUM(D492:D701)</f>
        <v>123388059</v>
      </c>
      <c r="E491" s="3">
        <f t="shared" si="268"/>
        <v>17300132.5</v>
      </c>
      <c r="F491" s="3">
        <f t="shared" si="268"/>
        <v>58808709</v>
      </c>
      <c r="G491" s="3">
        <f t="shared" si="268"/>
        <v>15876405</v>
      </c>
      <c r="H491" s="3">
        <f t="shared" si="268"/>
        <v>17174500</v>
      </c>
      <c r="I491" s="3">
        <f t="shared" si="268"/>
        <v>14228312.5</v>
      </c>
      <c r="J491" s="3">
        <f t="shared" si="268"/>
        <v>0</v>
      </c>
      <c r="K491" s="15">
        <f t="shared" si="268"/>
        <v>6</v>
      </c>
      <c r="L491" s="3">
        <f t="shared" si="268"/>
        <v>12900000</v>
      </c>
      <c r="M491" s="3">
        <f t="shared" si="268"/>
        <v>79136.500000000015</v>
      </c>
      <c r="N491" s="3">
        <f t="shared" si="268"/>
        <v>431198981.46000004</v>
      </c>
      <c r="O491" s="3">
        <f t="shared" si="268"/>
        <v>0</v>
      </c>
      <c r="P491" s="3">
        <f t="shared" si="268"/>
        <v>0</v>
      </c>
      <c r="Q491" s="3">
        <f t="shared" si="268"/>
        <v>23639.1</v>
      </c>
      <c r="R491" s="3">
        <f t="shared" si="268"/>
        <v>70917300</v>
      </c>
      <c r="S491" s="3">
        <f t="shared" si="268"/>
        <v>500000</v>
      </c>
      <c r="T491" s="3">
        <f t="shared" si="268"/>
        <v>0</v>
      </c>
      <c r="U491" s="3">
        <f t="shared" si="268"/>
        <v>4700000</v>
      </c>
    </row>
    <row r="492" spans="1:22" ht="21.95" customHeight="1" x14ac:dyDescent="0.25">
      <c r="A492" s="52" t="s">
        <v>1262</v>
      </c>
      <c r="B492" s="9" t="s">
        <v>491</v>
      </c>
      <c r="C492" s="3">
        <f t="shared" si="236"/>
        <v>6364010</v>
      </c>
      <c r="D492" s="4">
        <f t="shared" ref="D492:D558" si="269">SUM(E492:J492)</f>
        <v>2647510</v>
      </c>
      <c r="E492" s="4">
        <f>350*1126.6</f>
        <v>394309.99999999994</v>
      </c>
      <c r="F492" s="4">
        <f>1050*1126.6</f>
        <v>1182930</v>
      </c>
      <c r="G492" s="4">
        <f>300*1126.6</f>
        <v>337980</v>
      </c>
      <c r="H492" s="4">
        <f>400*1126.6</f>
        <v>450639.99999999994</v>
      </c>
      <c r="I492" s="4">
        <f>250*1126.6</f>
        <v>281650</v>
      </c>
      <c r="J492" s="4">
        <f>350*0</f>
        <v>0</v>
      </c>
      <c r="K492" s="12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1205.5</v>
      </c>
      <c r="R492" s="4">
        <f t="shared" ref="R492:R557" si="270">Q492*3000</f>
        <v>3616500</v>
      </c>
      <c r="S492" s="6">
        <v>0</v>
      </c>
      <c r="T492" s="6">
        <v>0</v>
      </c>
      <c r="U492" s="6">
        <v>100000</v>
      </c>
      <c r="V492" s="7" t="e">
        <f t="shared" ref="V492:V557" si="271">N492/M492</f>
        <v>#DIV/0!</v>
      </c>
    </row>
    <row r="493" spans="1:22" ht="21.95" customHeight="1" x14ac:dyDescent="0.25">
      <c r="A493" s="52" t="s">
        <v>1455</v>
      </c>
      <c r="B493" s="9" t="s">
        <v>577</v>
      </c>
      <c r="C493" s="3">
        <f t="shared" si="236"/>
        <v>1569600</v>
      </c>
      <c r="D493" s="4">
        <f t="shared" si="269"/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12">
        <v>0</v>
      </c>
      <c r="L493" s="6">
        <v>0</v>
      </c>
      <c r="M493" s="6">
        <v>267.2</v>
      </c>
      <c r="N493" s="4">
        <f t="shared" ref="N493:N501" si="272">M493*5500</f>
        <v>1469600</v>
      </c>
      <c r="O493" s="6">
        <v>0</v>
      </c>
      <c r="P493" s="6">
        <v>0</v>
      </c>
      <c r="Q493" s="6">
        <v>0</v>
      </c>
      <c r="R493" s="4">
        <f t="shared" si="270"/>
        <v>0</v>
      </c>
      <c r="S493" s="6">
        <v>0</v>
      </c>
      <c r="T493" s="6">
        <v>0</v>
      </c>
      <c r="U493" s="6">
        <v>100000</v>
      </c>
      <c r="V493" s="7">
        <f t="shared" si="271"/>
        <v>5500</v>
      </c>
    </row>
    <row r="494" spans="1:22" ht="21.95" customHeight="1" x14ac:dyDescent="0.25">
      <c r="A494" s="52" t="s">
        <v>1263</v>
      </c>
      <c r="B494" s="9" t="s">
        <v>578</v>
      </c>
      <c r="C494" s="3">
        <f t="shared" si="236"/>
        <v>1566949.9999999998</v>
      </c>
      <c r="D494" s="4">
        <f t="shared" si="269"/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12">
        <v>0</v>
      </c>
      <c r="L494" s="6">
        <v>0</v>
      </c>
      <c r="M494" s="6">
        <v>284.89999999999998</v>
      </c>
      <c r="N494" s="4">
        <f t="shared" si="272"/>
        <v>1566949.9999999998</v>
      </c>
      <c r="O494" s="6">
        <v>0</v>
      </c>
      <c r="P494" s="6">
        <v>0</v>
      </c>
      <c r="Q494" s="6">
        <v>0</v>
      </c>
      <c r="R494" s="4">
        <f t="shared" si="270"/>
        <v>0</v>
      </c>
      <c r="S494" s="6">
        <v>0</v>
      </c>
      <c r="T494" s="6">
        <v>0</v>
      </c>
      <c r="U494" s="6">
        <v>0</v>
      </c>
      <c r="V494" s="7">
        <f t="shared" si="271"/>
        <v>5500</v>
      </c>
    </row>
    <row r="495" spans="1:22" ht="21.95" customHeight="1" x14ac:dyDescent="0.25">
      <c r="A495" s="52" t="s">
        <v>1264</v>
      </c>
      <c r="B495" s="28" t="s">
        <v>579</v>
      </c>
      <c r="C495" s="3">
        <f t="shared" si="236"/>
        <v>1566949.9999999998</v>
      </c>
      <c r="D495" s="4">
        <f t="shared" si="269"/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12">
        <v>0</v>
      </c>
      <c r="L495" s="6">
        <v>0</v>
      </c>
      <c r="M495" s="6">
        <v>284.89999999999998</v>
      </c>
      <c r="N495" s="4">
        <f t="shared" si="272"/>
        <v>1566949.9999999998</v>
      </c>
      <c r="O495" s="6">
        <v>0</v>
      </c>
      <c r="P495" s="6">
        <v>0</v>
      </c>
      <c r="Q495" s="6">
        <v>0</v>
      </c>
      <c r="R495" s="4">
        <f t="shared" si="270"/>
        <v>0</v>
      </c>
      <c r="S495" s="6">
        <v>0</v>
      </c>
      <c r="T495" s="6">
        <v>0</v>
      </c>
      <c r="U495" s="6">
        <v>0</v>
      </c>
      <c r="V495" s="7">
        <f t="shared" si="271"/>
        <v>5500</v>
      </c>
    </row>
    <row r="496" spans="1:22" ht="21.95" customHeight="1" x14ac:dyDescent="0.25">
      <c r="A496" s="52" t="s">
        <v>1265</v>
      </c>
      <c r="B496" s="9" t="s">
        <v>428</v>
      </c>
      <c r="C496" s="3">
        <f t="shared" si="236"/>
        <v>2133400</v>
      </c>
      <c r="D496" s="4">
        <f t="shared" si="269"/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5">
        <v>0</v>
      </c>
      <c r="L496" s="4">
        <v>0</v>
      </c>
      <c r="M496" s="4">
        <v>278.8</v>
      </c>
      <c r="N496" s="4">
        <f t="shared" si="272"/>
        <v>1533400</v>
      </c>
      <c r="O496" s="4">
        <v>0</v>
      </c>
      <c r="P496" s="4">
        <v>0</v>
      </c>
      <c r="Q496" s="4">
        <v>200</v>
      </c>
      <c r="R496" s="4">
        <f t="shared" si="270"/>
        <v>600000</v>
      </c>
      <c r="S496" s="4">
        <v>0</v>
      </c>
      <c r="T496" s="6">
        <v>0</v>
      </c>
      <c r="U496" s="4">
        <v>0</v>
      </c>
      <c r="V496" s="7">
        <f t="shared" si="271"/>
        <v>5500</v>
      </c>
    </row>
    <row r="497" spans="1:22" ht="21.95" customHeight="1" x14ac:dyDescent="0.25">
      <c r="A497" s="52" t="s">
        <v>1266</v>
      </c>
      <c r="B497" s="28" t="s">
        <v>429</v>
      </c>
      <c r="C497" s="3">
        <f t="shared" si="236"/>
        <v>3789650</v>
      </c>
      <c r="D497" s="4">
        <f t="shared" si="269"/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5">
        <v>0</v>
      </c>
      <c r="L497" s="4">
        <v>0</v>
      </c>
      <c r="M497" s="4">
        <v>404.3</v>
      </c>
      <c r="N497" s="4">
        <f t="shared" si="272"/>
        <v>2223650</v>
      </c>
      <c r="O497" s="4">
        <v>0</v>
      </c>
      <c r="P497" s="4">
        <v>0</v>
      </c>
      <c r="Q497" s="4">
        <v>522</v>
      </c>
      <c r="R497" s="4">
        <f t="shared" si="270"/>
        <v>1566000</v>
      </c>
      <c r="S497" s="4">
        <v>0</v>
      </c>
      <c r="T497" s="6">
        <v>0</v>
      </c>
      <c r="U497" s="4">
        <v>0</v>
      </c>
      <c r="V497" s="7">
        <f t="shared" si="271"/>
        <v>5500</v>
      </c>
    </row>
    <row r="498" spans="1:22" ht="21.95" customHeight="1" x14ac:dyDescent="0.25">
      <c r="A498" s="52" t="s">
        <v>1267</v>
      </c>
      <c r="B498" s="28" t="s">
        <v>449</v>
      </c>
      <c r="C498" s="3">
        <f t="shared" si="236"/>
        <v>3492606</v>
      </c>
      <c r="D498" s="4">
        <f t="shared" si="269"/>
        <v>697856</v>
      </c>
      <c r="E498" s="4">
        <f>350*296.96</f>
        <v>103936</v>
      </c>
      <c r="F498" s="4">
        <f>1050*296.96</f>
        <v>311808</v>
      </c>
      <c r="G498" s="4">
        <f>300*296.96</f>
        <v>89088</v>
      </c>
      <c r="H498" s="4">
        <f>400*296.96</f>
        <v>118783.99999999999</v>
      </c>
      <c r="I498" s="4">
        <f>250*296.96</f>
        <v>74240</v>
      </c>
      <c r="J498" s="4">
        <f>350*0</f>
        <v>0</v>
      </c>
      <c r="K498" s="5">
        <v>0</v>
      </c>
      <c r="L498" s="4">
        <v>0</v>
      </c>
      <c r="M498" s="4">
        <v>214.5</v>
      </c>
      <c r="N498" s="4">
        <f t="shared" si="272"/>
        <v>1179750</v>
      </c>
      <c r="O498" s="4">
        <v>0</v>
      </c>
      <c r="P498" s="4">
        <v>0</v>
      </c>
      <c r="Q498" s="4">
        <v>505</v>
      </c>
      <c r="R498" s="4">
        <f t="shared" si="270"/>
        <v>1515000</v>
      </c>
      <c r="S498" s="4">
        <v>0</v>
      </c>
      <c r="T498" s="6">
        <v>0</v>
      </c>
      <c r="U498" s="4">
        <v>100000</v>
      </c>
      <c r="V498" s="7">
        <f t="shared" si="271"/>
        <v>5500</v>
      </c>
    </row>
    <row r="499" spans="1:22" ht="21.75" customHeight="1" x14ac:dyDescent="0.25">
      <c r="A499" s="52" t="s">
        <v>1268</v>
      </c>
      <c r="B499" s="9" t="s">
        <v>495</v>
      </c>
      <c r="C499" s="3">
        <f>D499+L499+N499+P499+R499+S499+T499+U499</f>
        <v>3559000</v>
      </c>
      <c r="D499" s="4">
        <f>SUM(E499:J499)</f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5">
        <v>0</v>
      </c>
      <c r="L499" s="4">
        <v>0</v>
      </c>
      <c r="M499" s="4">
        <v>250</v>
      </c>
      <c r="N499" s="4">
        <f>M499*5500</f>
        <v>1375000</v>
      </c>
      <c r="O499" s="4">
        <v>0</v>
      </c>
      <c r="P499" s="4">
        <v>0</v>
      </c>
      <c r="Q499" s="4">
        <v>728</v>
      </c>
      <c r="R499" s="4">
        <f>Q499*3000</f>
        <v>2184000</v>
      </c>
      <c r="S499" s="4">
        <v>0</v>
      </c>
      <c r="T499" s="6">
        <v>0</v>
      </c>
      <c r="U499" s="4">
        <v>0</v>
      </c>
      <c r="V499" s="7">
        <f>N499/M499</f>
        <v>5500</v>
      </c>
    </row>
    <row r="500" spans="1:22" ht="21.95" customHeight="1" x14ac:dyDescent="0.25">
      <c r="A500" s="52" t="s">
        <v>1269</v>
      </c>
      <c r="B500" s="9" t="s">
        <v>496</v>
      </c>
      <c r="C500" s="3">
        <f t="shared" si="236"/>
        <v>2029500</v>
      </c>
      <c r="D500" s="4">
        <f t="shared" si="269"/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5">
        <v>0</v>
      </c>
      <c r="L500" s="4">
        <v>0</v>
      </c>
      <c r="M500" s="4">
        <v>369</v>
      </c>
      <c r="N500" s="4">
        <f t="shared" si="272"/>
        <v>2029500</v>
      </c>
      <c r="O500" s="4">
        <v>0</v>
      </c>
      <c r="P500" s="4">
        <v>0</v>
      </c>
      <c r="Q500" s="4">
        <v>0</v>
      </c>
      <c r="R500" s="4">
        <f t="shared" si="270"/>
        <v>0</v>
      </c>
      <c r="S500" s="4">
        <v>0</v>
      </c>
      <c r="T500" s="6">
        <v>0</v>
      </c>
      <c r="U500" s="4">
        <v>0</v>
      </c>
      <c r="V500" s="7">
        <f t="shared" si="271"/>
        <v>5500</v>
      </c>
    </row>
    <row r="501" spans="1:22" ht="21.95" customHeight="1" x14ac:dyDescent="0.25">
      <c r="A501" s="52" t="s">
        <v>1270</v>
      </c>
      <c r="B501" s="9" t="s">
        <v>580</v>
      </c>
      <c r="C501" s="3">
        <f t="shared" si="236"/>
        <v>3033470</v>
      </c>
      <c r="D501" s="4">
        <f t="shared" si="269"/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12">
        <v>0</v>
      </c>
      <c r="L501" s="6">
        <v>0</v>
      </c>
      <c r="M501" s="6">
        <v>551.54</v>
      </c>
      <c r="N501" s="4">
        <f t="shared" si="272"/>
        <v>3033470</v>
      </c>
      <c r="O501" s="6">
        <v>0</v>
      </c>
      <c r="P501" s="6">
        <v>0</v>
      </c>
      <c r="Q501" s="6">
        <v>0</v>
      </c>
      <c r="R501" s="4">
        <f t="shared" si="270"/>
        <v>0</v>
      </c>
      <c r="S501" s="6">
        <v>0</v>
      </c>
      <c r="T501" s="6">
        <v>0</v>
      </c>
      <c r="U501" s="6">
        <v>0</v>
      </c>
      <c r="V501" s="7">
        <f t="shared" si="271"/>
        <v>5500</v>
      </c>
    </row>
    <row r="502" spans="1:22" ht="21.95" customHeight="1" x14ac:dyDescent="0.25">
      <c r="A502" s="52" t="s">
        <v>1271</v>
      </c>
      <c r="B502" s="28" t="s">
        <v>581</v>
      </c>
      <c r="C502" s="3">
        <f t="shared" si="236"/>
        <v>3913894.5</v>
      </c>
      <c r="D502" s="4">
        <f t="shared" si="269"/>
        <v>1893894.5</v>
      </c>
      <c r="E502" s="4">
        <f>350*801.87</f>
        <v>280654.5</v>
      </c>
      <c r="F502" s="4">
        <f>1050*801.87</f>
        <v>841963.5</v>
      </c>
      <c r="G502" s="4">
        <f>300*811.87</f>
        <v>243561</v>
      </c>
      <c r="H502" s="4">
        <f>400*811.87</f>
        <v>324748</v>
      </c>
      <c r="I502" s="4">
        <f>250*811.87</f>
        <v>202967.5</v>
      </c>
      <c r="J502" s="4">
        <f>350*0</f>
        <v>0</v>
      </c>
      <c r="K502" s="12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640</v>
      </c>
      <c r="R502" s="4">
        <f t="shared" si="270"/>
        <v>1920000</v>
      </c>
      <c r="S502" s="6">
        <v>0</v>
      </c>
      <c r="T502" s="6">
        <v>0</v>
      </c>
      <c r="U502" s="6">
        <v>100000</v>
      </c>
      <c r="V502" s="7" t="e">
        <f t="shared" si="271"/>
        <v>#DIV/0!</v>
      </c>
    </row>
    <row r="503" spans="1:22" ht="21.95" customHeight="1" x14ac:dyDescent="0.25">
      <c r="A503" s="52" t="s">
        <v>1272</v>
      </c>
      <c r="B503" s="9" t="s">
        <v>478</v>
      </c>
      <c r="C503" s="3">
        <f t="shared" si="236"/>
        <v>3396250</v>
      </c>
      <c r="D503" s="4">
        <f t="shared" si="269"/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5">
        <v>0</v>
      </c>
      <c r="L503" s="4">
        <v>0</v>
      </c>
      <c r="M503" s="4">
        <v>617.5</v>
      </c>
      <c r="N503" s="4">
        <f t="shared" ref="N503:N510" si="273">M503*5500</f>
        <v>3396250</v>
      </c>
      <c r="O503" s="4">
        <v>0</v>
      </c>
      <c r="P503" s="4">
        <v>0</v>
      </c>
      <c r="Q503" s="4">
        <v>0</v>
      </c>
      <c r="R503" s="4">
        <f t="shared" si="270"/>
        <v>0</v>
      </c>
      <c r="S503" s="4">
        <v>0</v>
      </c>
      <c r="T503" s="6">
        <v>0</v>
      </c>
      <c r="U503" s="4">
        <v>0</v>
      </c>
      <c r="V503" s="7">
        <f t="shared" si="271"/>
        <v>5500</v>
      </c>
    </row>
    <row r="504" spans="1:22" ht="21.95" customHeight="1" x14ac:dyDescent="0.25">
      <c r="A504" s="52" t="s">
        <v>1273</v>
      </c>
      <c r="B504" s="9" t="s">
        <v>497</v>
      </c>
      <c r="C504" s="3">
        <f t="shared" si="236"/>
        <v>3220300</v>
      </c>
      <c r="D504" s="4">
        <f t="shared" si="269"/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5">
        <v>0</v>
      </c>
      <c r="L504" s="4">
        <v>0</v>
      </c>
      <c r="M504" s="4">
        <v>394.6</v>
      </c>
      <c r="N504" s="4">
        <f t="shared" si="273"/>
        <v>2170300</v>
      </c>
      <c r="O504" s="4">
        <v>0</v>
      </c>
      <c r="P504" s="4">
        <v>0</v>
      </c>
      <c r="Q504" s="4">
        <v>350</v>
      </c>
      <c r="R504" s="4">
        <f t="shared" si="270"/>
        <v>1050000</v>
      </c>
      <c r="S504" s="4">
        <v>0</v>
      </c>
      <c r="T504" s="6">
        <v>0</v>
      </c>
      <c r="U504" s="4">
        <v>0</v>
      </c>
      <c r="V504" s="7">
        <f t="shared" si="271"/>
        <v>5500</v>
      </c>
    </row>
    <row r="505" spans="1:22" ht="21.95" customHeight="1" x14ac:dyDescent="0.25">
      <c r="A505" s="52" t="s">
        <v>1274</v>
      </c>
      <c r="B505" s="9" t="s">
        <v>582</v>
      </c>
      <c r="C505" s="3">
        <f t="shared" si="236"/>
        <v>1429449.9999999998</v>
      </c>
      <c r="D505" s="4">
        <f t="shared" si="269"/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12">
        <v>0</v>
      </c>
      <c r="L505" s="6">
        <v>0</v>
      </c>
      <c r="M505" s="6">
        <v>259.89999999999998</v>
      </c>
      <c r="N505" s="4">
        <f t="shared" si="273"/>
        <v>1429449.9999999998</v>
      </c>
      <c r="O505" s="6">
        <v>0</v>
      </c>
      <c r="P505" s="6">
        <v>0</v>
      </c>
      <c r="Q505" s="6">
        <v>0</v>
      </c>
      <c r="R505" s="4">
        <f t="shared" si="270"/>
        <v>0</v>
      </c>
      <c r="S505" s="6">
        <v>0</v>
      </c>
      <c r="T505" s="6">
        <v>0</v>
      </c>
      <c r="U505" s="6">
        <v>0</v>
      </c>
      <c r="V505" s="7">
        <f t="shared" si="271"/>
        <v>5500</v>
      </c>
    </row>
    <row r="506" spans="1:22" ht="21.95" customHeight="1" x14ac:dyDescent="0.25">
      <c r="A506" s="52" t="s">
        <v>1275</v>
      </c>
      <c r="B506" s="9" t="s">
        <v>583</v>
      </c>
      <c r="C506" s="3">
        <f t="shared" si="236"/>
        <v>1408000</v>
      </c>
      <c r="D506" s="4">
        <f t="shared" si="269"/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12">
        <v>0</v>
      </c>
      <c r="L506" s="6">
        <v>0</v>
      </c>
      <c r="M506" s="6">
        <v>256</v>
      </c>
      <c r="N506" s="4">
        <f t="shared" si="273"/>
        <v>1408000</v>
      </c>
      <c r="O506" s="6">
        <v>0</v>
      </c>
      <c r="P506" s="6">
        <v>0</v>
      </c>
      <c r="Q506" s="6">
        <v>0</v>
      </c>
      <c r="R506" s="4">
        <f t="shared" si="270"/>
        <v>0</v>
      </c>
      <c r="S506" s="6">
        <v>0</v>
      </c>
      <c r="T506" s="6">
        <v>0</v>
      </c>
      <c r="U506" s="6">
        <v>0</v>
      </c>
      <c r="V506" s="7">
        <f t="shared" si="271"/>
        <v>5500</v>
      </c>
    </row>
    <row r="507" spans="1:22" ht="21.95" customHeight="1" x14ac:dyDescent="0.25">
      <c r="A507" s="52" t="s">
        <v>1276</v>
      </c>
      <c r="B507" s="9" t="s">
        <v>420</v>
      </c>
      <c r="C507" s="3">
        <f t="shared" si="236"/>
        <v>3458950</v>
      </c>
      <c r="D507" s="4">
        <f t="shared" si="269"/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5">
        <v>0</v>
      </c>
      <c r="L507" s="4">
        <v>0</v>
      </c>
      <c r="M507" s="4">
        <v>628.9</v>
      </c>
      <c r="N507" s="4">
        <f t="shared" si="273"/>
        <v>3458950</v>
      </c>
      <c r="O507" s="4">
        <v>0</v>
      </c>
      <c r="P507" s="4">
        <v>0</v>
      </c>
      <c r="Q507" s="4">
        <v>0</v>
      </c>
      <c r="R507" s="4">
        <f t="shared" si="270"/>
        <v>0</v>
      </c>
      <c r="S507" s="4">
        <v>0</v>
      </c>
      <c r="T507" s="6">
        <v>0</v>
      </c>
      <c r="U507" s="4">
        <v>0</v>
      </c>
      <c r="V507" s="7">
        <f t="shared" si="271"/>
        <v>5500</v>
      </c>
    </row>
    <row r="508" spans="1:22" ht="21.95" customHeight="1" x14ac:dyDescent="0.25">
      <c r="A508" s="52" t="s">
        <v>1277</v>
      </c>
      <c r="B508" s="28" t="s">
        <v>584</v>
      </c>
      <c r="C508" s="3">
        <f t="shared" si="236"/>
        <v>3708649.9999999995</v>
      </c>
      <c r="D508" s="4">
        <f t="shared" si="269"/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12">
        <v>0</v>
      </c>
      <c r="L508" s="6">
        <v>0</v>
      </c>
      <c r="M508" s="6">
        <v>674.3</v>
      </c>
      <c r="N508" s="4">
        <f t="shared" si="273"/>
        <v>3708649.9999999995</v>
      </c>
      <c r="O508" s="6">
        <v>0</v>
      </c>
      <c r="P508" s="6">
        <v>0</v>
      </c>
      <c r="Q508" s="6">
        <v>0</v>
      </c>
      <c r="R508" s="4">
        <f t="shared" si="270"/>
        <v>0</v>
      </c>
      <c r="S508" s="6">
        <v>0</v>
      </c>
      <c r="T508" s="6">
        <v>0</v>
      </c>
      <c r="U508" s="6">
        <v>0</v>
      </c>
      <c r="V508" s="7">
        <f t="shared" si="271"/>
        <v>5500</v>
      </c>
    </row>
    <row r="509" spans="1:22" ht="21.95" customHeight="1" x14ac:dyDescent="0.25">
      <c r="A509" s="52" t="s">
        <v>1278</v>
      </c>
      <c r="B509" s="28" t="s">
        <v>479</v>
      </c>
      <c r="C509" s="3">
        <f t="shared" si="236"/>
        <v>6574200</v>
      </c>
      <c r="D509" s="4">
        <f t="shared" si="269"/>
        <v>1458600</v>
      </c>
      <c r="E509" s="4">
        <f>350*748</f>
        <v>261800</v>
      </c>
      <c r="F509" s="4">
        <f>1050*748</f>
        <v>785400</v>
      </c>
      <c r="G509" s="4">
        <f>300*748</f>
        <v>224400</v>
      </c>
      <c r="H509" s="4">
        <f>400*0</f>
        <v>0</v>
      </c>
      <c r="I509" s="4">
        <f>250*748</f>
        <v>187000</v>
      </c>
      <c r="J509" s="4">
        <f>350*0</f>
        <v>0</v>
      </c>
      <c r="K509" s="5">
        <v>0</v>
      </c>
      <c r="L509" s="4">
        <v>0</v>
      </c>
      <c r="M509" s="4">
        <v>639.20000000000005</v>
      </c>
      <c r="N509" s="4">
        <f t="shared" si="273"/>
        <v>3515600.0000000005</v>
      </c>
      <c r="O509" s="4">
        <v>0</v>
      </c>
      <c r="P509" s="4">
        <v>0</v>
      </c>
      <c r="Q509" s="4">
        <v>500</v>
      </c>
      <c r="R509" s="4">
        <f t="shared" si="270"/>
        <v>1500000</v>
      </c>
      <c r="S509" s="4">
        <v>0</v>
      </c>
      <c r="T509" s="6">
        <v>0</v>
      </c>
      <c r="U509" s="4">
        <v>100000</v>
      </c>
      <c r="V509" s="7">
        <f t="shared" si="271"/>
        <v>5500</v>
      </c>
    </row>
    <row r="510" spans="1:22" ht="21.95" customHeight="1" x14ac:dyDescent="0.25">
      <c r="A510" s="52" t="s">
        <v>1279</v>
      </c>
      <c r="B510" s="9" t="s">
        <v>585</v>
      </c>
      <c r="C510" s="3">
        <f t="shared" si="236"/>
        <v>1438800.0000000002</v>
      </c>
      <c r="D510" s="4">
        <f t="shared" si="269"/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12">
        <v>0</v>
      </c>
      <c r="L510" s="6">
        <v>0</v>
      </c>
      <c r="M510" s="6">
        <v>261.60000000000002</v>
      </c>
      <c r="N510" s="4">
        <f t="shared" si="273"/>
        <v>1438800.0000000002</v>
      </c>
      <c r="O510" s="6">
        <v>0</v>
      </c>
      <c r="P510" s="6">
        <v>0</v>
      </c>
      <c r="Q510" s="6">
        <v>0</v>
      </c>
      <c r="R510" s="4">
        <f t="shared" si="270"/>
        <v>0</v>
      </c>
      <c r="S510" s="6">
        <v>0</v>
      </c>
      <c r="T510" s="6">
        <v>0</v>
      </c>
      <c r="U510" s="6">
        <v>0</v>
      </c>
      <c r="V510" s="7">
        <f t="shared" si="271"/>
        <v>5500</v>
      </c>
    </row>
    <row r="511" spans="1:22" ht="21.95" customHeight="1" x14ac:dyDescent="0.25">
      <c r="A511" s="52" t="s">
        <v>1280</v>
      </c>
      <c r="B511" s="9" t="s">
        <v>400</v>
      </c>
      <c r="C511" s="3">
        <f>D511+L511+N511+P511+R511+S511+T511+U511</f>
        <v>5991710</v>
      </c>
      <c r="D511" s="4">
        <f>SUM(E511:J511)</f>
        <v>2135210</v>
      </c>
      <c r="E511" s="4">
        <f>350*908.6</f>
        <v>318010</v>
      </c>
      <c r="F511" s="4">
        <f>908.6*800</f>
        <v>726880</v>
      </c>
      <c r="G511" s="4">
        <f>908.6*300</f>
        <v>272580</v>
      </c>
      <c r="H511" s="4">
        <f>908.6*500</f>
        <v>454300</v>
      </c>
      <c r="I511" s="4">
        <f>908.6*400</f>
        <v>363440</v>
      </c>
      <c r="J511" s="4">
        <f>350*0</f>
        <v>0</v>
      </c>
      <c r="K511" s="5">
        <v>0</v>
      </c>
      <c r="L511" s="4">
        <v>0</v>
      </c>
      <c r="M511" s="4">
        <v>683</v>
      </c>
      <c r="N511" s="4">
        <f>M511*5500</f>
        <v>3756500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100000</v>
      </c>
      <c r="V511" s="7">
        <f>N511/M511</f>
        <v>5500</v>
      </c>
    </row>
    <row r="512" spans="1:22" ht="21.95" customHeight="1" x14ac:dyDescent="0.25">
      <c r="A512" s="52" t="s">
        <v>1606</v>
      </c>
      <c r="B512" s="9" t="s">
        <v>586</v>
      </c>
      <c r="C512" s="3">
        <f t="shared" si="236"/>
        <v>7258550</v>
      </c>
      <c r="D512" s="4">
        <f t="shared" si="269"/>
        <v>3978550</v>
      </c>
      <c r="E512" s="4">
        <f>350*1693</f>
        <v>592550</v>
      </c>
      <c r="F512" s="4">
        <f>1050*1693</f>
        <v>1777650</v>
      </c>
      <c r="G512" s="4">
        <f>300*1693</f>
        <v>507900</v>
      </c>
      <c r="H512" s="4">
        <f>400*1693</f>
        <v>677200</v>
      </c>
      <c r="I512" s="4">
        <f>250*1693</f>
        <v>423250</v>
      </c>
      <c r="J512" s="4">
        <f>350*0</f>
        <v>0</v>
      </c>
      <c r="K512" s="12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1060</v>
      </c>
      <c r="R512" s="4">
        <f t="shared" si="270"/>
        <v>3180000</v>
      </c>
      <c r="S512" s="6">
        <v>0</v>
      </c>
      <c r="T512" s="6">
        <v>0</v>
      </c>
      <c r="U512" s="6">
        <v>100000</v>
      </c>
      <c r="V512" s="7" t="e">
        <f t="shared" si="271"/>
        <v>#DIV/0!</v>
      </c>
    </row>
    <row r="513" spans="1:22" ht="21.95" customHeight="1" x14ac:dyDescent="0.25">
      <c r="A513" s="52" t="s">
        <v>1607</v>
      </c>
      <c r="B513" s="9" t="s">
        <v>391</v>
      </c>
      <c r="C513" s="3">
        <f t="shared" si="236"/>
        <v>2938612</v>
      </c>
      <c r="D513" s="4">
        <f t="shared" si="269"/>
        <v>2838612</v>
      </c>
      <c r="E513" s="4">
        <f>350*1207.92</f>
        <v>422772</v>
      </c>
      <c r="F513" s="4">
        <f>1050*1207.92</f>
        <v>1268316</v>
      </c>
      <c r="G513" s="4">
        <f>300*1207.92</f>
        <v>362376</v>
      </c>
      <c r="H513" s="4">
        <f>400*1207.92</f>
        <v>483168</v>
      </c>
      <c r="I513" s="4">
        <f>250*1207.92</f>
        <v>301980</v>
      </c>
      <c r="J513" s="4">
        <f>350*0</f>
        <v>0</v>
      </c>
      <c r="K513" s="5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f t="shared" si="270"/>
        <v>0</v>
      </c>
      <c r="S513" s="4">
        <v>0</v>
      </c>
      <c r="T513" s="4">
        <v>0</v>
      </c>
      <c r="U513" s="4">
        <v>100000</v>
      </c>
      <c r="V513" s="7" t="e">
        <f t="shared" si="271"/>
        <v>#DIV/0!</v>
      </c>
    </row>
    <row r="514" spans="1:22" ht="21.95" customHeight="1" x14ac:dyDescent="0.25">
      <c r="A514" s="52" t="s">
        <v>1608</v>
      </c>
      <c r="B514" s="9" t="s">
        <v>441</v>
      </c>
      <c r="C514" s="3">
        <f t="shared" si="236"/>
        <v>1837000</v>
      </c>
      <c r="D514" s="4">
        <f t="shared" si="269"/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5">
        <v>0</v>
      </c>
      <c r="L514" s="4">
        <v>0</v>
      </c>
      <c r="M514" s="4">
        <v>334</v>
      </c>
      <c r="N514" s="4">
        <f t="shared" ref="N514:N523" si="274">M514*5500</f>
        <v>1837000</v>
      </c>
      <c r="O514" s="4">
        <v>0</v>
      </c>
      <c r="P514" s="4">
        <v>0</v>
      </c>
      <c r="Q514" s="4">
        <v>0</v>
      </c>
      <c r="R514" s="4">
        <f t="shared" si="270"/>
        <v>0</v>
      </c>
      <c r="S514" s="4">
        <v>0</v>
      </c>
      <c r="T514" s="6">
        <v>0</v>
      </c>
      <c r="U514" s="4">
        <v>0</v>
      </c>
      <c r="V514" s="7">
        <f t="shared" si="271"/>
        <v>5500</v>
      </c>
    </row>
    <row r="515" spans="1:22" ht="21.95" customHeight="1" x14ac:dyDescent="0.25">
      <c r="A515" s="52" t="s">
        <v>1609</v>
      </c>
      <c r="B515" s="9" t="s">
        <v>442</v>
      </c>
      <c r="C515" s="3">
        <f t="shared" si="236"/>
        <v>1848000</v>
      </c>
      <c r="D515" s="4">
        <f t="shared" si="269"/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5">
        <v>0</v>
      </c>
      <c r="L515" s="4">
        <v>0</v>
      </c>
      <c r="M515" s="4">
        <v>336</v>
      </c>
      <c r="N515" s="4">
        <f t="shared" si="274"/>
        <v>1848000</v>
      </c>
      <c r="O515" s="4">
        <v>0</v>
      </c>
      <c r="P515" s="4">
        <v>0</v>
      </c>
      <c r="Q515" s="4">
        <v>0</v>
      </c>
      <c r="R515" s="4">
        <f t="shared" si="270"/>
        <v>0</v>
      </c>
      <c r="S515" s="4">
        <v>0</v>
      </c>
      <c r="T515" s="6">
        <v>0</v>
      </c>
      <c r="U515" s="4">
        <v>0</v>
      </c>
      <c r="V515" s="7">
        <f t="shared" si="271"/>
        <v>5500</v>
      </c>
    </row>
    <row r="516" spans="1:22" ht="21.95" customHeight="1" x14ac:dyDescent="0.25">
      <c r="A516" s="52" t="s">
        <v>1610</v>
      </c>
      <c r="B516" s="9" t="s">
        <v>587</v>
      </c>
      <c r="C516" s="3">
        <f t="shared" si="236"/>
        <v>3107500</v>
      </c>
      <c r="D516" s="4">
        <f t="shared" si="269"/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12">
        <v>0</v>
      </c>
      <c r="L516" s="6">
        <v>0</v>
      </c>
      <c r="M516" s="6">
        <v>565</v>
      </c>
      <c r="N516" s="4">
        <f t="shared" si="274"/>
        <v>3107500</v>
      </c>
      <c r="O516" s="6">
        <v>0</v>
      </c>
      <c r="P516" s="6">
        <v>0</v>
      </c>
      <c r="Q516" s="6">
        <v>0</v>
      </c>
      <c r="R516" s="4">
        <f t="shared" si="270"/>
        <v>0</v>
      </c>
      <c r="S516" s="6">
        <v>0</v>
      </c>
      <c r="T516" s="6">
        <v>0</v>
      </c>
      <c r="U516" s="6">
        <v>0</v>
      </c>
      <c r="V516" s="7">
        <f t="shared" si="271"/>
        <v>5500</v>
      </c>
    </row>
    <row r="517" spans="1:22" ht="21.95" customHeight="1" x14ac:dyDescent="0.25">
      <c r="A517" s="52" t="s">
        <v>1281</v>
      </c>
      <c r="B517" s="9" t="s">
        <v>1379</v>
      </c>
      <c r="C517" s="3">
        <f t="shared" si="236"/>
        <v>1548360</v>
      </c>
      <c r="D517" s="4">
        <f t="shared" si="269"/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12">
        <v>0</v>
      </c>
      <c r="L517" s="6">
        <v>0</v>
      </c>
      <c r="M517" s="6">
        <v>281.52</v>
      </c>
      <c r="N517" s="4">
        <f t="shared" si="274"/>
        <v>1548360</v>
      </c>
      <c r="O517" s="6">
        <v>0</v>
      </c>
      <c r="P517" s="6">
        <v>0</v>
      </c>
      <c r="Q517" s="6">
        <v>0</v>
      </c>
      <c r="R517" s="4">
        <f t="shared" si="270"/>
        <v>0</v>
      </c>
      <c r="S517" s="6">
        <v>0</v>
      </c>
      <c r="T517" s="6">
        <v>0</v>
      </c>
      <c r="U517" s="6">
        <v>0</v>
      </c>
      <c r="V517" s="7">
        <f t="shared" si="271"/>
        <v>5500</v>
      </c>
    </row>
    <row r="518" spans="1:22" ht="21.95" customHeight="1" x14ac:dyDescent="0.25">
      <c r="A518" s="52" t="s">
        <v>1282</v>
      </c>
      <c r="B518" s="9" t="s">
        <v>397</v>
      </c>
      <c r="C518" s="3">
        <f t="shared" si="236"/>
        <v>3380200</v>
      </c>
      <c r="D518" s="4">
        <f t="shared" si="269"/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5">
        <v>0</v>
      </c>
      <c r="L518" s="4">
        <v>0</v>
      </c>
      <c r="M518" s="4">
        <v>394</v>
      </c>
      <c r="N518" s="4">
        <f t="shared" si="274"/>
        <v>2167000</v>
      </c>
      <c r="O518" s="4">
        <v>0</v>
      </c>
      <c r="P518" s="4">
        <v>0</v>
      </c>
      <c r="Q518" s="4">
        <v>404.4</v>
      </c>
      <c r="R518" s="4">
        <f t="shared" si="270"/>
        <v>1213200</v>
      </c>
      <c r="S518" s="4">
        <v>0</v>
      </c>
      <c r="T518" s="6">
        <v>0</v>
      </c>
      <c r="U518" s="4">
        <v>0</v>
      </c>
      <c r="V518" s="7">
        <f t="shared" si="271"/>
        <v>5500</v>
      </c>
    </row>
    <row r="519" spans="1:22" ht="21.95" customHeight="1" x14ac:dyDescent="0.25">
      <c r="A519" s="52" t="s">
        <v>1283</v>
      </c>
      <c r="B519" s="9" t="s">
        <v>511</v>
      </c>
      <c r="C519" s="3">
        <f t="shared" si="236"/>
        <v>2577000</v>
      </c>
      <c r="D519" s="4">
        <f t="shared" si="269"/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12">
        <v>0</v>
      </c>
      <c r="L519" s="6">
        <v>0</v>
      </c>
      <c r="M519" s="6">
        <v>270</v>
      </c>
      <c r="N519" s="4">
        <f t="shared" si="274"/>
        <v>1485000</v>
      </c>
      <c r="O519" s="6">
        <v>0</v>
      </c>
      <c r="P519" s="6">
        <v>0</v>
      </c>
      <c r="Q519" s="6">
        <v>364</v>
      </c>
      <c r="R519" s="4">
        <f t="shared" si="270"/>
        <v>1092000</v>
      </c>
      <c r="S519" s="6">
        <v>0</v>
      </c>
      <c r="T519" s="6">
        <v>0</v>
      </c>
      <c r="U519" s="6">
        <v>0</v>
      </c>
      <c r="V519" s="7">
        <f t="shared" si="271"/>
        <v>5500</v>
      </c>
    </row>
    <row r="520" spans="1:22" ht="21.95" customHeight="1" x14ac:dyDescent="0.25">
      <c r="A520" s="52" t="s">
        <v>1284</v>
      </c>
      <c r="B520" s="9" t="s">
        <v>588</v>
      </c>
      <c r="C520" s="3">
        <f t="shared" si="236"/>
        <v>1523500</v>
      </c>
      <c r="D520" s="4">
        <f t="shared" si="269"/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12">
        <v>0</v>
      </c>
      <c r="L520" s="6">
        <v>0</v>
      </c>
      <c r="M520" s="6">
        <v>277</v>
      </c>
      <c r="N520" s="4">
        <f t="shared" si="274"/>
        <v>1523500</v>
      </c>
      <c r="O520" s="6">
        <v>0</v>
      </c>
      <c r="P520" s="6">
        <v>0</v>
      </c>
      <c r="Q520" s="6">
        <v>0</v>
      </c>
      <c r="R520" s="4">
        <f t="shared" si="270"/>
        <v>0</v>
      </c>
      <c r="S520" s="6">
        <v>0</v>
      </c>
      <c r="T520" s="6">
        <v>0</v>
      </c>
      <c r="U520" s="6">
        <v>0</v>
      </c>
      <c r="V520" s="7">
        <f t="shared" si="271"/>
        <v>5500</v>
      </c>
    </row>
    <row r="521" spans="1:22" ht="21.95" customHeight="1" x14ac:dyDescent="0.25">
      <c r="A521" s="52" t="s">
        <v>1285</v>
      </c>
      <c r="B521" s="9" t="s">
        <v>684</v>
      </c>
      <c r="C521" s="3">
        <f t="shared" si="236"/>
        <v>730950</v>
      </c>
      <c r="D521" s="4">
        <f t="shared" si="269"/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5">
        <v>0</v>
      </c>
      <c r="L521" s="4">
        <v>0</v>
      </c>
      <c r="M521" s="4">
        <v>132.9</v>
      </c>
      <c r="N521" s="4">
        <f t="shared" si="274"/>
        <v>730950</v>
      </c>
      <c r="O521" s="4">
        <v>0</v>
      </c>
      <c r="P521" s="4">
        <v>0</v>
      </c>
      <c r="Q521" s="4">
        <v>0</v>
      </c>
      <c r="R521" s="4">
        <f t="shared" si="270"/>
        <v>0</v>
      </c>
      <c r="S521" s="4">
        <v>0</v>
      </c>
      <c r="T521" s="6">
        <v>0</v>
      </c>
      <c r="U521" s="4">
        <v>0</v>
      </c>
      <c r="V521" s="7">
        <f t="shared" si="271"/>
        <v>5500</v>
      </c>
    </row>
    <row r="522" spans="1:22" ht="21.95" customHeight="1" x14ac:dyDescent="0.25">
      <c r="A522" s="52" t="s">
        <v>1286</v>
      </c>
      <c r="B522" s="9" t="s">
        <v>512</v>
      </c>
      <c r="C522" s="3">
        <f t="shared" si="236"/>
        <v>1549900</v>
      </c>
      <c r="D522" s="4">
        <f t="shared" si="269"/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12">
        <v>0</v>
      </c>
      <c r="L522" s="6">
        <v>0</v>
      </c>
      <c r="M522" s="6">
        <v>281.8</v>
      </c>
      <c r="N522" s="4">
        <f t="shared" si="274"/>
        <v>1549900</v>
      </c>
      <c r="O522" s="6">
        <v>0</v>
      </c>
      <c r="P522" s="6">
        <v>0</v>
      </c>
      <c r="Q522" s="6">
        <v>0</v>
      </c>
      <c r="R522" s="4">
        <f t="shared" si="270"/>
        <v>0</v>
      </c>
      <c r="S522" s="6">
        <v>0</v>
      </c>
      <c r="T522" s="6">
        <v>0</v>
      </c>
      <c r="U522" s="6">
        <v>0</v>
      </c>
      <c r="V522" s="7">
        <f t="shared" si="271"/>
        <v>5500</v>
      </c>
    </row>
    <row r="523" spans="1:22" ht="21.95" customHeight="1" x14ac:dyDescent="0.25">
      <c r="A523" s="52" t="s">
        <v>1287</v>
      </c>
      <c r="B523" s="9" t="s">
        <v>589</v>
      </c>
      <c r="C523" s="3">
        <f t="shared" si="236"/>
        <v>2816000</v>
      </c>
      <c r="D523" s="4">
        <f t="shared" si="269"/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12">
        <v>0</v>
      </c>
      <c r="L523" s="6">
        <v>0</v>
      </c>
      <c r="M523" s="6">
        <v>512</v>
      </c>
      <c r="N523" s="4">
        <f t="shared" si="274"/>
        <v>2816000</v>
      </c>
      <c r="O523" s="6">
        <v>0</v>
      </c>
      <c r="P523" s="6">
        <v>0</v>
      </c>
      <c r="Q523" s="6">
        <v>0</v>
      </c>
      <c r="R523" s="4">
        <f t="shared" si="270"/>
        <v>0</v>
      </c>
      <c r="S523" s="6">
        <v>0</v>
      </c>
      <c r="T523" s="6">
        <v>0</v>
      </c>
      <c r="U523" s="6">
        <v>0</v>
      </c>
      <c r="V523" s="7">
        <f t="shared" si="271"/>
        <v>5500</v>
      </c>
    </row>
    <row r="524" spans="1:22" ht="21.95" customHeight="1" x14ac:dyDescent="0.25">
      <c r="A524" s="52" t="s">
        <v>1288</v>
      </c>
      <c r="B524" s="9" t="s">
        <v>464</v>
      </c>
      <c r="C524" s="3">
        <f t="shared" si="236"/>
        <v>4736960</v>
      </c>
      <c r="D524" s="4">
        <f t="shared" ref="D524" si="275">SUM(E524:J524)</f>
        <v>4736960</v>
      </c>
      <c r="E524" s="4">
        <v>0</v>
      </c>
      <c r="F524" s="4">
        <f>800*5921.2</f>
        <v>4736960</v>
      </c>
      <c r="G524" s="4">
        <v>0</v>
      </c>
      <c r="H524" s="4">
        <f>500*0</f>
        <v>0</v>
      </c>
      <c r="I524" s="4">
        <v>0</v>
      </c>
      <c r="J524" s="4">
        <f>350*0</f>
        <v>0</v>
      </c>
      <c r="K524" s="5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7" t="e">
        <f t="shared" si="271"/>
        <v>#DIV/0!</v>
      </c>
    </row>
    <row r="525" spans="1:22" ht="21.95" customHeight="1" x14ac:dyDescent="0.25">
      <c r="A525" s="52" t="s">
        <v>1289</v>
      </c>
      <c r="B525" s="28" t="s">
        <v>590</v>
      </c>
      <c r="C525" s="3">
        <f t="shared" si="236"/>
        <v>4923305.5</v>
      </c>
      <c r="D525" s="4">
        <f t="shared" si="269"/>
        <v>4823305.5</v>
      </c>
      <c r="E525" s="4">
        <f>350*2473.49</f>
        <v>865721.49999999988</v>
      </c>
      <c r="F525" s="4">
        <f>1050*2473.49</f>
        <v>2597164.5</v>
      </c>
      <c r="G525" s="4">
        <f>300*2473.49</f>
        <v>742046.99999999988</v>
      </c>
      <c r="H525" s="4">
        <v>0</v>
      </c>
      <c r="I525" s="4">
        <f>250*2473.49</f>
        <v>618372.5</v>
      </c>
      <c r="J525" s="4">
        <f>350*0</f>
        <v>0</v>
      </c>
      <c r="K525" s="12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4">
        <f t="shared" si="270"/>
        <v>0</v>
      </c>
      <c r="S525" s="6">
        <v>0</v>
      </c>
      <c r="T525" s="6">
        <v>0</v>
      </c>
      <c r="U525" s="6">
        <v>100000</v>
      </c>
      <c r="V525" s="7" t="e">
        <f t="shared" si="271"/>
        <v>#DIV/0!</v>
      </c>
    </row>
    <row r="526" spans="1:22" ht="21.95" customHeight="1" x14ac:dyDescent="0.25">
      <c r="A526" s="52" t="s">
        <v>1290</v>
      </c>
      <c r="B526" s="9" t="s">
        <v>591</v>
      </c>
      <c r="C526" s="3">
        <f t="shared" si="236"/>
        <v>2546080</v>
      </c>
      <c r="D526" s="4">
        <f t="shared" si="269"/>
        <v>2446080</v>
      </c>
      <c r="E526" s="4">
        <f>350*1254.4</f>
        <v>439040.00000000006</v>
      </c>
      <c r="F526" s="4">
        <f>1050*1254.4</f>
        <v>1317120</v>
      </c>
      <c r="G526" s="4">
        <f>300*1254.4</f>
        <v>376320</v>
      </c>
      <c r="H526" s="4">
        <v>0</v>
      </c>
      <c r="I526" s="4">
        <f>250*1254.4</f>
        <v>313600</v>
      </c>
      <c r="J526" s="4">
        <f>350*0</f>
        <v>0</v>
      </c>
      <c r="K526" s="12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4">
        <f t="shared" si="270"/>
        <v>0</v>
      </c>
      <c r="S526" s="6">
        <v>0</v>
      </c>
      <c r="T526" s="6">
        <v>0</v>
      </c>
      <c r="U526" s="6">
        <v>100000</v>
      </c>
      <c r="V526" s="7" t="e">
        <f t="shared" si="271"/>
        <v>#DIV/0!</v>
      </c>
    </row>
    <row r="527" spans="1:22" ht="21.95" customHeight="1" x14ac:dyDescent="0.25">
      <c r="A527" s="52" t="s">
        <v>1291</v>
      </c>
      <c r="B527" s="28" t="s">
        <v>1221</v>
      </c>
      <c r="C527" s="3">
        <f t="shared" ref="C527:C591" si="276">D527+L527+N527+P527+R527+S527+T527+U527</f>
        <v>3480500</v>
      </c>
      <c r="D527" s="4">
        <f t="shared" si="269"/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12">
        <v>0</v>
      </c>
      <c r="L527" s="6">
        <v>0</v>
      </c>
      <c r="M527" s="6">
        <v>371</v>
      </c>
      <c r="N527" s="4">
        <f t="shared" ref="N527:N532" si="277">M527*5500</f>
        <v>2040500</v>
      </c>
      <c r="O527" s="6">
        <v>0</v>
      </c>
      <c r="P527" s="6">
        <v>0</v>
      </c>
      <c r="Q527" s="6">
        <v>480</v>
      </c>
      <c r="R527" s="4">
        <f t="shared" si="270"/>
        <v>1440000</v>
      </c>
      <c r="S527" s="6">
        <v>0</v>
      </c>
      <c r="T527" s="6">
        <v>0</v>
      </c>
      <c r="U527" s="6">
        <v>0</v>
      </c>
      <c r="V527" s="7">
        <f t="shared" si="271"/>
        <v>5500</v>
      </c>
    </row>
    <row r="528" spans="1:22" ht="21.95" customHeight="1" x14ac:dyDescent="0.25">
      <c r="A528" s="52" t="s">
        <v>1292</v>
      </c>
      <c r="B528" s="28" t="s">
        <v>430</v>
      </c>
      <c r="C528" s="3">
        <f t="shared" si="276"/>
        <v>2200000</v>
      </c>
      <c r="D528" s="4">
        <f t="shared" si="269"/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5">
        <v>0</v>
      </c>
      <c r="L528" s="4">
        <v>0</v>
      </c>
      <c r="M528" s="4">
        <v>400</v>
      </c>
      <c r="N528" s="4">
        <f t="shared" si="277"/>
        <v>2200000</v>
      </c>
      <c r="O528" s="4">
        <v>0</v>
      </c>
      <c r="P528" s="4">
        <v>0</v>
      </c>
      <c r="Q528" s="4">
        <v>0</v>
      </c>
      <c r="R528" s="4">
        <f t="shared" si="270"/>
        <v>0</v>
      </c>
      <c r="S528" s="4">
        <v>0</v>
      </c>
      <c r="T528" s="6">
        <v>0</v>
      </c>
      <c r="U528" s="4">
        <v>0</v>
      </c>
      <c r="V528" s="7">
        <f t="shared" si="271"/>
        <v>5500</v>
      </c>
    </row>
    <row r="529" spans="1:22" ht="21.95" customHeight="1" x14ac:dyDescent="0.25">
      <c r="A529" s="52" t="s">
        <v>1293</v>
      </c>
      <c r="B529" s="28" t="s">
        <v>435</v>
      </c>
      <c r="C529" s="3">
        <f t="shared" si="276"/>
        <v>3762000</v>
      </c>
      <c r="D529" s="4">
        <f t="shared" si="269"/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5">
        <v>0</v>
      </c>
      <c r="L529" s="4">
        <v>0</v>
      </c>
      <c r="M529" s="4">
        <v>402</v>
      </c>
      <c r="N529" s="4">
        <f t="shared" si="277"/>
        <v>2211000</v>
      </c>
      <c r="O529" s="4">
        <v>0</v>
      </c>
      <c r="P529" s="4">
        <v>0</v>
      </c>
      <c r="Q529" s="4">
        <v>517</v>
      </c>
      <c r="R529" s="4">
        <f t="shared" si="270"/>
        <v>1551000</v>
      </c>
      <c r="S529" s="4">
        <v>0</v>
      </c>
      <c r="T529" s="6">
        <v>0</v>
      </c>
      <c r="U529" s="4">
        <v>0</v>
      </c>
      <c r="V529" s="7">
        <f t="shared" si="271"/>
        <v>5500</v>
      </c>
    </row>
    <row r="530" spans="1:22" ht="21.95" customHeight="1" x14ac:dyDescent="0.25">
      <c r="A530" s="52" t="s">
        <v>1294</v>
      </c>
      <c r="B530" s="28" t="s">
        <v>513</v>
      </c>
      <c r="C530" s="3">
        <f t="shared" si="276"/>
        <v>2612500</v>
      </c>
      <c r="D530" s="4">
        <f t="shared" si="269"/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12">
        <v>0</v>
      </c>
      <c r="L530" s="6">
        <v>0</v>
      </c>
      <c r="M530" s="6">
        <v>475</v>
      </c>
      <c r="N530" s="4">
        <f t="shared" si="277"/>
        <v>2612500</v>
      </c>
      <c r="O530" s="6">
        <v>0</v>
      </c>
      <c r="P530" s="6">
        <v>0</v>
      </c>
      <c r="Q530" s="6">
        <v>0</v>
      </c>
      <c r="R530" s="4">
        <f t="shared" si="270"/>
        <v>0</v>
      </c>
      <c r="S530" s="6">
        <v>0</v>
      </c>
      <c r="T530" s="6">
        <v>0</v>
      </c>
      <c r="U530" s="6">
        <v>0</v>
      </c>
      <c r="V530" s="7">
        <f t="shared" si="271"/>
        <v>5500</v>
      </c>
    </row>
    <row r="531" spans="1:22" ht="21.95" customHeight="1" x14ac:dyDescent="0.25">
      <c r="A531" s="52" t="s">
        <v>1295</v>
      </c>
      <c r="B531" s="28" t="s">
        <v>465</v>
      </c>
      <c r="C531" s="3">
        <f t="shared" si="276"/>
        <v>1930500</v>
      </c>
      <c r="D531" s="4">
        <f t="shared" si="269"/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5">
        <v>0</v>
      </c>
      <c r="L531" s="4">
        <v>0</v>
      </c>
      <c r="M531" s="4">
        <v>351</v>
      </c>
      <c r="N531" s="4">
        <f t="shared" si="277"/>
        <v>1930500</v>
      </c>
      <c r="O531" s="4">
        <v>0</v>
      </c>
      <c r="P531" s="4">
        <v>0</v>
      </c>
      <c r="Q531" s="4">
        <v>0</v>
      </c>
      <c r="R531" s="4">
        <f t="shared" si="270"/>
        <v>0</v>
      </c>
      <c r="S531" s="4">
        <v>0</v>
      </c>
      <c r="T531" s="6">
        <v>0</v>
      </c>
      <c r="U531" s="4">
        <v>0</v>
      </c>
      <c r="V531" s="7">
        <f t="shared" si="271"/>
        <v>5500</v>
      </c>
    </row>
    <row r="532" spans="1:22" ht="31.5" x14ac:dyDescent="0.25">
      <c r="A532" s="52" t="s">
        <v>1296</v>
      </c>
      <c r="B532" s="9" t="s">
        <v>1449</v>
      </c>
      <c r="C532" s="3">
        <f t="shared" si="276"/>
        <v>5197500</v>
      </c>
      <c r="D532" s="4">
        <f t="shared" si="269"/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12">
        <v>0</v>
      </c>
      <c r="L532" s="6">
        <v>0</v>
      </c>
      <c r="M532" s="6">
        <v>945</v>
      </c>
      <c r="N532" s="4">
        <f t="shared" si="277"/>
        <v>5197500</v>
      </c>
      <c r="O532" s="6">
        <v>0</v>
      </c>
      <c r="P532" s="6">
        <v>0</v>
      </c>
      <c r="Q532" s="6">
        <v>0</v>
      </c>
      <c r="R532" s="4">
        <f t="shared" si="270"/>
        <v>0</v>
      </c>
      <c r="S532" s="6">
        <v>0</v>
      </c>
      <c r="T532" s="6">
        <v>0</v>
      </c>
      <c r="U532" s="6">
        <v>0</v>
      </c>
      <c r="V532" s="7">
        <f t="shared" si="271"/>
        <v>5500</v>
      </c>
    </row>
    <row r="533" spans="1:22" ht="21.95" customHeight="1" x14ac:dyDescent="0.25">
      <c r="A533" s="52" t="s">
        <v>1297</v>
      </c>
      <c r="B533" s="9" t="s">
        <v>690</v>
      </c>
      <c r="C533" s="3">
        <f t="shared" si="276"/>
        <v>300000</v>
      </c>
      <c r="D533" s="4">
        <f t="shared" si="269"/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12">
        <v>0</v>
      </c>
      <c r="L533" s="4">
        <v>0</v>
      </c>
      <c r="M533" s="4">
        <v>0</v>
      </c>
      <c r="N533" s="23">
        <v>0</v>
      </c>
      <c r="O533" s="4">
        <v>0</v>
      </c>
      <c r="P533" s="4">
        <v>0</v>
      </c>
      <c r="Q533" s="4">
        <v>0</v>
      </c>
      <c r="R533" s="4">
        <f t="shared" si="270"/>
        <v>0</v>
      </c>
      <c r="S533" s="4">
        <v>0</v>
      </c>
      <c r="T533" s="6">
        <v>0</v>
      </c>
      <c r="U533" s="4">
        <v>300000</v>
      </c>
      <c r="V533" s="7" t="e">
        <f t="shared" si="271"/>
        <v>#DIV/0!</v>
      </c>
    </row>
    <row r="534" spans="1:22" ht="21.95" customHeight="1" x14ac:dyDescent="0.25">
      <c r="A534" s="52" t="s">
        <v>1298</v>
      </c>
      <c r="B534" s="9" t="s">
        <v>413</v>
      </c>
      <c r="C534" s="3">
        <f t="shared" si="276"/>
        <v>3764661</v>
      </c>
      <c r="D534" s="4">
        <f t="shared" si="269"/>
        <v>479661</v>
      </c>
      <c r="E534" s="4">
        <f>350*368.97</f>
        <v>129139.50000000001</v>
      </c>
      <c r="F534" s="4">
        <f>1050*0</f>
        <v>0</v>
      </c>
      <c r="G534" s="4">
        <f>300*368.97</f>
        <v>110691.00000000001</v>
      </c>
      <c r="H534" s="4">
        <f>400*368.97</f>
        <v>147588</v>
      </c>
      <c r="I534" s="4">
        <f>250*368.97</f>
        <v>92242.5</v>
      </c>
      <c r="J534" s="4">
        <f>350*0</f>
        <v>0</v>
      </c>
      <c r="K534" s="5">
        <v>0</v>
      </c>
      <c r="L534" s="4">
        <v>0</v>
      </c>
      <c r="M534" s="4">
        <v>350</v>
      </c>
      <c r="N534" s="4">
        <f t="shared" ref="N534:N542" si="278">M534*5500</f>
        <v>1925000</v>
      </c>
      <c r="O534" s="4">
        <v>0</v>
      </c>
      <c r="P534" s="4">
        <v>0</v>
      </c>
      <c r="Q534" s="4">
        <v>420</v>
      </c>
      <c r="R534" s="4">
        <f t="shared" si="270"/>
        <v>1260000</v>
      </c>
      <c r="S534" s="4">
        <v>0</v>
      </c>
      <c r="T534" s="6">
        <v>0</v>
      </c>
      <c r="U534" s="4">
        <v>100000</v>
      </c>
      <c r="V534" s="7">
        <f t="shared" si="271"/>
        <v>5500</v>
      </c>
    </row>
    <row r="535" spans="1:22" ht="21.95" customHeight="1" x14ac:dyDescent="0.25">
      <c r="A535" s="52" t="s">
        <v>1299</v>
      </c>
      <c r="B535" s="9" t="s">
        <v>414</v>
      </c>
      <c r="C535" s="3">
        <f t="shared" si="276"/>
        <v>1980000</v>
      </c>
      <c r="D535" s="4">
        <f t="shared" si="269"/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5">
        <v>0</v>
      </c>
      <c r="L535" s="4">
        <v>0</v>
      </c>
      <c r="M535" s="4">
        <v>360</v>
      </c>
      <c r="N535" s="4">
        <f t="shared" si="278"/>
        <v>1980000</v>
      </c>
      <c r="O535" s="4">
        <v>0</v>
      </c>
      <c r="P535" s="4">
        <v>0</v>
      </c>
      <c r="Q535" s="4">
        <v>0</v>
      </c>
      <c r="R535" s="4">
        <f t="shared" si="270"/>
        <v>0</v>
      </c>
      <c r="S535" s="4">
        <v>0</v>
      </c>
      <c r="T535" s="6">
        <v>0</v>
      </c>
      <c r="U535" s="4">
        <v>0</v>
      </c>
      <c r="V535" s="7">
        <f t="shared" si="271"/>
        <v>5500</v>
      </c>
    </row>
    <row r="536" spans="1:22" ht="21.95" customHeight="1" x14ac:dyDescent="0.25">
      <c r="A536" s="52" t="s">
        <v>1300</v>
      </c>
      <c r="B536" s="9" t="s">
        <v>415</v>
      </c>
      <c r="C536" s="3">
        <f t="shared" si="276"/>
        <v>1980000</v>
      </c>
      <c r="D536" s="4">
        <f t="shared" si="269"/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5">
        <v>0</v>
      </c>
      <c r="L536" s="4">
        <v>0</v>
      </c>
      <c r="M536" s="4">
        <v>360</v>
      </c>
      <c r="N536" s="4">
        <f t="shared" si="278"/>
        <v>1980000</v>
      </c>
      <c r="O536" s="4">
        <v>0</v>
      </c>
      <c r="P536" s="4">
        <v>0</v>
      </c>
      <c r="Q536" s="4">
        <v>0</v>
      </c>
      <c r="R536" s="4">
        <f t="shared" si="270"/>
        <v>0</v>
      </c>
      <c r="S536" s="4">
        <v>0</v>
      </c>
      <c r="T536" s="6">
        <v>0</v>
      </c>
      <c r="U536" s="4">
        <v>0</v>
      </c>
      <c r="V536" s="7">
        <f t="shared" si="271"/>
        <v>5500</v>
      </c>
    </row>
    <row r="537" spans="1:22" ht="21.95" customHeight="1" x14ac:dyDescent="0.25">
      <c r="A537" s="52" t="s">
        <v>1301</v>
      </c>
      <c r="B537" s="9" t="s">
        <v>412</v>
      </c>
      <c r="C537" s="3">
        <f t="shared" si="276"/>
        <v>1727000</v>
      </c>
      <c r="D537" s="4">
        <f t="shared" si="269"/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5">
        <v>0</v>
      </c>
      <c r="L537" s="4">
        <v>0</v>
      </c>
      <c r="M537" s="4">
        <v>314</v>
      </c>
      <c r="N537" s="4">
        <f t="shared" si="278"/>
        <v>1727000</v>
      </c>
      <c r="O537" s="4">
        <v>0</v>
      </c>
      <c r="P537" s="4">
        <v>0</v>
      </c>
      <c r="Q537" s="4">
        <v>0</v>
      </c>
      <c r="R537" s="4">
        <f t="shared" si="270"/>
        <v>0</v>
      </c>
      <c r="S537" s="4">
        <v>0</v>
      </c>
      <c r="T537" s="6">
        <v>0</v>
      </c>
      <c r="U537" s="4">
        <v>0</v>
      </c>
      <c r="V537" s="7">
        <f t="shared" si="271"/>
        <v>5500</v>
      </c>
    </row>
    <row r="538" spans="1:22" ht="21.95" customHeight="1" x14ac:dyDescent="0.25">
      <c r="A538" s="52" t="s">
        <v>1302</v>
      </c>
      <c r="B538" s="9" t="s">
        <v>593</v>
      </c>
      <c r="C538" s="3">
        <f t="shared" si="276"/>
        <v>2706550</v>
      </c>
      <c r="D538" s="4">
        <f t="shared" si="269"/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12">
        <v>0</v>
      </c>
      <c r="L538" s="6">
        <v>0</v>
      </c>
      <c r="M538" s="6">
        <v>492.1</v>
      </c>
      <c r="N538" s="4">
        <f t="shared" si="278"/>
        <v>2706550</v>
      </c>
      <c r="O538" s="6">
        <v>0</v>
      </c>
      <c r="P538" s="6">
        <v>0</v>
      </c>
      <c r="Q538" s="6">
        <v>0</v>
      </c>
      <c r="R538" s="4">
        <f t="shared" si="270"/>
        <v>0</v>
      </c>
      <c r="S538" s="6">
        <v>0</v>
      </c>
      <c r="T538" s="6">
        <v>0</v>
      </c>
      <c r="U538" s="6">
        <v>0</v>
      </c>
      <c r="V538" s="7">
        <f t="shared" si="271"/>
        <v>5500</v>
      </c>
    </row>
    <row r="539" spans="1:22" ht="21.95" customHeight="1" x14ac:dyDescent="0.25">
      <c r="A539" s="52" t="s">
        <v>1303</v>
      </c>
      <c r="B539" s="9" t="s">
        <v>514</v>
      </c>
      <c r="C539" s="3">
        <f t="shared" si="276"/>
        <v>1270500</v>
      </c>
      <c r="D539" s="4">
        <f t="shared" si="269"/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12">
        <v>0</v>
      </c>
      <c r="L539" s="6">
        <v>0</v>
      </c>
      <c r="M539" s="6">
        <v>231</v>
      </c>
      <c r="N539" s="4">
        <f t="shared" si="278"/>
        <v>1270500</v>
      </c>
      <c r="O539" s="6">
        <v>0</v>
      </c>
      <c r="P539" s="6">
        <v>0</v>
      </c>
      <c r="Q539" s="6">
        <v>0</v>
      </c>
      <c r="R539" s="4">
        <f t="shared" si="270"/>
        <v>0</v>
      </c>
      <c r="S539" s="6">
        <v>0</v>
      </c>
      <c r="T539" s="6">
        <v>0</v>
      </c>
      <c r="U539" s="6">
        <v>0</v>
      </c>
      <c r="V539" s="7">
        <f t="shared" si="271"/>
        <v>5500</v>
      </c>
    </row>
    <row r="540" spans="1:22" ht="21.95" customHeight="1" x14ac:dyDescent="0.25">
      <c r="A540" s="52" t="s">
        <v>1304</v>
      </c>
      <c r="B540" s="9" t="s">
        <v>466</v>
      </c>
      <c r="C540" s="3">
        <f t="shared" si="276"/>
        <v>2101000</v>
      </c>
      <c r="D540" s="4">
        <f t="shared" si="269"/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5">
        <v>0</v>
      </c>
      <c r="L540" s="4">
        <v>0</v>
      </c>
      <c r="M540" s="4">
        <v>382</v>
      </c>
      <c r="N540" s="4">
        <f t="shared" si="278"/>
        <v>2101000</v>
      </c>
      <c r="O540" s="4">
        <v>0</v>
      </c>
      <c r="P540" s="4">
        <v>0</v>
      </c>
      <c r="Q540" s="4">
        <v>0</v>
      </c>
      <c r="R540" s="4">
        <f t="shared" si="270"/>
        <v>0</v>
      </c>
      <c r="S540" s="4">
        <v>0</v>
      </c>
      <c r="T540" s="6">
        <v>0</v>
      </c>
      <c r="U540" s="4">
        <v>0</v>
      </c>
      <c r="V540" s="7">
        <f t="shared" si="271"/>
        <v>5500</v>
      </c>
    </row>
    <row r="541" spans="1:22" ht="21.95" customHeight="1" x14ac:dyDescent="0.25">
      <c r="A541" s="52" t="s">
        <v>1305</v>
      </c>
      <c r="B541" s="9" t="s">
        <v>594</v>
      </c>
      <c r="C541" s="3">
        <f t="shared" si="276"/>
        <v>1611500</v>
      </c>
      <c r="D541" s="4">
        <f t="shared" si="269"/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12">
        <v>0</v>
      </c>
      <c r="L541" s="6">
        <v>0</v>
      </c>
      <c r="M541" s="6">
        <v>293</v>
      </c>
      <c r="N541" s="4">
        <f t="shared" si="278"/>
        <v>1611500</v>
      </c>
      <c r="O541" s="6">
        <v>0</v>
      </c>
      <c r="P541" s="6">
        <v>0</v>
      </c>
      <c r="Q541" s="6">
        <v>0</v>
      </c>
      <c r="R541" s="4">
        <f t="shared" si="270"/>
        <v>0</v>
      </c>
      <c r="S541" s="6">
        <v>0</v>
      </c>
      <c r="T541" s="6">
        <v>0</v>
      </c>
      <c r="U541" s="6">
        <v>0</v>
      </c>
      <c r="V541" s="7">
        <f t="shared" si="271"/>
        <v>5500</v>
      </c>
    </row>
    <row r="542" spans="1:22" ht="21.95" customHeight="1" x14ac:dyDescent="0.25">
      <c r="A542" s="52" t="s">
        <v>1306</v>
      </c>
      <c r="B542" s="9" t="s">
        <v>595</v>
      </c>
      <c r="C542" s="3">
        <f t="shared" si="276"/>
        <v>1606000</v>
      </c>
      <c r="D542" s="4">
        <f t="shared" si="269"/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12">
        <v>0</v>
      </c>
      <c r="L542" s="6">
        <v>0</v>
      </c>
      <c r="M542" s="6">
        <v>292</v>
      </c>
      <c r="N542" s="4">
        <f t="shared" si="278"/>
        <v>1606000</v>
      </c>
      <c r="O542" s="6">
        <v>0</v>
      </c>
      <c r="P542" s="6">
        <v>0</v>
      </c>
      <c r="Q542" s="6">
        <v>0</v>
      </c>
      <c r="R542" s="4">
        <f t="shared" si="270"/>
        <v>0</v>
      </c>
      <c r="S542" s="6">
        <v>0</v>
      </c>
      <c r="T542" s="6">
        <v>0</v>
      </c>
      <c r="U542" s="6">
        <v>0</v>
      </c>
      <c r="V542" s="7">
        <f t="shared" si="271"/>
        <v>5500</v>
      </c>
    </row>
    <row r="543" spans="1:22" ht="21.95" customHeight="1" x14ac:dyDescent="0.25">
      <c r="A543" s="52" t="s">
        <v>1307</v>
      </c>
      <c r="B543" s="9" t="s">
        <v>396</v>
      </c>
      <c r="C543" s="3">
        <f t="shared" si="276"/>
        <v>6560032.5</v>
      </c>
      <c r="D543" s="4">
        <f t="shared" si="269"/>
        <v>6460032.5</v>
      </c>
      <c r="E543" s="4">
        <f>350*2748.95</f>
        <v>962132.49999999988</v>
      </c>
      <c r="F543" s="4">
        <f>1050*2748.95</f>
        <v>2886397.5</v>
      </c>
      <c r="G543" s="4">
        <f>300*2748.95</f>
        <v>824685</v>
      </c>
      <c r="H543" s="4">
        <f>400*2748.95</f>
        <v>1099580</v>
      </c>
      <c r="I543" s="4">
        <f>250*2748.95</f>
        <v>687237.5</v>
      </c>
      <c r="J543" s="4">
        <f>350*0</f>
        <v>0</v>
      </c>
      <c r="K543" s="5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f t="shared" si="270"/>
        <v>0</v>
      </c>
      <c r="S543" s="4">
        <v>0</v>
      </c>
      <c r="T543" s="6">
        <v>0</v>
      </c>
      <c r="U543" s="4">
        <v>100000</v>
      </c>
      <c r="V543" s="7" t="e">
        <f t="shared" si="271"/>
        <v>#DIV/0!</v>
      </c>
    </row>
    <row r="544" spans="1:22" ht="21.95" customHeight="1" x14ac:dyDescent="0.25">
      <c r="A544" s="52" t="s">
        <v>1938</v>
      </c>
      <c r="B544" s="9" t="s">
        <v>402</v>
      </c>
      <c r="C544" s="3">
        <f t="shared" si="276"/>
        <v>5141565</v>
      </c>
      <c r="D544" s="4">
        <f t="shared" si="269"/>
        <v>5141565</v>
      </c>
      <c r="E544" s="4">
        <f>350*2187.9</f>
        <v>765765</v>
      </c>
      <c r="F544" s="4">
        <f>1050*2187.9</f>
        <v>2297295</v>
      </c>
      <c r="G544" s="4">
        <f>300*2187.9</f>
        <v>656370</v>
      </c>
      <c r="H544" s="4">
        <f>400*2187.9</f>
        <v>875160</v>
      </c>
      <c r="I544" s="4">
        <f>250*2187.9</f>
        <v>546975</v>
      </c>
      <c r="J544" s="4">
        <f t="shared" ref="J544" si="279">350*0</f>
        <v>0</v>
      </c>
      <c r="K544" s="5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7" t="e">
        <f t="shared" si="271"/>
        <v>#DIV/0!</v>
      </c>
    </row>
    <row r="545" spans="1:22" ht="21.95" customHeight="1" x14ac:dyDescent="0.25">
      <c r="A545" s="52" t="s">
        <v>1308</v>
      </c>
      <c r="B545" s="9" t="s">
        <v>596</v>
      </c>
      <c r="C545" s="3">
        <f t="shared" si="276"/>
        <v>5953600</v>
      </c>
      <c r="D545" s="4">
        <f t="shared" si="269"/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12">
        <v>0</v>
      </c>
      <c r="L545" s="6">
        <v>0</v>
      </c>
      <c r="M545" s="6">
        <v>635.20000000000005</v>
      </c>
      <c r="N545" s="4">
        <f t="shared" ref="N545:N546" si="280">M545*5500</f>
        <v>3493600.0000000005</v>
      </c>
      <c r="O545" s="6">
        <v>0</v>
      </c>
      <c r="P545" s="6">
        <v>0</v>
      </c>
      <c r="Q545" s="6">
        <v>820</v>
      </c>
      <c r="R545" s="4">
        <f t="shared" si="270"/>
        <v>2460000</v>
      </c>
      <c r="S545" s="6">
        <v>0</v>
      </c>
      <c r="T545" s="6">
        <v>0</v>
      </c>
      <c r="U545" s="6">
        <v>0</v>
      </c>
      <c r="V545" s="7">
        <f t="shared" si="271"/>
        <v>5500</v>
      </c>
    </row>
    <row r="546" spans="1:22" ht="21.95" customHeight="1" x14ac:dyDescent="0.25">
      <c r="A546" s="52" t="s">
        <v>1309</v>
      </c>
      <c r="B546" s="9" t="s">
        <v>597</v>
      </c>
      <c r="C546" s="3">
        <f t="shared" si="276"/>
        <v>1468500</v>
      </c>
      <c r="D546" s="4">
        <f t="shared" si="269"/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12">
        <v>0</v>
      </c>
      <c r="L546" s="6">
        <v>0</v>
      </c>
      <c r="M546" s="6">
        <v>267</v>
      </c>
      <c r="N546" s="4">
        <f t="shared" si="280"/>
        <v>1468500</v>
      </c>
      <c r="O546" s="6">
        <v>0</v>
      </c>
      <c r="P546" s="6">
        <v>0</v>
      </c>
      <c r="Q546" s="6">
        <v>0</v>
      </c>
      <c r="R546" s="4">
        <f t="shared" si="270"/>
        <v>0</v>
      </c>
      <c r="S546" s="6">
        <v>0</v>
      </c>
      <c r="T546" s="6">
        <v>0</v>
      </c>
      <c r="U546" s="6">
        <v>0</v>
      </c>
      <c r="V546" s="7">
        <f t="shared" si="271"/>
        <v>5500</v>
      </c>
    </row>
    <row r="547" spans="1:22" ht="21.95" customHeight="1" x14ac:dyDescent="0.25">
      <c r="A547" s="52" t="s">
        <v>1310</v>
      </c>
      <c r="B547" s="28" t="s">
        <v>524</v>
      </c>
      <c r="C547" s="3">
        <f>D547+L547+N547+P547+R547+S547+T547+U547</f>
        <v>4125000</v>
      </c>
      <c r="D547" s="4">
        <f>SUM(E547:J547)</f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12">
        <v>0</v>
      </c>
      <c r="L547" s="6">
        <v>0</v>
      </c>
      <c r="M547" s="6">
        <v>750</v>
      </c>
      <c r="N547" s="4">
        <f>M547*5500</f>
        <v>4125000</v>
      </c>
      <c r="O547" s="6">
        <v>0</v>
      </c>
      <c r="P547" s="6">
        <v>0</v>
      </c>
      <c r="Q547" s="6">
        <v>0</v>
      </c>
      <c r="R547" s="4">
        <f>Q547*3000</f>
        <v>0</v>
      </c>
      <c r="S547" s="6">
        <v>0</v>
      </c>
      <c r="T547" s="6">
        <v>0</v>
      </c>
      <c r="U547" s="6">
        <v>0</v>
      </c>
      <c r="V547" s="7">
        <f>N547/M547</f>
        <v>5500</v>
      </c>
    </row>
    <row r="548" spans="1:22" ht="21.95" customHeight="1" x14ac:dyDescent="0.25">
      <c r="A548" s="52" t="s">
        <v>1311</v>
      </c>
      <c r="B548" s="28" t="s">
        <v>515</v>
      </c>
      <c r="C548" s="3">
        <f t="shared" si="276"/>
        <v>2385900</v>
      </c>
      <c r="D548" s="4">
        <f t="shared" si="269"/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12">
        <v>0</v>
      </c>
      <c r="L548" s="6">
        <v>0</v>
      </c>
      <c r="M548" s="6">
        <v>433.8</v>
      </c>
      <c r="N548" s="4">
        <f t="shared" ref="N548:N562" si="281">M548*5500</f>
        <v>2385900</v>
      </c>
      <c r="O548" s="6">
        <v>0</v>
      </c>
      <c r="P548" s="6">
        <v>0</v>
      </c>
      <c r="Q548" s="6">
        <v>0</v>
      </c>
      <c r="R548" s="4">
        <f t="shared" si="270"/>
        <v>0</v>
      </c>
      <c r="S548" s="6">
        <v>0</v>
      </c>
      <c r="T548" s="6">
        <v>0</v>
      </c>
      <c r="U548" s="6">
        <v>0</v>
      </c>
      <c r="V548" s="7">
        <f t="shared" si="271"/>
        <v>5500</v>
      </c>
    </row>
    <row r="549" spans="1:22" ht="21.95" customHeight="1" x14ac:dyDescent="0.25">
      <c r="A549" s="52" t="s">
        <v>1312</v>
      </c>
      <c r="B549" s="28" t="s">
        <v>516</v>
      </c>
      <c r="C549" s="3">
        <f t="shared" si="276"/>
        <v>2420000</v>
      </c>
      <c r="D549" s="4">
        <f t="shared" si="269"/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12">
        <v>0</v>
      </c>
      <c r="L549" s="6">
        <v>0</v>
      </c>
      <c r="M549" s="6">
        <v>440</v>
      </c>
      <c r="N549" s="4">
        <f t="shared" si="281"/>
        <v>2420000</v>
      </c>
      <c r="O549" s="6">
        <v>0</v>
      </c>
      <c r="P549" s="6">
        <v>0</v>
      </c>
      <c r="Q549" s="6">
        <v>0</v>
      </c>
      <c r="R549" s="4">
        <f t="shared" si="270"/>
        <v>0</v>
      </c>
      <c r="S549" s="6">
        <v>0</v>
      </c>
      <c r="T549" s="6">
        <v>0</v>
      </c>
      <c r="U549" s="6">
        <v>0</v>
      </c>
      <c r="V549" s="7">
        <f t="shared" si="271"/>
        <v>5500</v>
      </c>
    </row>
    <row r="550" spans="1:22" ht="21.95" customHeight="1" x14ac:dyDescent="0.25">
      <c r="A550" s="52" t="s">
        <v>1313</v>
      </c>
      <c r="B550" s="28" t="s">
        <v>517</v>
      </c>
      <c r="C550" s="3">
        <f t="shared" si="276"/>
        <v>2414500</v>
      </c>
      <c r="D550" s="4">
        <f t="shared" si="269"/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12">
        <v>0</v>
      </c>
      <c r="L550" s="6">
        <v>0</v>
      </c>
      <c r="M550" s="6">
        <v>439</v>
      </c>
      <c r="N550" s="4">
        <f t="shared" si="281"/>
        <v>2414500</v>
      </c>
      <c r="O550" s="6">
        <v>0</v>
      </c>
      <c r="P550" s="6">
        <v>0</v>
      </c>
      <c r="Q550" s="6">
        <v>0</v>
      </c>
      <c r="R550" s="4">
        <f t="shared" si="270"/>
        <v>0</v>
      </c>
      <c r="S550" s="6">
        <v>0</v>
      </c>
      <c r="T550" s="6">
        <v>0</v>
      </c>
      <c r="U550" s="6">
        <v>0</v>
      </c>
      <c r="V550" s="7">
        <f t="shared" si="271"/>
        <v>5500</v>
      </c>
    </row>
    <row r="551" spans="1:22" ht="21.95" customHeight="1" x14ac:dyDescent="0.25">
      <c r="A551" s="52" t="s">
        <v>1314</v>
      </c>
      <c r="B551" s="28" t="s">
        <v>518</v>
      </c>
      <c r="C551" s="3">
        <f t="shared" si="276"/>
        <v>2420000</v>
      </c>
      <c r="D551" s="4">
        <f t="shared" si="269"/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12">
        <v>0</v>
      </c>
      <c r="L551" s="6">
        <v>0</v>
      </c>
      <c r="M551" s="6">
        <v>440</v>
      </c>
      <c r="N551" s="4">
        <f t="shared" si="281"/>
        <v>2420000</v>
      </c>
      <c r="O551" s="6">
        <v>0</v>
      </c>
      <c r="P551" s="6">
        <v>0</v>
      </c>
      <c r="Q551" s="6">
        <v>0</v>
      </c>
      <c r="R551" s="4">
        <f t="shared" si="270"/>
        <v>0</v>
      </c>
      <c r="S551" s="6">
        <v>0</v>
      </c>
      <c r="T551" s="6">
        <v>0</v>
      </c>
      <c r="U551" s="6">
        <v>0</v>
      </c>
      <c r="V551" s="7">
        <f t="shared" si="271"/>
        <v>5500</v>
      </c>
    </row>
    <row r="552" spans="1:22" ht="21.95" customHeight="1" x14ac:dyDescent="0.25">
      <c r="A552" s="52" t="s">
        <v>1315</v>
      </c>
      <c r="B552" s="28" t="s">
        <v>519</v>
      </c>
      <c r="C552" s="3">
        <f t="shared" si="276"/>
        <v>2381500</v>
      </c>
      <c r="D552" s="4">
        <f t="shared" si="269"/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12">
        <v>0</v>
      </c>
      <c r="L552" s="6">
        <v>0</v>
      </c>
      <c r="M552" s="6">
        <v>433</v>
      </c>
      <c r="N552" s="4">
        <f t="shared" si="281"/>
        <v>2381500</v>
      </c>
      <c r="O552" s="6">
        <v>0</v>
      </c>
      <c r="P552" s="6">
        <v>0</v>
      </c>
      <c r="Q552" s="6">
        <v>0</v>
      </c>
      <c r="R552" s="4">
        <f t="shared" si="270"/>
        <v>0</v>
      </c>
      <c r="S552" s="6">
        <v>0</v>
      </c>
      <c r="T552" s="6">
        <v>0</v>
      </c>
      <c r="U552" s="6">
        <v>0</v>
      </c>
      <c r="V552" s="7">
        <f t="shared" si="271"/>
        <v>5500</v>
      </c>
    </row>
    <row r="553" spans="1:22" ht="21.95" customHeight="1" x14ac:dyDescent="0.25">
      <c r="A553" s="52" t="s">
        <v>1316</v>
      </c>
      <c r="B553" s="28" t="s">
        <v>520</v>
      </c>
      <c r="C553" s="3">
        <f t="shared" si="276"/>
        <v>2381500</v>
      </c>
      <c r="D553" s="4">
        <f t="shared" si="269"/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12">
        <v>0</v>
      </c>
      <c r="L553" s="6">
        <v>0</v>
      </c>
      <c r="M553" s="6">
        <v>433</v>
      </c>
      <c r="N553" s="4">
        <f t="shared" si="281"/>
        <v>2381500</v>
      </c>
      <c r="O553" s="6">
        <v>0</v>
      </c>
      <c r="P553" s="6">
        <v>0</v>
      </c>
      <c r="Q553" s="6">
        <v>0</v>
      </c>
      <c r="R553" s="4">
        <f t="shared" si="270"/>
        <v>0</v>
      </c>
      <c r="S553" s="6">
        <v>0</v>
      </c>
      <c r="T553" s="6">
        <v>0</v>
      </c>
      <c r="U553" s="6">
        <v>0</v>
      </c>
      <c r="V553" s="7">
        <f t="shared" si="271"/>
        <v>5500</v>
      </c>
    </row>
    <row r="554" spans="1:22" ht="21.95" customHeight="1" x14ac:dyDescent="0.25">
      <c r="A554" s="52" t="s">
        <v>1317</v>
      </c>
      <c r="B554" s="28" t="s">
        <v>521</v>
      </c>
      <c r="C554" s="3">
        <f t="shared" si="276"/>
        <v>2381500</v>
      </c>
      <c r="D554" s="4">
        <f t="shared" si="269"/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12">
        <v>0</v>
      </c>
      <c r="L554" s="6">
        <v>0</v>
      </c>
      <c r="M554" s="6">
        <v>433</v>
      </c>
      <c r="N554" s="4">
        <f t="shared" si="281"/>
        <v>2381500</v>
      </c>
      <c r="O554" s="6">
        <v>0</v>
      </c>
      <c r="P554" s="6">
        <v>0</v>
      </c>
      <c r="Q554" s="6">
        <v>0</v>
      </c>
      <c r="R554" s="4">
        <f t="shared" si="270"/>
        <v>0</v>
      </c>
      <c r="S554" s="6">
        <v>0</v>
      </c>
      <c r="T554" s="6">
        <v>0</v>
      </c>
      <c r="U554" s="6">
        <v>0</v>
      </c>
      <c r="V554" s="7">
        <f t="shared" si="271"/>
        <v>5500</v>
      </c>
    </row>
    <row r="555" spans="1:22" ht="21.95" customHeight="1" x14ac:dyDescent="0.25">
      <c r="A555" s="52" t="s">
        <v>1318</v>
      </c>
      <c r="B555" s="28" t="s">
        <v>522</v>
      </c>
      <c r="C555" s="3">
        <f t="shared" si="276"/>
        <v>2381500</v>
      </c>
      <c r="D555" s="4">
        <f t="shared" si="269"/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12">
        <v>0</v>
      </c>
      <c r="L555" s="6">
        <v>0</v>
      </c>
      <c r="M555" s="6">
        <v>433</v>
      </c>
      <c r="N555" s="4">
        <f t="shared" si="281"/>
        <v>2381500</v>
      </c>
      <c r="O555" s="6">
        <v>0</v>
      </c>
      <c r="P555" s="6">
        <v>0</v>
      </c>
      <c r="Q555" s="6">
        <v>0</v>
      </c>
      <c r="R555" s="4">
        <f t="shared" si="270"/>
        <v>0</v>
      </c>
      <c r="S555" s="6">
        <v>0</v>
      </c>
      <c r="T555" s="6">
        <v>0</v>
      </c>
      <c r="U555" s="6">
        <v>0</v>
      </c>
      <c r="V555" s="7">
        <f t="shared" si="271"/>
        <v>5500</v>
      </c>
    </row>
    <row r="556" spans="1:22" ht="21.95" customHeight="1" x14ac:dyDescent="0.25">
      <c r="A556" s="52" t="s">
        <v>1319</v>
      </c>
      <c r="B556" s="28" t="s">
        <v>523</v>
      </c>
      <c r="C556" s="3">
        <f t="shared" si="276"/>
        <v>2381500</v>
      </c>
      <c r="D556" s="4">
        <f t="shared" si="269"/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12">
        <v>0</v>
      </c>
      <c r="L556" s="6">
        <v>0</v>
      </c>
      <c r="M556" s="6">
        <v>433</v>
      </c>
      <c r="N556" s="4">
        <f t="shared" si="281"/>
        <v>2381500</v>
      </c>
      <c r="O556" s="6">
        <v>0</v>
      </c>
      <c r="P556" s="6">
        <v>0</v>
      </c>
      <c r="Q556" s="6">
        <v>0</v>
      </c>
      <c r="R556" s="4">
        <f t="shared" si="270"/>
        <v>0</v>
      </c>
      <c r="S556" s="6">
        <v>0</v>
      </c>
      <c r="T556" s="6">
        <v>0</v>
      </c>
      <c r="U556" s="6">
        <v>0</v>
      </c>
      <c r="V556" s="7">
        <f t="shared" si="271"/>
        <v>5500</v>
      </c>
    </row>
    <row r="557" spans="1:22" ht="21.95" customHeight="1" x14ac:dyDescent="0.25">
      <c r="A557" s="52" t="s">
        <v>1320</v>
      </c>
      <c r="B557" s="28" t="s">
        <v>598</v>
      </c>
      <c r="C557" s="3">
        <f t="shared" si="276"/>
        <v>2381500</v>
      </c>
      <c r="D557" s="4">
        <f t="shared" si="269"/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12">
        <v>0</v>
      </c>
      <c r="L557" s="6">
        <v>0</v>
      </c>
      <c r="M557" s="6">
        <v>433</v>
      </c>
      <c r="N557" s="4">
        <f t="shared" si="281"/>
        <v>2381500</v>
      </c>
      <c r="O557" s="6">
        <v>0</v>
      </c>
      <c r="P557" s="6">
        <v>0</v>
      </c>
      <c r="Q557" s="6">
        <v>0</v>
      </c>
      <c r="R557" s="4">
        <f t="shared" si="270"/>
        <v>0</v>
      </c>
      <c r="S557" s="6">
        <v>0</v>
      </c>
      <c r="T557" s="6">
        <v>0</v>
      </c>
      <c r="U557" s="6">
        <v>0</v>
      </c>
      <c r="V557" s="7">
        <f t="shared" si="271"/>
        <v>5500</v>
      </c>
    </row>
    <row r="558" spans="1:22" ht="21.95" customHeight="1" x14ac:dyDescent="0.25">
      <c r="A558" s="52" t="s">
        <v>1321</v>
      </c>
      <c r="B558" s="28" t="s">
        <v>599</v>
      </c>
      <c r="C558" s="3">
        <f t="shared" si="276"/>
        <v>2381500</v>
      </c>
      <c r="D558" s="4">
        <f t="shared" si="269"/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12">
        <v>0</v>
      </c>
      <c r="L558" s="6">
        <v>0</v>
      </c>
      <c r="M558" s="6">
        <v>433</v>
      </c>
      <c r="N558" s="4">
        <f t="shared" si="281"/>
        <v>2381500</v>
      </c>
      <c r="O558" s="6">
        <v>0</v>
      </c>
      <c r="P558" s="6">
        <v>0</v>
      </c>
      <c r="Q558" s="6">
        <v>0</v>
      </c>
      <c r="R558" s="4">
        <f t="shared" ref="R558:R624" si="282">Q558*3000</f>
        <v>0</v>
      </c>
      <c r="S558" s="6">
        <v>0</v>
      </c>
      <c r="T558" s="6">
        <v>0</v>
      </c>
      <c r="U558" s="6">
        <v>0</v>
      </c>
      <c r="V558" s="7">
        <f t="shared" ref="V558:V624" si="283">N558/M558</f>
        <v>5500</v>
      </c>
    </row>
    <row r="559" spans="1:22" ht="21.95" customHeight="1" x14ac:dyDescent="0.25">
      <c r="A559" s="52" t="s">
        <v>1322</v>
      </c>
      <c r="B559" s="28" t="s">
        <v>600</v>
      </c>
      <c r="C559" s="3">
        <f t="shared" si="276"/>
        <v>2381500</v>
      </c>
      <c r="D559" s="4">
        <f t="shared" ref="D559:D625" si="284">SUM(E559:J559)</f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12">
        <v>0</v>
      </c>
      <c r="L559" s="6">
        <v>0</v>
      </c>
      <c r="M559" s="6">
        <v>433</v>
      </c>
      <c r="N559" s="4">
        <f t="shared" si="281"/>
        <v>2381500</v>
      </c>
      <c r="O559" s="6">
        <v>0</v>
      </c>
      <c r="P559" s="6">
        <v>0</v>
      </c>
      <c r="Q559" s="6">
        <v>0</v>
      </c>
      <c r="R559" s="4">
        <f t="shared" si="282"/>
        <v>0</v>
      </c>
      <c r="S559" s="6">
        <v>0</v>
      </c>
      <c r="T559" s="6">
        <v>0</v>
      </c>
      <c r="U559" s="6">
        <v>0</v>
      </c>
      <c r="V559" s="7">
        <f t="shared" si="283"/>
        <v>5500</v>
      </c>
    </row>
    <row r="560" spans="1:22" ht="21.95" customHeight="1" x14ac:dyDescent="0.25">
      <c r="A560" s="52" t="s">
        <v>1323</v>
      </c>
      <c r="B560" s="28" t="s">
        <v>601</v>
      </c>
      <c r="C560" s="3">
        <f t="shared" si="276"/>
        <v>2381500</v>
      </c>
      <c r="D560" s="4">
        <f t="shared" si="284"/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12">
        <v>0</v>
      </c>
      <c r="L560" s="6">
        <v>0</v>
      </c>
      <c r="M560" s="6">
        <v>433</v>
      </c>
      <c r="N560" s="4">
        <f t="shared" si="281"/>
        <v>2381500</v>
      </c>
      <c r="O560" s="6">
        <v>0</v>
      </c>
      <c r="P560" s="6">
        <v>0</v>
      </c>
      <c r="Q560" s="6">
        <v>0</v>
      </c>
      <c r="R560" s="4">
        <f t="shared" si="282"/>
        <v>0</v>
      </c>
      <c r="S560" s="6">
        <v>0</v>
      </c>
      <c r="T560" s="6">
        <v>0</v>
      </c>
      <c r="U560" s="6">
        <v>0</v>
      </c>
      <c r="V560" s="7">
        <f t="shared" si="283"/>
        <v>5500</v>
      </c>
    </row>
    <row r="561" spans="1:22" ht="21.95" customHeight="1" x14ac:dyDescent="0.25">
      <c r="A561" s="52" t="s">
        <v>1324</v>
      </c>
      <c r="B561" s="9" t="s">
        <v>602</v>
      </c>
      <c r="C561" s="3">
        <f t="shared" si="276"/>
        <v>2381500</v>
      </c>
      <c r="D561" s="4">
        <f t="shared" si="284"/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12">
        <v>0</v>
      </c>
      <c r="L561" s="6">
        <v>0</v>
      </c>
      <c r="M561" s="6">
        <v>433</v>
      </c>
      <c r="N561" s="4">
        <f t="shared" si="281"/>
        <v>2381500</v>
      </c>
      <c r="O561" s="6">
        <v>0</v>
      </c>
      <c r="P561" s="6">
        <v>0</v>
      </c>
      <c r="Q561" s="6">
        <v>0</v>
      </c>
      <c r="R561" s="4">
        <f t="shared" si="282"/>
        <v>0</v>
      </c>
      <c r="S561" s="6">
        <v>0</v>
      </c>
      <c r="T561" s="6">
        <v>0</v>
      </c>
      <c r="U561" s="6">
        <v>0</v>
      </c>
      <c r="V561" s="7">
        <f t="shared" si="283"/>
        <v>5500</v>
      </c>
    </row>
    <row r="562" spans="1:22" ht="21.95" customHeight="1" x14ac:dyDescent="0.25">
      <c r="A562" s="52" t="s">
        <v>1325</v>
      </c>
      <c r="B562" s="28" t="s">
        <v>786</v>
      </c>
      <c r="C562" s="3">
        <f t="shared" si="276"/>
        <v>6852036</v>
      </c>
      <c r="D562" s="4">
        <f t="shared" si="284"/>
        <v>1519886</v>
      </c>
      <c r="E562" s="4">
        <f>350*646.76</f>
        <v>226366</v>
      </c>
      <c r="F562" s="4">
        <f>1050*646.76</f>
        <v>679098</v>
      </c>
      <c r="G562" s="4">
        <f>300*646.76</f>
        <v>194028</v>
      </c>
      <c r="H562" s="4">
        <f>400*646.76</f>
        <v>258704</v>
      </c>
      <c r="I562" s="4">
        <f>250*646.76</f>
        <v>161690</v>
      </c>
      <c r="J562" s="4">
        <f>350*0</f>
        <v>0</v>
      </c>
      <c r="K562" s="5">
        <v>0</v>
      </c>
      <c r="L562" s="4">
        <v>0</v>
      </c>
      <c r="M562" s="4">
        <v>551.29999999999995</v>
      </c>
      <c r="N562" s="4">
        <f t="shared" si="281"/>
        <v>3032149.9999999995</v>
      </c>
      <c r="O562" s="4">
        <v>0</v>
      </c>
      <c r="P562" s="4">
        <v>0</v>
      </c>
      <c r="Q562" s="6">
        <v>700</v>
      </c>
      <c r="R562" s="4">
        <f t="shared" si="282"/>
        <v>2100000</v>
      </c>
      <c r="S562" s="4">
        <v>0</v>
      </c>
      <c r="T562" s="6">
        <v>0</v>
      </c>
      <c r="U562" s="4">
        <v>200000</v>
      </c>
      <c r="V562" s="7">
        <f t="shared" si="283"/>
        <v>5500</v>
      </c>
    </row>
    <row r="563" spans="1:22" ht="21.95" customHeight="1" x14ac:dyDescent="0.25">
      <c r="A563" s="52" t="s">
        <v>1326</v>
      </c>
      <c r="B563" s="9" t="s">
        <v>603</v>
      </c>
      <c r="C563" s="3">
        <f t="shared" si="276"/>
        <v>2797100</v>
      </c>
      <c r="D563" s="4">
        <f t="shared" si="284"/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12">
        <v>0</v>
      </c>
      <c r="L563" s="6">
        <v>0</v>
      </c>
      <c r="M563" s="6">
        <v>293</v>
      </c>
      <c r="N563" s="4">
        <f t="shared" ref="N563:N574" si="285">M563*5500</f>
        <v>1611500</v>
      </c>
      <c r="O563" s="6">
        <v>0</v>
      </c>
      <c r="P563" s="6">
        <v>0</v>
      </c>
      <c r="Q563" s="6">
        <v>395.2</v>
      </c>
      <c r="R563" s="4">
        <f t="shared" si="282"/>
        <v>1185600</v>
      </c>
      <c r="S563" s="6">
        <v>0</v>
      </c>
      <c r="T563" s="6">
        <v>0</v>
      </c>
      <c r="U563" s="6">
        <v>0</v>
      </c>
      <c r="V563" s="7">
        <f t="shared" si="283"/>
        <v>5500</v>
      </c>
    </row>
    <row r="564" spans="1:22" ht="21.95" customHeight="1" x14ac:dyDescent="0.25">
      <c r="A564" s="52" t="s">
        <v>1327</v>
      </c>
      <c r="B564" s="9" t="s">
        <v>525</v>
      </c>
      <c r="C564" s="3">
        <f t="shared" si="276"/>
        <v>2741200</v>
      </c>
      <c r="D564" s="4">
        <f t="shared" si="284"/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12">
        <v>0</v>
      </c>
      <c r="L564" s="6">
        <v>0</v>
      </c>
      <c r="M564" s="6">
        <v>498.4</v>
      </c>
      <c r="N564" s="4">
        <f t="shared" si="285"/>
        <v>2741200</v>
      </c>
      <c r="O564" s="6">
        <v>0</v>
      </c>
      <c r="P564" s="6">
        <v>0</v>
      </c>
      <c r="Q564" s="6">
        <v>0</v>
      </c>
      <c r="R564" s="4">
        <f t="shared" si="282"/>
        <v>0</v>
      </c>
      <c r="S564" s="6">
        <v>0</v>
      </c>
      <c r="T564" s="6">
        <v>0</v>
      </c>
      <c r="U564" s="6">
        <v>0</v>
      </c>
      <c r="V564" s="7">
        <f t="shared" si="283"/>
        <v>5500</v>
      </c>
    </row>
    <row r="565" spans="1:22" ht="21.95" customHeight="1" x14ac:dyDescent="0.25">
      <c r="A565" s="52" t="s">
        <v>1328</v>
      </c>
      <c r="B565" s="9" t="s">
        <v>526</v>
      </c>
      <c r="C565" s="3">
        <f t="shared" si="276"/>
        <v>3729000</v>
      </c>
      <c r="D565" s="4">
        <f t="shared" si="284"/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12">
        <v>0</v>
      </c>
      <c r="L565" s="6">
        <v>0</v>
      </c>
      <c r="M565" s="6">
        <v>678</v>
      </c>
      <c r="N565" s="4">
        <f t="shared" si="285"/>
        <v>3729000</v>
      </c>
      <c r="O565" s="6">
        <v>0</v>
      </c>
      <c r="P565" s="6">
        <v>0</v>
      </c>
      <c r="Q565" s="6">
        <v>0</v>
      </c>
      <c r="R565" s="4">
        <f t="shared" si="282"/>
        <v>0</v>
      </c>
      <c r="S565" s="6">
        <v>0</v>
      </c>
      <c r="T565" s="6">
        <v>0</v>
      </c>
      <c r="U565" s="6">
        <v>0</v>
      </c>
      <c r="V565" s="7">
        <f t="shared" si="283"/>
        <v>5500</v>
      </c>
    </row>
    <row r="566" spans="1:22" ht="21.95" customHeight="1" x14ac:dyDescent="0.25">
      <c r="A566" s="52" t="s">
        <v>1329</v>
      </c>
      <c r="B566" s="9" t="s">
        <v>529</v>
      </c>
      <c r="C566" s="3">
        <f>D566+L566+N566+P566+R566+S566+T566+U566</f>
        <v>3175149.9999999995</v>
      </c>
      <c r="D566" s="4">
        <f>SUM(E566:J566)</f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12">
        <v>0</v>
      </c>
      <c r="L566" s="6">
        <v>0</v>
      </c>
      <c r="M566" s="6">
        <v>577.29999999999995</v>
      </c>
      <c r="N566" s="4">
        <f>M566*5500</f>
        <v>3175149.9999999995</v>
      </c>
      <c r="O566" s="6">
        <v>0</v>
      </c>
      <c r="P566" s="6">
        <v>0</v>
      </c>
      <c r="Q566" s="6">
        <v>0</v>
      </c>
      <c r="R566" s="4">
        <f>Q566*3000</f>
        <v>0</v>
      </c>
      <c r="S566" s="6">
        <v>0</v>
      </c>
      <c r="T566" s="6">
        <v>0</v>
      </c>
      <c r="U566" s="6">
        <v>0</v>
      </c>
      <c r="V566" s="7">
        <f>N566/M566</f>
        <v>5500</v>
      </c>
    </row>
    <row r="567" spans="1:22" ht="21.95" customHeight="1" x14ac:dyDescent="0.25">
      <c r="A567" s="52" t="s">
        <v>1330</v>
      </c>
      <c r="B567" s="9" t="s">
        <v>530</v>
      </c>
      <c r="C567" s="3">
        <f>D567+L567+N567+P567+R567+S567+T567+U567</f>
        <v>3175149.9999999995</v>
      </c>
      <c r="D567" s="4">
        <f>SUM(E567:J567)</f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12">
        <v>0</v>
      </c>
      <c r="L567" s="6">
        <v>0</v>
      </c>
      <c r="M567" s="6">
        <v>577.29999999999995</v>
      </c>
      <c r="N567" s="4">
        <f>M567*5500</f>
        <v>3175149.9999999995</v>
      </c>
      <c r="O567" s="6">
        <v>0</v>
      </c>
      <c r="P567" s="6">
        <v>0</v>
      </c>
      <c r="Q567" s="6">
        <v>0</v>
      </c>
      <c r="R567" s="4">
        <f>Q567*3000</f>
        <v>0</v>
      </c>
      <c r="S567" s="6">
        <v>0</v>
      </c>
      <c r="T567" s="6">
        <v>0</v>
      </c>
      <c r="U567" s="6">
        <v>0</v>
      </c>
      <c r="V567" s="7">
        <f>N567/M567</f>
        <v>5500</v>
      </c>
    </row>
    <row r="568" spans="1:22" ht="21.95" customHeight="1" x14ac:dyDescent="0.25">
      <c r="A568" s="52" t="s">
        <v>1331</v>
      </c>
      <c r="B568" s="9" t="s">
        <v>604</v>
      </c>
      <c r="C568" s="3">
        <f>D568+L568+N568+P568+R568+S568+T568+U568</f>
        <v>3175149.9999999995</v>
      </c>
      <c r="D568" s="4">
        <f>SUM(E568:J568)</f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12">
        <v>0</v>
      </c>
      <c r="L568" s="6">
        <v>0</v>
      </c>
      <c r="M568" s="6">
        <v>577.29999999999995</v>
      </c>
      <c r="N568" s="4">
        <f>M568*5500</f>
        <v>3175149.9999999995</v>
      </c>
      <c r="O568" s="6">
        <v>0</v>
      </c>
      <c r="P568" s="6">
        <v>0</v>
      </c>
      <c r="Q568" s="6">
        <v>0</v>
      </c>
      <c r="R568" s="4">
        <f>Q568*3000</f>
        <v>0</v>
      </c>
      <c r="S568" s="6">
        <v>0</v>
      </c>
      <c r="T568" s="6">
        <v>0</v>
      </c>
      <c r="U568" s="6">
        <v>0</v>
      </c>
      <c r="V568" s="7">
        <f>N568/M568</f>
        <v>5500</v>
      </c>
    </row>
    <row r="569" spans="1:22" ht="21.95" customHeight="1" x14ac:dyDescent="0.25">
      <c r="A569" s="52" t="s">
        <v>1332</v>
      </c>
      <c r="B569" s="9" t="s">
        <v>527</v>
      </c>
      <c r="C569" s="3">
        <f t="shared" si="276"/>
        <v>2744500</v>
      </c>
      <c r="D569" s="4">
        <f t="shared" si="284"/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12">
        <v>0</v>
      </c>
      <c r="L569" s="6">
        <v>0</v>
      </c>
      <c r="M569" s="6">
        <v>499</v>
      </c>
      <c r="N569" s="4">
        <f t="shared" si="285"/>
        <v>2744500</v>
      </c>
      <c r="O569" s="6">
        <v>0</v>
      </c>
      <c r="P569" s="6">
        <v>0</v>
      </c>
      <c r="Q569" s="6">
        <v>0</v>
      </c>
      <c r="R569" s="4">
        <f t="shared" si="282"/>
        <v>0</v>
      </c>
      <c r="S569" s="6">
        <v>0</v>
      </c>
      <c r="T569" s="6">
        <v>0</v>
      </c>
      <c r="U569" s="6">
        <v>0</v>
      </c>
      <c r="V569" s="7">
        <f t="shared" si="283"/>
        <v>5500</v>
      </c>
    </row>
    <row r="570" spans="1:22" ht="21.95" customHeight="1" x14ac:dyDescent="0.25">
      <c r="A570" s="52" t="s">
        <v>1333</v>
      </c>
      <c r="B570" s="9" t="s">
        <v>528</v>
      </c>
      <c r="C570" s="3">
        <f t="shared" si="276"/>
        <v>2597100</v>
      </c>
      <c r="D570" s="4">
        <f t="shared" si="284"/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12">
        <v>0</v>
      </c>
      <c r="L570" s="6">
        <v>0</v>
      </c>
      <c r="M570" s="6">
        <v>472.2</v>
      </c>
      <c r="N570" s="4">
        <f t="shared" si="285"/>
        <v>2597100</v>
      </c>
      <c r="O570" s="6">
        <v>0</v>
      </c>
      <c r="P570" s="6">
        <v>0</v>
      </c>
      <c r="Q570" s="6">
        <v>0</v>
      </c>
      <c r="R570" s="4">
        <f t="shared" si="282"/>
        <v>0</v>
      </c>
      <c r="S570" s="6">
        <v>0</v>
      </c>
      <c r="T570" s="6">
        <v>0</v>
      </c>
      <c r="U570" s="6">
        <v>0</v>
      </c>
      <c r="V570" s="7">
        <f t="shared" si="283"/>
        <v>5500</v>
      </c>
    </row>
    <row r="571" spans="1:22" ht="21.95" customHeight="1" x14ac:dyDescent="0.25">
      <c r="A571" s="52" t="s">
        <v>1334</v>
      </c>
      <c r="B571" s="9" t="s">
        <v>467</v>
      </c>
      <c r="C571" s="3">
        <f t="shared" si="276"/>
        <v>2597100</v>
      </c>
      <c r="D571" s="4">
        <f t="shared" si="284"/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5">
        <v>0</v>
      </c>
      <c r="L571" s="4">
        <v>0</v>
      </c>
      <c r="M571" s="4">
        <v>472.2</v>
      </c>
      <c r="N571" s="4">
        <f t="shared" si="285"/>
        <v>2597100</v>
      </c>
      <c r="O571" s="4">
        <v>0</v>
      </c>
      <c r="P571" s="4">
        <v>0</v>
      </c>
      <c r="Q571" s="4">
        <v>0</v>
      </c>
      <c r="R571" s="4">
        <f t="shared" si="282"/>
        <v>0</v>
      </c>
      <c r="S571" s="4">
        <v>0</v>
      </c>
      <c r="T571" s="6">
        <v>0</v>
      </c>
      <c r="U571" s="4">
        <v>0</v>
      </c>
      <c r="V571" s="7">
        <f t="shared" si="283"/>
        <v>5500</v>
      </c>
    </row>
    <row r="572" spans="1:22" ht="21.95" customHeight="1" x14ac:dyDescent="0.25">
      <c r="A572" s="52" t="s">
        <v>1335</v>
      </c>
      <c r="B572" s="9" t="s">
        <v>468</v>
      </c>
      <c r="C572" s="3">
        <f t="shared" si="276"/>
        <v>2597100</v>
      </c>
      <c r="D572" s="4">
        <f t="shared" si="284"/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5">
        <v>0</v>
      </c>
      <c r="L572" s="4">
        <v>0</v>
      </c>
      <c r="M572" s="4">
        <v>472.2</v>
      </c>
      <c r="N572" s="4">
        <f t="shared" si="285"/>
        <v>2597100</v>
      </c>
      <c r="O572" s="4">
        <v>0</v>
      </c>
      <c r="P572" s="4">
        <v>0</v>
      </c>
      <c r="Q572" s="4">
        <v>0</v>
      </c>
      <c r="R572" s="4">
        <f t="shared" si="282"/>
        <v>0</v>
      </c>
      <c r="S572" s="4">
        <v>0</v>
      </c>
      <c r="T572" s="6">
        <v>0</v>
      </c>
      <c r="U572" s="4">
        <v>0</v>
      </c>
      <c r="V572" s="7">
        <f t="shared" si="283"/>
        <v>5500</v>
      </c>
    </row>
    <row r="573" spans="1:22" ht="21.95" customHeight="1" x14ac:dyDescent="0.25">
      <c r="A573" s="52" t="s">
        <v>1336</v>
      </c>
      <c r="B573" s="9" t="s">
        <v>423</v>
      </c>
      <c r="C573" s="3">
        <f t="shared" si="276"/>
        <v>1815000</v>
      </c>
      <c r="D573" s="4">
        <f t="shared" si="284"/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5">
        <v>0</v>
      </c>
      <c r="L573" s="4">
        <v>0</v>
      </c>
      <c r="M573" s="4">
        <v>330</v>
      </c>
      <c r="N573" s="4">
        <f t="shared" si="285"/>
        <v>1815000</v>
      </c>
      <c r="O573" s="4">
        <v>0</v>
      </c>
      <c r="P573" s="4">
        <v>0</v>
      </c>
      <c r="Q573" s="4">
        <v>0</v>
      </c>
      <c r="R573" s="4">
        <f t="shared" si="282"/>
        <v>0</v>
      </c>
      <c r="S573" s="4">
        <v>0</v>
      </c>
      <c r="T573" s="6">
        <v>0</v>
      </c>
      <c r="U573" s="4">
        <v>0</v>
      </c>
      <c r="V573" s="7">
        <f t="shared" si="283"/>
        <v>5500</v>
      </c>
    </row>
    <row r="574" spans="1:22" ht="21.95" customHeight="1" x14ac:dyDescent="0.25">
      <c r="A574" s="52" t="s">
        <v>1337</v>
      </c>
      <c r="B574" s="9" t="s">
        <v>531</v>
      </c>
      <c r="C574" s="3">
        <f t="shared" si="276"/>
        <v>2743950</v>
      </c>
      <c r="D574" s="4">
        <f t="shared" si="284"/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12">
        <v>0</v>
      </c>
      <c r="L574" s="6">
        <v>0</v>
      </c>
      <c r="M574" s="6">
        <v>498.9</v>
      </c>
      <c r="N574" s="4">
        <f t="shared" si="285"/>
        <v>2743950</v>
      </c>
      <c r="O574" s="6">
        <v>0</v>
      </c>
      <c r="P574" s="6">
        <v>0</v>
      </c>
      <c r="Q574" s="6">
        <v>0</v>
      </c>
      <c r="R574" s="4">
        <f t="shared" si="282"/>
        <v>0</v>
      </c>
      <c r="S574" s="6">
        <v>0</v>
      </c>
      <c r="T574" s="6">
        <v>0</v>
      </c>
      <c r="U574" s="6">
        <v>0</v>
      </c>
      <c r="V574" s="7">
        <f t="shared" si="283"/>
        <v>5500</v>
      </c>
    </row>
    <row r="575" spans="1:22" ht="21.95" customHeight="1" x14ac:dyDescent="0.25">
      <c r="A575" s="52" t="s">
        <v>1338</v>
      </c>
      <c r="B575" s="9" t="s">
        <v>605</v>
      </c>
      <c r="C575" s="3">
        <f t="shared" si="276"/>
        <v>2526375</v>
      </c>
      <c r="D575" s="4">
        <f t="shared" si="284"/>
        <v>2426375</v>
      </c>
      <c r="E575" s="4">
        <f>350*1032.5</f>
        <v>361375</v>
      </c>
      <c r="F575" s="4">
        <f>1050*1032.5</f>
        <v>1084125</v>
      </c>
      <c r="G575" s="4">
        <f>300*1032.5</f>
        <v>309750</v>
      </c>
      <c r="H575" s="4">
        <f>400*1032.5</f>
        <v>413000</v>
      </c>
      <c r="I575" s="4">
        <f>250*1032.5</f>
        <v>258125</v>
      </c>
      <c r="J575" s="4">
        <f>350*0</f>
        <v>0</v>
      </c>
      <c r="K575" s="12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4">
        <f t="shared" si="282"/>
        <v>0</v>
      </c>
      <c r="S575" s="6">
        <v>0</v>
      </c>
      <c r="T575" s="6">
        <v>0</v>
      </c>
      <c r="U575" s="6">
        <v>100000</v>
      </c>
      <c r="V575" s="7" t="e">
        <f t="shared" si="283"/>
        <v>#DIV/0!</v>
      </c>
    </row>
    <row r="576" spans="1:22" ht="21.95" customHeight="1" x14ac:dyDescent="0.25">
      <c r="A576" s="52" t="s">
        <v>1339</v>
      </c>
      <c r="B576" s="9" t="s">
        <v>532</v>
      </c>
      <c r="C576" s="3">
        <f t="shared" si="276"/>
        <v>4554000</v>
      </c>
      <c r="D576" s="4">
        <f t="shared" si="284"/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12">
        <v>0</v>
      </c>
      <c r="L576" s="6">
        <v>0</v>
      </c>
      <c r="M576" s="6">
        <v>828</v>
      </c>
      <c r="N576" s="4">
        <f t="shared" ref="N576:N585" si="286">M576*5500</f>
        <v>4554000</v>
      </c>
      <c r="O576" s="6">
        <v>0</v>
      </c>
      <c r="P576" s="6">
        <v>0</v>
      </c>
      <c r="Q576" s="6">
        <v>0</v>
      </c>
      <c r="R576" s="4">
        <f t="shared" si="282"/>
        <v>0</v>
      </c>
      <c r="S576" s="6">
        <v>0</v>
      </c>
      <c r="T576" s="6">
        <v>0</v>
      </c>
      <c r="U576" s="6">
        <v>0</v>
      </c>
      <c r="V576" s="7">
        <f t="shared" si="283"/>
        <v>5500</v>
      </c>
    </row>
    <row r="577" spans="1:22" ht="21.95" customHeight="1" x14ac:dyDescent="0.25">
      <c r="A577" s="52" t="s">
        <v>1340</v>
      </c>
      <c r="B577" s="28" t="s">
        <v>533</v>
      </c>
      <c r="C577" s="3">
        <f t="shared" si="276"/>
        <v>1496000</v>
      </c>
      <c r="D577" s="4">
        <f t="shared" si="284"/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12">
        <v>0</v>
      </c>
      <c r="L577" s="6">
        <v>0</v>
      </c>
      <c r="M577" s="6">
        <v>272</v>
      </c>
      <c r="N577" s="4">
        <f t="shared" si="286"/>
        <v>1496000</v>
      </c>
      <c r="O577" s="6">
        <v>0</v>
      </c>
      <c r="P577" s="6">
        <v>0</v>
      </c>
      <c r="Q577" s="6">
        <v>0</v>
      </c>
      <c r="R577" s="4">
        <f t="shared" si="282"/>
        <v>0</v>
      </c>
      <c r="S577" s="6">
        <v>0</v>
      </c>
      <c r="T577" s="6">
        <v>0</v>
      </c>
      <c r="U577" s="6">
        <v>0</v>
      </c>
      <c r="V577" s="7">
        <f t="shared" si="283"/>
        <v>5500</v>
      </c>
    </row>
    <row r="578" spans="1:22" ht="21.95" customHeight="1" x14ac:dyDescent="0.25">
      <c r="A578" s="52" t="s">
        <v>1341</v>
      </c>
      <c r="B578" s="28" t="s">
        <v>395</v>
      </c>
      <c r="C578" s="3">
        <f t="shared" si="276"/>
        <v>2467300</v>
      </c>
      <c r="D578" s="4">
        <f t="shared" si="284"/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5">
        <v>0</v>
      </c>
      <c r="L578" s="4">
        <v>0</v>
      </c>
      <c r="M578" s="4">
        <v>448.6</v>
      </c>
      <c r="N578" s="4">
        <f t="shared" si="286"/>
        <v>2467300</v>
      </c>
      <c r="O578" s="4">
        <v>0</v>
      </c>
      <c r="P578" s="4">
        <v>0</v>
      </c>
      <c r="Q578" s="4">
        <v>0</v>
      </c>
      <c r="R578" s="4">
        <f t="shared" si="282"/>
        <v>0</v>
      </c>
      <c r="S578" s="4">
        <v>0</v>
      </c>
      <c r="T578" s="6">
        <v>0</v>
      </c>
      <c r="U578" s="4">
        <v>0</v>
      </c>
      <c r="V578" s="7">
        <f t="shared" si="283"/>
        <v>5500</v>
      </c>
    </row>
    <row r="579" spans="1:22" ht="21.95" customHeight="1" x14ac:dyDescent="0.25">
      <c r="A579" s="52" t="s">
        <v>1342</v>
      </c>
      <c r="B579" s="9" t="s">
        <v>389</v>
      </c>
      <c r="C579" s="3">
        <f t="shared" si="276"/>
        <v>1888150</v>
      </c>
      <c r="D579" s="4">
        <f t="shared" si="284"/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5">
        <v>0</v>
      </c>
      <c r="L579" s="4">
        <v>0</v>
      </c>
      <c r="M579" s="4">
        <v>343.3</v>
      </c>
      <c r="N579" s="4">
        <f t="shared" si="286"/>
        <v>1888150</v>
      </c>
      <c r="O579" s="4">
        <v>0</v>
      </c>
      <c r="P579" s="4">
        <v>0</v>
      </c>
      <c r="Q579" s="4">
        <v>0</v>
      </c>
      <c r="R579" s="4">
        <f t="shared" si="282"/>
        <v>0</v>
      </c>
      <c r="S579" s="4">
        <v>0</v>
      </c>
      <c r="T579" s="6">
        <v>0</v>
      </c>
      <c r="U579" s="4">
        <v>0</v>
      </c>
      <c r="V579" s="7">
        <f t="shared" si="283"/>
        <v>5500</v>
      </c>
    </row>
    <row r="580" spans="1:22" ht="21.95" customHeight="1" x14ac:dyDescent="0.25">
      <c r="A580" s="52" t="s">
        <v>1343</v>
      </c>
      <c r="B580" s="9" t="s">
        <v>534</v>
      </c>
      <c r="C580" s="3">
        <f t="shared" si="276"/>
        <v>5111385</v>
      </c>
      <c r="D580" s="4">
        <f t="shared" si="284"/>
        <v>2190435</v>
      </c>
      <c r="E580" s="4">
        <f>350*932.1</f>
        <v>326235</v>
      </c>
      <c r="F580" s="4">
        <f>1050*932.1</f>
        <v>978705</v>
      </c>
      <c r="G580" s="4">
        <f>300*932.1</f>
        <v>279630</v>
      </c>
      <c r="H580" s="4">
        <f>400*932.1</f>
        <v>372840</v>
      </c>
      <c r="I580" s="4">
        <f>250*932.1</f>
        <v>233025</v>
      </c>
      <c r="J580" s="4">
        <f>350*0</f>
        <v>0</v>
      </c>
      <c r="K580" s="12">
        <v>0</v>
      </c>
      <c r="L580" s="6">
        <v>0</v>
      </c>
      <c r="M580" s="6">
        <v>512.9</v>
      </c>
      <c r="N580" s="4">
        <f t="shared" si="286"/>
        <v>2820950</v>
      </c>
      <c r="O580" s="6">
        <v>0</v>
      </c>
      <c r="P580" s="6">
        <v>0</v>
      </c>
      <c r="Q580" s="6">
        <v>0</v>
      </c>
      <c r="R580" s="4">
        <f t="shared" si="282"/>
        <v>0</v>
      </c>
      <c r="S580" s="6">
        <v>0</v>
      </c>
      <c r="T580" s="6">
        <v>0</v>
      </c>
      <c r="U580" s="6">
        <v>100000</v>
      </c>
      <c r="V580" s="7">
        <f t="shared" si="283"/>
        <v>5500</v>
      </c>
    </row>
    <row r="581" spans="1:22" ht="21.95" customHeight="1" x14ac:dyDescent="0.25">
      <c r="A581" s="52" t="s">
        <v>1600</v>
      </c>
      <c r="B581" s="9" t="s">
        <v>535</v>
      </c>
      <c r="C581" s="3">
        <f t="shared" si="276"/>
        <v>1595000</v>
      </c>
      <c r="D581" s="4">
        <f t="shared" si="284"/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12">
        <v>0</v>
      </c>
      <c r="L581" s="6">
        <v>0</v>
      </c>
      <c r="M581" s="6">
        <v>290</v>
      </c>
      <c r="N581" s="4">
        <f t="shared" si="286"/>
        <v>1595000</v>
      </c>
      <c r="O581" s="6">
        <v>0</v>
      </c>
      <c r="P581" s="6">
        <v>0</v>
      </c>
      <c r="Q581" s="6">
        <v>0</v>
      </c>
      <c r="R581" s="4">
        <f t="shared" si="282"/>
        <v>0</v>
      </c>
      <c r="S581" s="6">
        <v>0</v>
      </c>
      <c r="T581" s="6">
        <v>0</v>
      </c>
      <c r="U581" s="6">
        <v>0</v>
      </c>
      <c r="V581" s="7">
        <f t="shared" si="283"/>
        <v>5500</v>
      </c>
    </row>
    <row r="582" spans="1:22" ht="21.95" customHeight="1" x14ac:dyDescent="0.25">
      <c r="A582" s="52" t="s">
        <v>1344</v>
      </c>
      <c r="B582" s="9" t="s">
        <v>536</v>
      </c>
      <c r="C582" s="3">
        <f t="shared" si="276"/>
        <v>2205500</v>
      </c>
      <c r="D582" s="4">
        <f t="shared" si="284"/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12">
        <v>0</v>
      </c>
      <c r="L582" s="6">
        <v>0</v>
      </c>
      <c r="M582" s="6">
        <v>401</v>
      </c>
      <c r="N582" s="4">
        <f t="shared" si="286"/>
        <v>2205500</v>
      </c>
      <c r="O582" s="6">
        <v>0</v>
      </c>
      <c r="P582" s="6">
        <v>0</v>
      </c>
      <c r="Q582" s="6">
        <v>0</v>
      </c>
      <c r="R582" s="4">
        <f t="shared" si="282"/>
        <v>0</v>
      </c>
      <c r="S582" s="6">
        <v>0</v>
      </c>
      <c r="T582" s="6">
        <v>0</v>
      </c>
      <c r="U582" s="6">
        <v>0</v>
      </c>
      <c r="V582" s="7">
        <f t="shared" si="283"/>
        <v>5500</v>
      </c>
    </row>
    <row r="583" spans="1:22" ht="21.95" customHeight="1" x14ac:dyDescent="0.25">
      <c r="A583" s="52" t="s">
        <v>1345</v>
      </c>
      <c r="B583" s="9" t="s">
        <v>606</v>
      </c>
      <c r="C583" s="3">
        <f t="shared" si="276"/>
        <v>4933500</v>
      </c>
      <c r="D583" s="4">
        <f t="shared" si="284"/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12">
        <v>0</v>
      </c>
      <c r="L583" s="6">
        <v>0</v>
      </c>
      <c r="M583" s="6">
        <v>897</v>
      </c>
      <c r="N583" s="4">
        <f t="shared" si="286"/>
        <v>4933500</v>
      </c>
      <c r="O583" s="6">
        <v>0</v>
      </c>
      <c r="P583" s="6">
        <v>0</v>
      </c>
      <c r="Q583" s="6">
        <v>0</v>
      </c>
      <c r="R583" s="4">
        <f t="shared" si="282"/>
        <v>0</v>
      </c>
      <c r="S583" s="6">
        <v>0</v>
      </c>
      <c r="T583" s="6">
        <v>0</v>
      </c>
      <c r="U583" s="6">
        <v>0</v>
      </c>
      <c r="V583" s="7">
        <f t="shared" si="283"/>
        <v>5500</v>
      </c>
    </row>
    <row r="584" spans="1:22" ht="21.95" customHeight="1" x14ac:dyDescent="0.25">
      <c r="A584" s="52" t="s">
        <v>1601</v>
      </c>
      <c r="B584" s="9" t="s">
        <v>607</v>
      </c>
      <c r="C584" s="3">
        <f t="shared" si="276"/>
        <v>1419000</v>
      </c>
      <c r="D584" s="4">
        <f t="shared" si="284"/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12">
        <v>0</v>
      </c>
      <c r="L584" s="6">
        <v>0</v>
      </c>
      <c r="M584" s="6">
        <v>258</v>
      </c>
      <c r="N584" s="4">
        <f t="shared" si="286"/>
        <v>1419000</v>
      </c>
      <c r="O584" s="6">
        <v>0</v>
      </c>
      <c r="P584" s="6">
        <v>0</v>
      </c>
      <c r="Q584" s="6">
        <v>0</v>
      </c>
      <c r="R584" s="4">
        <f t="shared" si="282"/>
        <v>0</v>
      </c>
      <c r="S584" s="6">
        <v>0</v>
      </c>
      <c r="T584" s="6">
        <v>0</v>
      </c>
      <c r="U584" s="6">
        <v>0</v>
      </c>
      <c r="V584" s="7">
        <f t="shared" si="283"/>
        <v>5500</v>
      </c>
    </row>
    <row r="585" spans="1:22" ht="21.95" customHeight="1" x14ac:dyDescent="0.25">
      <c r="A585" s="52" t="s">
        <v>1346</v>
      </c>
      <c r="B585" s="9" t="s">
        <v>537</v>
      </c>
      <c r="C585" s="3">
        <f t="shared" si="276"/>
        <v>1392050</v>
      </c>
      <c r="D585" s="4">
        <f t="shared" si="284"/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12">
        <v>0</v>
      </c>
      <c r="L585" s="6">
        <v>0</v>
      </c>
      <c r="M585" s="6">
        <v>253.1</v>
      </c>
      <c r="N585" s="4">
        <f t="shared" si="286"/>
        <v>1392050</v>
      </c>
      <c r="O585" s="6">
        <v>0</v>
      </c>
      <c r="P585" s="6">
        <v>0</v>
      </c>
      <c r="Q585" s="6">
        <v>0</v>
      </c>
      <c r="R585" s="4">
        <f t="shared" si="282"/>
        <v>0</v>
      </c>
      <c r="S585" s="6">
        <v>0</v>
      </c>
      <c r="T585" s="6">
        <v>0</v>
      </c>
      <c r="U585" s="6">
        <v>0</v>
      </c>
      <c r="V585" s="7">
        <f t="shared" si="283"/>
        <v>5500</v>
      </c>
    </row>
    <row r="586" spans="1:22" ht="21.95" customHeight="1" x14ac:dyDescent="0.25">
      <c r="A586" s="52" t="s">
        <v>1347</v>
      </c>
      <c r="B586" s="9" t="s">
        <v>538</v>
      </c>
      <c r="C586" s="3">
        <f t="shared" si="276"/>
        <v>1364000</v>
      </c>
      <c r="D586" s="4">
        <f t="shared" si="284"/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12">
        <v>0</v>
      </c>
      <c r="L586" s="6">
        <v>0</v>
      </c>
      <c r="M586" s="6">
        <v>248</v>
      </c>
      <c r="N586" s="4">
        <f t="shared" ref="N586:N601" si="287">M586*5500</f>
        <v>1364000</v>
      </c>
      <c r="O586" s="6">
        <v>0</v>
      </c>
      <c r="P586" s="6">
        <v>0</v>
      </c>
      <c r="Q586" s="6">
        <v>0</v>
      </c>
      <c r="R586" s="4">
        <f t="shared" si="282"/>
        <v>0</v>
      </c>
      <c r="S586" s="6">
        <v>0</v>
      </c>
      <c r="T586" s="6">
        <v>0</v>
      </c>
      <c r="U586" s="6">
        <v>0</v>
      </c>
      <c r="V586" s="7">
        <f t="shared" si="283"/>
        <v>5500</v>
      </c>
    </row>
    <row r="587" spans="1:22" ht="21.95" customHeight="1" x14ac:dyDescent="0.25">
      <c r="A587" s="52" t="s">
        <v>1348</v>
      </c>
      <c r="B587" s="9" t="s">
        <v>539</v>
      </c>
      <c r="C587" s="3">
        <f t="shared" si="276"/>
        <v>1364000</v>
      </c>
      <c r="D587" s="4">
        <f t="shared" si="284"/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12">
        <v>0</v>
      </c>
      <c r="L587" s="6">
        <v>0</v>
      </c>
      <c r="M587" s="6">
        <v>248</v>
      </c>
      <c r="N587" s="4">
        <f t="shared" si="287"/>
        <v>1364000</v>
      </c>
      <c r="O587" s="6">
        <v>0</v>
      </c>
      <c r="P587" s="6">
        <v>0</v>
      </c>
      <c r="Q587" s="6">
        <v>0</v>
      </c>
      <c r="R587" s="4">
        <f t="shared" si="282"/>
        <v>0</v>
      </c>
      <c r="S587" s="6">
        <v>0</v>
      </c>
      <c r="T587" s="6">
        <v>0</v>
      </c>
      <c r="U587" s="6">
        <v>0</v>
      </c>
      <c r="V587" s="7">
        <f t="shared" si="283"/>
        <v>5500</v>
      </c>
    </row>
    <row r="588" spans="1:22" ht="21.95" customHeight="1" x14ac:dyDescent="0.25">
      <c r="A588" s="52" t="s">
        <v>1349</v>
      </c>
      <c r="B588" s="28" t="s">
        <v>608</v>
      </c>
      <c r="C588" s="3">
        <f t="shared" si="276"/>
        <v>4125000</v>
      </c>
      <c r="D588" s="4">
        <f t="shared" si="284"/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12">
        <v>0</v>
      </c>
      <c r="L588" s="6">
        <v>0</v>
      </c>
      <c r="M588" s="6">
        <v>750</v>
      </c>
      <c r="N588" s="4">
        <f t="shared" si="287"/>
        <v>4125000</v>
      </c>
      <c r="O588" s="6">
        <v>0</v>
      </c>
      <c r="P588" s="6">
        <v>0</v>
      </c>
      <c r="Q588" s="6">
        <v>0</v>
      </c>
      <c r="R588" s="4">
        <f t="shared" si="282"/>
        <v>0</v>
      </c>
      <c r="S588" s="6">
        <v>0</v>
      </c>
      <c r="T588" s="6">
        <v>0</v>
      </c>
      <c r="U588" s="6">
        <v>0</v>
      </c>
      <c r="V588" s="7">
        <f t="shared" si="283"/>
        <v>5500</v>
      </c>
    </row>
    <row r="589" spans="1:22" ht="21.95" customHeight="1" x14ac:dyDescent="0.25">
      <c r="A589" s="52" t="s">
        <v>1350</v>
      </c>
      <c r="B589" s="28" t="s">
        <v>609</v>
      </c>
      <c r="C589" s="3">
        <f t="shared" si="276"/>
        <v>1221000</v>
      </c>
      <c r="D589" s="4">
        <f t="shared" si="284"/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12">
        <v>0</v>
      </c>
      <c r="L589" s="6">
        <v>0</v>
      </c>
      <c r="M589" s="6">
        <v>222</v>
      </c>
      <c r="N589" s="4">
        <f t="shared" si="287"/>
        <v>1221000</v>
      </c>
      <c r="O589" s="6">
        <v>0</v>
      </c>
      <c r="P589" s="6">
        <v>0</v>
      </c>
      <c r="Q589" s="6">
        <v>0</v>
      </c>
      <c r="R589" s="4">
        <f t="shared" si="282"/>
        <v>0</v>
      </c>
      <c r="S589" s="6">
        <v>0</v>
      </c>
      <c r="T589" s="6">
        <v>0</v>
      </c>
      <c r="U589" s="6">
        <v>0</v>
      </c>
      <c r="V589" s="7">
        <f t="shared" si="283"/>
        <v>5500</v>
      </c>
    </row>
    <row r="590" spans="1:22" ht="21.95" customHeight="1" x14ac:dyDescent="0.25">
      <c r="A590" s="52" t="s">
        <v>1351</v>
      </c>
      <c r="B590" s="28" t="s">
        <v>610</v>
      </c>
      <c r="C590" s="3">
        <f t="shared" si="276"/>
        <v>1941500</v>
      </c>
      <c r="D590" s="4">
        <f t="shared" si="284"/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12">
        <v>0</v>
      </c>
      <c r="L590" s="6">
        <v>0</v>
      </c>
      <c r="M590" s="6">
        <v>353</v>
      </c>
      <c r="N590" s="4">
        <f t="shared" si="287"/>
        <v>1941500</v>
      </c>
      <c r="O590" s="6">
        <v>0</v>
      </c>
      <c r="P590" s="6">
        <v>0</v>
      </c>
      <c r="Q590" s="6">
        <v>0</v>
      </c>
      <c r="R590" s="4">
        <f t="shared" si="282"/>
        <v>0</v>
      </c>
      <c r="S590" s="6">
        <v>0</v>
      </c>
      <c r="T590" s="6">
        <v>0</v>
      </c>
      <c r="U590" s="6">
        <v>0</v>
      </c>
      <c r="V590" s="7">
        <f t="shared" si="283"/>
        <v>5500</v>
      </c>
    </row>
    <row r="591" spans="1:22" ht="21.95" customHeight="1" x14ac:dyDescent="0.25">
      <c r="A591" s="52" t="s">
        <v>1352</v>
      </c>
      <c r="B591" s="9" t="s">
        <v>540</v>
      </c>
      <c r="C591" s="3">
        <f t="shared" si="276"/>
        <v>1995400</v>
      </c>
      <c r="D591" s="4">
        <f t="shared" si="284"/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12">
        <v>0</v>
      </c>
      <c r="L591" s="6">
        <v>0</v>
      </c>
      <c r="M591" s="6">
        <v>362.8</v>
      </c>
      <c r="N591" s="4">
        <f t="shared" si="287"/>
        <v>1995400</v>
      </c>
      <c r="O591" s="6">
        <v>0</v>
      </c>
      <c r="P591" s="6">
        <v>0</v>
      </c>
      <c r="Q591" s="6">
        <v>0</v>
      </c>
      <c r="R591" s="4">
        <f t="shared" si="282"/>
        <v>0</v>
      </c>
      <c r="S591" s="6">
        <v>0</v>
      </c>
      <c r="T591" s="6">
        <v>0</v>
      </c>
      <c r="U591" s="6">
        <v>0</v>
      </c>
      <c r="V591" s="7">
        <f t="shared" si="283"/>
        <v>5500</v>
      </c>
    </row>
    <row r="592" spans="1:22" ht="21.95" customHeight="1" x14ac:dyDescent="0.25">
      <c r="A592" s="52" t="s">
        <v>1353</v>
      </c>
      <c r="B592" s="9" t="s">
        <v>611</v>
      </c>
      <c r="C592" s="3">
        <f t="shared" ref="C592:C656" si="288">D592+L592+N592+P592+R592+S592+T592+U592</f>
        <v>1534500</v>
      </c>
      <c r="D592" s="4">
        <f t="shared" si="284"/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12">
        <v>0</v>
      </c>
      <c r="L592" s="6">
        <v>0</v>
      </c>
      <c r="M592" s="6">
        <v>279</v>
      </c>
      <c r="N592" s="4">
        <f t="shared" si="287"/>
        <v>1534500</v>
      </c>
      <c r="O592" s="6">
        <v>0</v>
      </c>
      <c r="P592" s="6">
        <v>0</v>
      </c>
      <c r="Q592" s="6">
        <v>0</v>
      </c>
      <c r="R592" s="4">
        <f t="shared" si="282"/>
        <v>0</v>
      </c>
      <c r="S592" s="6">
        <v>0</v>
      </c>
      <c r="T592" s="6">
        <v>0</v>
      </c>
      <c r="U592" s="6">
        <v>0</v>
      </c>
      <c r="V592" s="7">
        <f t="shared" si="283"/>
        <v>5500</v>
      </c>
    </row>
    <row r="593" spans="1:22" ht="21.95" customHeight="1" x14ac:dyDescent="0.25">
      <c r="A593" s="52" t="s">
        <v>1354</v>
      </c>
      <c r="B593" s="9" t="s">
        <v>541</v>
      </c>
      <c r="C593" s="3">
        <f t="shared" si="288"/>
        <v>1529000</v>
      </c>
      <c r="D593" s="4">
        <f t="shared" si="284"/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12">
        <v>0</v>
      </c>
      <c r="L593" s="6">
        <v>0</v>
      </c>
      <c r="M593" s="6">
        <v>278</v>
      </c>
      <c r="N593" s="4">
        <f t="shared" si="287"/>
        <v>1529000</v>
      </c>
      <c r="O593" s="6">
        <v>0</v>
      </c>
      <c r="P593" s="6">
        <v>0</v>
      </c>
      <c r="Q593" s="6">
        <v>0</v>
      </c>
      <c r="R593" s="4">
        <f t="shared" si="282"/>
        <v>0</v>
      </c>
      <c r="S593" s="6">
        <v>0</v>
      </c>
      <c r="T593" s="6">
        <v>0</v>
      </c>
      <c r="U593" s="6">
        <v>0</v>
      </c>
      <c r="V593" s="7">
        <f t="shared" si="283"/>
        <v>5500</v>
      </c>
    </row>
    <row r="594" spans="1:22" ht="21.95" customHeight="1" x14ac:dyDescent="0.25">
      <c r="A594" s="52" t="s">
        <v>1355</v>
      </c>
      <c r="B594" s="9" t="s">
        <v>612</v>
      </c>
      <c r="C594" s="3">
        <f t="shared" si="288"/>
        <v>4515500</v>
      </c>
      <c r="D594" s="4">
        <f t="shared" si="284"/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12">
        <v>0</v>
      </c>
      <c r="L594" s="6">
        <v>0</v>
      </c>
      <c r="M594" s="6">
        <v>821</v>
      </c>
      <c r="N594" s="4">
        <f t="shared" si="287"/>
        <v>4515500</v>
      </c>
      <c r="O594" s="6">
        <v>0</v>
      </c>
      <c r="P594" s="6">
        <v>0</v>
      </c>
      <c r="Q594" s="6">
        <v>0</v>
      </c>
      <c r="R594" s="4">
        <f t="shared" si="282"/>
        <v>0</v>
      </c>
      <c r="S594" s="6">
        <v>0</v>
      </c>
      <c r="T594" s="6">
        <v>0</v>
      </c>
      <c r="U594" s="6">
        <v>0</v>
      </c>
      <c r="V594" s="7">
        <f t="shared" si="283"/>
        <v>5500</v>
      </c>
    </row>
    <row r="595" spans="1:22" ht="21.95" customHeight="1" x14ac:dyDescent="0.25">
      <c r="A595" s="52" t="s">
        <v>1356</v>
      </c>
      <c r="B595" s="9" t="s">
        <v>613</v>
      </c>
      <c r="C595" s="3">
        <f t="shared" si="288"/>
        <v>2678500</v>
      </c>
      <c r="D595" s="4">
        <f t="shared" si="284"/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12">
        <v>0</v>
      </c>
      <c r="L595" s="6">
        <v>0</v>
      </c>
      <c r="M595" s="6">
        <v>487</v>
      </c>
      <c r="N595" s="4">
        <f t="shared" si="287"/>
        <v>2678500</v>
      </c>
      <c r="O595" s="6">
        <v>0</v>
      </c>
      <c r="P595" s="6">
        <v>0</v>
      </c>
      <c r="Q595" s="6">
        <v>0</v>
      </c>
      <c r="R595" s="4">
        <f t="shared" si="282"/>
        <v>0</v>
      </c>
      <c r="S595" s="6">
        <v>0</v>
      </c>
      <c r="T595" s="6">
        <v>0</v>
      </c>
      <c r="U595" s="6">
        <v>0</v>
      </c>
      <c r="V595" s="7">
        <f t="shared" si="283"/>
        <v>5500</v>
      </c>
    </row>
    <row r="596" spans="1:22" ht="21.95" customHeight="1" x14ac:dyDescent="0.25">
      <c r="A596" s="52" t="s">
        <v>1357</v>
      </c>
      <c r="B596" s="9" t="s">
        <v>507</v>
      </c>
      <c r="C596" s="3">
        <f t="shared" si="288"/>
        <v>5223600</v>
      </c>
      <c r="D596" s="4">
        <f t="shared" si="284"/>
        <v>5223600</v>
      </c>
      <c r="E596" s="4">
        <v>0</v>
      </c>
      <c r="F596" s="4">
        <f>800*3482.4</f>
        <v>2785920</v>
      </c>
      <c r="G596" s="4">
        <f>300*3482.4</f>
        <v>1044720</v>
      </c>
      <c r="H596" s="4">
        <f>800*0</f>
        <v>0</v>
      </c>
      <c r="I596" s="4">
        <f>400*3482.4</f>
        <v>1392960</v>
      </c>
      <c r="J596" s="4">
        <f>800*0</f>
        <v>0</v>
      </c>
      <c r="K596" s="5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7" t="e">
        <f t="shared" si="283"/>
        <v>#DIV/0!</v>
      </c>
    </row>
    <row r="597" spans="1:22" ht="21.95" customHeight="1" x14ac:dyDescent="0.25">
      <c r="A597" s="52" t="s">
        <v>1358</v>
      </c>
      <c r="B597" s="9" t="s">
        <v>614</v>
      </c>
      <c r="C597" s="3">
        <f t="shared" si="288"/>
        <v>1633500</v>
      </c>
      <c r="D597" s="4">
        <f t="shared" si="284"/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12">
        <v>0</v>
      </c>
      <c r="L597" s="6">
        <v>0</v>
      </c>
      <c r="M597" s="6">
        <v>297</v>
      </c>
      <c r="N597" s="4">
        <f t="shared" si="287"/>
        <v>1633500</v>
      </c>
      <c r="O597" s="6">
        <v>0</v>
      </c>
      <c r="P597" s="6">
        <v>0</v>
      </c>
      <c r="Q597" s="6">
        <v>0</v>
      </c>
      <c r="R597" s="4">
        <f t="shared" si="282"/>
        <v>0</v>
      </c>
      <c r="S597" s="6">
        <v>0</v>
      </c>
      <c r="T597" s="6">
        <v>0</v>
      </c>
      <c r="U597" s="6">
        <v>0</v>
      </c>
      <c r="V597" s="7">
        <f t="shared" si="283"/>
        <v>5500</v>
      </c>
    </row>
    <row r="598" spans="1:22" ht="21.95" customHeight="1" x14ac:dyDescent="0.25">
      <c r="A598" s="52" t="s">
        <v>1359</v>
      </c>
      <c r="B598" s="9" t="s">
        <v>615</v>
      </c>
      <c r="C598" s="3">
        <f t="shared" si="288"/>
        <v>2490950</v>
      </c>
      <c r="D598" s="4">
        <f t="shared" si="284"/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12">
        <v>0</v>
      </c>
      <c r="L598" s="6">
        <v>0</v>
      </c>
      <c r="M598" s="6">
        <v>452.9</v>
      </c>
      <c r="N598" s="4">
        <f t="shared" si="287"/>
        <v>2490950</v>
      </c>
      <c r="O598" s="6">
        <v>0</v>
      </c>
      <c r="P598" s="6">
        <v>0</v>
      </c>
      <c r="Q598" s="6">
        <v>0</v>
      </c>
      <c r="R598" s="4">
        <f t="shared" si="282"/>
        <v>0</v>
      </c>
      <c r="S598" s="6">
        <v>0</v>
      </c>
      <c r="T598" s="6">
        <v>0</v>
      </c>
      <c r="U598" s="6">
        <v>0</v>
      </c>
      <c r="V598" s="7">
        <f t="shared" si="283"/>
        <v>5500</v>
      </c>
    </row>
    <row r="599" spans="1:22" ht="21.95" customHeight="1" x14ac:dyDescent="0.25">
      <c r="A599" s="52" t="s">
        <v>1360</v>
      </c>
      <c r="B599" s="9" t="s">
        <v>469</v>
      </c>
      <c r="C599" s="3">
        <f t="shared" si="288"/>
        <v>3595899.9999999995</v>
      </c>
      <c r="D599" s="4">
        <f t="shared" si="284"/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5">
        <v>0</v>
      </c>
      <c r="L599" s="4">
        <v>0</v>
      </c>
      <c r="M599" s="4">
        <v>653.79999999999995</v>
      </c>
      <c r="N599" s="4">
        <f t="shared" si="287"/>
        <v>3595899.9999999995</v>
      </c>
      <c r="O599" s="4">
        <v>0</v>
      </c>
      <c r="P599" s="4">
        <v>0</v>
      </c>
      <c r="Q599" s="4">
        <v>0</v>
      </c>
      <c r="R599" s="4">
        <f t="shared" si="282"/>
        <v>0</v>
      </c>
      <c r="S599" s="4">
        <v>0</v>
      </c>
      <c r="T599" s="6">
        <v>0</v>
      </c>
      <c r="U599" s="4">
        <v>0</v>
      </c>
      <c r="V599" s="7">
        <f t="shared" si="283"/>
        <v>5500</v>
      </c>
    </row>
    <row r="600" spans="1:22" ht="21.95" customHeight="1" x14ac:dyDescent="0.25">
      <c r="A600" s="52" t="s">
        <v>1361</v>
      </c>
      <c r="B600" s="9" t="s">
        <v>616</v>
      </c>
      <c r="C600" s="3">
        <f t="shared" si="288"/>
        <v>1402500</v>
      </c>
      <c r="D600" s="4">
        <f t="shared" si="284"/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12">
        <v>0</v>
      </c>
      <c r="L600" s="6">
        <v>0</v>
      </c>
      <c r="M600" s="6">
        <v>255</v>
      </c>
      <c r="N600" s="4">
        <f t="shared" si="287"/>
        <v>1402500</v>
      </c>
      <c r="O600" s="6">
        <v>0</v>
      </c>
      <c r="P600" s="6">
        <v>0</v>
      </c>
      <c r="Q600" s="6">
        <v>0</v>
      </c>
      <c r="R600" s="4">
        <f t="shared" si="282"/>
        <v>0</v>
      </c>
      <c r="S600" s="6">
        <v>0</v>
      </c>
      <c r="T600" s="6">
        <v>0</v>
      </c>
      <c r="U600" s="6">
        <v>0</v>
      </c>
      <c r="V600" s="7">
        <f t="shared" si="283"/>
        <v>5500</v>
      </c>
    </row>
    <row r="601" spans="1:22" ht="21.95" customHeight="1" x14ac:dyDescent="0.25">
      <c r="A601" s="52" t="s">
        <v>1362</v>
      </c>
      <c r="B601" s="9" t="s">
        <v>542</v>
      </c>
      <c r="C601" s="3">
        <f t="shared" si="288"/>
        <v>3562899.9999999995</v>
      </c>
      <c r="D601" s="4">
        <f t="shared" si="284"/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12">
        <v>0</v>
      </c>
      <c r="L601" s="6">
        <v>0</v>
      </c>
      <c r="M601" s="6">
        <v>647.79999999999995</v>
      </c>
      <c r="N601" s="4">
        <f t="shared" si="287"/>
        <v>3562899.9999999995</v>
      </c>
      <c r="O601" s="6">
        <v>0</v>
      </c>
      <c r="P601" s="6">
        <v>0</v>
      </c>
      <c r="Q601" s="6">
        <v>0</v>
      </c>
      <c r="R601" s="4">
        <f t="shared" si="282"/>
        <v>0</v>
      </c>
      <c r="S601" s="6">
        <v>0</v>
      </c>
      <c r="T601" s="6">
        <v>0</v>
      </c>
      <c r="U601" s="6">
        <v>0</v>
      </c>
      <c r="V601" s="7">
        <f t="shared" si="283"/>
        <v>5500</v>
      </c>
    </row>
    <row r="602" spans="1:22" ht="21.95" customHeight="1" x14ac:dyDescent="0.25">
      <c r="A602" s="52" t="s">
        <v>1363</v>
      </c>
      <c r="B602" s="9" t="s">
        <v>617</v>
      </c>
      <c r="C602" s="3">
        <f t="shared" si="288"/>
        <v>2524500</v>
      </c>
      <c r="D602" s="4">
        <f t="shared" si="284"/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12">
        <v>0</v>
      </c>
      <c r="L602" s="6">
        <v>0</v>
      </c>
      <c r="M602" s="6">
        <v>459</v>
      </c>
      <c r="N602" s="4">
        <f t="shared" ref="N602:N613" si="289">M602*5500</f>
        <v>2524500</v>
      </c>
      <c r="O602" s="6">
        <v>0</v>
      </c>
      <c r="P602" s="6">
        <v>0</v>
      </c>
      <c r="Q602" s="6">
        <v>0</v>
      </c>
      <c r="R602" s="4">
        <f t="shared" si="282"/>
        <v>0</v>
      </c>
      <c r="S602" s="6">
        <v>0</v>
      </c>
      <c r="T602" s="6">
        <v>0</v>
      </c>
      <c r="U602" s="6">
        <v>0</v>
      </c>
      <c r="V602" s="7">
        <f t="shared" si="283"/>
        <v>5500</v>
      </c>
    </row>
    <row r="603" spans="1:22" ht="21.95" customHeight="1" x14ac:dyDescent="0.25">
      <c r="A603" s="52" t="s">
        <v>901</v>
      </c>
      <c r="B603" s="9" t="s">
        <v>618</v>
      </c>
      <c r="C603" s="3">
        <f t="shared" si="288"/>
        <v>2200000</v>
      </c>
      <c r="D603" s="4">
        <f t="shared" si="284"/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12">
        <v>0</v>
      </c>
      <c r="L603" s="6">
        <v>0</v>
      </c>
      <c r="M603" s="6">
        <v>400</v>
      </c>
      <c r="N603" s="4">
        <f t="shared" si="289"/>
        <v>2200000</v>
      </c>
      <c r="O603" s="6">
        <v>0</v>
      </c>
      <c r="P603" s="6">
        <v>0</v>
      </c>
      <c r="Q603" s="6">
        <v>0</v>
      </c>
      <c r="R603" s="4">
        <f t="shared" si="282"/>
        <v>0</v>
      </c>
      <c r="S603" s="6">
        <v>0</v>
      </c>
      <c r="T603" s="6">
        <v>0</v>
      </c>
      <c r="U603" s="6">
        <v>0</v>
      </c>
      <c r="V603" s="7">
        <f t="shared" si="283"/>
        <v>5500</v>
      </c>
    </row>
    <row r="604" spans="1:22" ht="21.95" customHeight="1" x14ac:dyDescent="0.25">
      <c r="A604" s="52" t="s">
        <v>902</v>
      </c>
      <c r="B604" s="9" t="s">
        <v>410</v>
      </c>
      <c r="C604" s="3">
        <f>D604+L604+N604+P604+R604+S604+T604+U604</f>
        <v>5433310</v>
      </c>
      <c r="D604" s="4">
        <f>SUM(E604:J604)</f>
        <v>5333310</v>
      </c>
      <c r="E604" s="4">
        <f>350*2125.1</f>
        <v>743785</v>
      </c>
      <c r="F604" s="4">
        <f>1050*2125.1</f>
        <v>2231355</v>
      </c>
      <c r="G604" s="4">
        <f>300*2125.1</f>
        <v>637530</v>
      </c>
      <c r="H604" s="4">
        <f>400*2125.1</f>
        <v>850040</v>
      </c>
      <c r="I604" s="4">
        <f>250*3482.4</f>
        <v>870600</v>
      </c>
      <c r="J604" s="4">
        <f>800*0</f>
        <v>0</v>
      </c>
      <c r="K604" s="5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100000</v>
      </c>
      <c r="V604" s="7" t="e">
        <f>N604/M604</f>
        <v>#DIV/0!</v>
      </c>
    </row>
    <row r="605" spans="1:22" ht="21.95" customHeight="1" x14ac:dyDescent="0.25">
      <c r="A605" s="52" t="s">
        <v>903</v>
      </c>
      <c r="B605" s="9" t="s">
        <v>385</v>
      </c>
      <c r="C605" s="3">
        <f>D605+L605+N605+P605+R605+S605+T605+U605</f>
        <v>7740720</v>
      </c>
      <c r="D605" s="4">
        <f>SUM(E605:J605)</f>
        <v>7640720</v>
      </c>
      <c r="E605" s="4">
        <f>350*3482.4</f>
        <v>1218840</v>
      </c>
      <c r="F605" s="4">
        <f>1050*3482.4</f>
        <v>3656520</v>
      </c>
      <c r="G605" s="4">
        <f>300*3482.4</f>
        <v>1044720</v>
      </c>
      <c r="H605" s="4">
        <f>400*2125.1</f>
        <v>850040</v>
      </c>
      <c r="I605" s="4">
        <f>250*3482.4</f>
        <v>870600</v>
      </c>
      <c r="J605" s="4">
        <f>800*0</f>
        <v>0</v>
      </c>
      <c r="K605" s="5">
        <v>0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100000</v>
      </c>
      <c r="V605" s="7" t="e">
        <f>N605/M605</f>
        <v>#DIV/0!</v>
      </c>
    </row>
    <row r="606" spans="1:22" ht="21.95" customHeight="1" x14ac:dyDescent="0.25">
      <c r="A606" s="52" t="s">
        <v>904</v>
      </c>
      <c r="B606" s="28" t="s">
        <v>619</v>
      </c>
      <c r="C606" s="3">
        <f t="shared" si="288"/>
        <v>3737250</v>
      </c>
      <c r="D606" s="4">
        <f t="shared" si="284"/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12">
        <v>0</v>
      </c>
      <c r="L606" s="6">
        <v>0</v>
      </c>
      <c r="M606" s="6">
        <v>679.5</v>
      </c>
      <c r="N606" s="4">
        <f t="shared" si="289"/>
        <v>3737250</v>
      </c>
      <c r="O606" s="6">
        <v>0</v>
      </c>
      <c r="P606" s="6">
        <v>0</v>
      </c>
      <c r="Q606" s="6">
        <v>0</v>
      </c>
      <c r="R606" s="4">
        <f t="shared" si="282"/>
        <v>0</v>
      </c>
      <c r="S606" s="6">
        <v>0</v>
      </c>
      <c r="T606" s="6">
        <v>0</v>
      </c>
      <c r="U606" s="6">
        <v>0</v>
      </c>
      <c r="V606" s="7">
        <f t="shared" si="283"/>
        <v>5500</v>
      </c>
    </row>
    <row r="607" spans="1:22" ht="21.95" customHeight="1" x14ac:dyDescent="0.25">
      <c r="A607" s="52" t="s">
        <v>905</v>
      </c>
      <c r="B607" s="28" t="s">
        <v>543</v>
      </c>
      <c r="C607" s="3">
        <f t="shared" si="288"/>
        <v>10569315</v>
      </c>
      <c r="D607" s="4">
        <f t="shared" si="284"/>
        <v>2652915</v>
      </c>
      <c r="E607" s="4">
        <f>350*1128.9</f>
        <v>395115.00000000006</v>
      </c>
      <c r="F607" s="4">
        <f>1050*1128.9</f>
        <v>1185345</v>
      </c>
      <c r="G607" s="4">
        <f>300*1128.9</f>
        <v>338670</v>
      </c>
      <c r="H607" s="4">
        <f>400*1128.9</f>
        <v>451560.00000000006</v>
      </c>
      <c r="I607" s="4">
        <f>250*1128.9</f>
        <v>282225</v>
      </c>
      <c r="J607" s="4">
        <v>0</v>
      </c>
      <c r="K607" s="12">
        <v>0</v>
      </c>
      <c r="L607" s="6">
        <v>0</v>
      </c>
      <c r="M607" s="6">
        <v>684.8</v>
      </c>
      <c r="N607" s="4">
        <f t="shared" si="289"/>
        <v>3766399.9999999995</v>
      </c>
      <c r="O607" s="6">
        <v>0</v>
      </c>
      <c r="P607" s="6">
        <v>0</v>
      </c>
      <c r="Q607" s="6">
        <v>1350</v>
      </c>
      <c r="R607" s="4">
        <f t="shared" si="282"/>
        <v>4050000</v>
      </c>
      <c r="S607" s="6">
        <v>0</v>
      </c>
      <c r="T607" s="6">
        <v>0</v>
      </c>
      <c r="U607" s="6">
        <v>100000</v>
      </c>
      <c r="V607" s="7">
        <f t="shared" si="283"/>
        <v>5500</v>
      </c>
    </row>
    <row r="608" spans="1:22" ht="21.95" customHeight="1" x14ac:dyDescent="0.25">
      <c r="A608" s="52" t="s">
        <v>906</v>
      </c>
      <c r="B608" s="28" t="s">
        <v>620</v>
      </c>
      <c r="C608" s="3">
        <f t="shared" si="288"/>
        <v>4015000</v>
      </c>
      <c r="D608" s="4">
        <f t="shared" si="284"/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12">
        <v>0</v>
      </c>
      <c r="L608" s="6">
        <v>0</v>
      </c>
      <c r="M608" s="6">
        <v>730</v>
      </c>
      <c r="N608" s="4">
        <f t="shared" si="289"/>
        <v>4015000</v>
      </c>
      <c r="O608" s="6">
        <v>0</v>
      </c>
      <c r="P608" s="6">
        <v>0</v>
      </c>
      <c r="Q608" s="6">
        <v>0</v>
      </c>
      <c r="R608" s="4">
        <f t="shared" si="282"/>
        <v>0</v>
      </c>
      <c r="S608" s="6">
        <v>0</v>
      </c>
      <c r="T608" s="6">
        <v>0</v>
      </c>
      <c r="U608" s="6">
        <v>0</v>
      </c>
      <c r="V608" s="7">
        <f t="shared" si="283"/>
        <v>5500</v>
      </c>
    </row>
    <row r="609" spans="1:22" ht="21.95" customHeight="1" x14ac:dyDescent="0.25">
      <c r="A609" s="52" t="s">
        <v>907</v>
      </c>
      <c r="B609" s="9" t="s">
        <v>544</v>
      </c>
      <c r="C609" s="3">
        <f t="shared" si="288"/>
        <v>2494800</v>
      </c>
      <c r="D609" s="4">
        <f t="shared" si="284"/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12">
        <v>0</v>
      </c>
      <c r="L609" s="6">
        <v>0</v>
      </c>
      <c r="M609" s="6">
        <v>453.6</v>
      </c>
      <c r="N609" s="4">
        <f t="shared" si="289"/>
        <v>2494800</v>
      </c>
      <c r="O609" s="6">
        <v>0</v>
      </c>
      <c r="P609" s="6">
        <v>0</v>
      </c>
      <c r="Q609" s="6">
        <v>0</v>
      </c>
      <c r="R609" s="4">
        <f t="shared" si="282"/>
        <v>0</v>
      </c>
      <c r="S609" s="6">
        <v>0</v>
      </c>
      <c r="T609" s="6">
        <v>0</v>
      </c>
      <c r="U609" s="6">
        <v>0</v>
      </c>
      <c r="V609" s="7">
        <f t="shared" si="283"/>
        <v>5500</v>
      </c>
    </row>
    <row r="610" spans="1:22" ht="21.95" customHeight="1" x14ac:dyDescent="0.25">
      <c r="A610" s="52" t="s">
        <v>908</v>
      </c>
      <c r="B610" s="9" t="s">
        <v>545</v>
      </c>
      <c r="C610" s="3">
        <f t="shared" si="288"/>
        <v>2494800</v>
      </c>
      <c r="D610" s="4">
        <f t="shared" si="284"/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12">
        <v>0</v>
      </c>
      <c r="L610" s="6">
        <v>0</v>
      </c>
      <c r="M610" s="6">
        <v>453.6</v>
      </c>
      <c r="N610" s="4">
        <f t="shared" si="289"/>
        <v>2494800</v>
      </c>
      <c r="O610" s="6">
        <v>0</v>
      </c>
      <c r="P610" s="6">
        <v>0</v>
      </c>
      <c r="Q610" s="6">
        <v>0</v>
      </c>
      <c r="R610" s="4">
        <f t="shared" si="282"/>
        <v>0</v>
      </c>
      <c r="S610" s="6">
        <v>0</v>
      </c>
      <c r="T610" s="6">
        <v>0</v>
      </c>
      <c r="U610" s="6">
        <v>0</v>
      </c>
      <c r="V610" s="7">
        <f t="shared" si="283"/>
        <v>5500</v>
      </c>
    </row>
    <row r="611" spans="1:22" ht="21.95" customHeight="1" x14ac:dyDescent="0.25">
      <c r="A611" s="52" t="s">
        <v>909</v>
      </c>
      <c r="B611" s="9" t="s">
        <v>546</v>
      </c>
      <c r="C611" s="3">
        <f t="shared" si="288"/>
        <v>1518330</v>
      </c>
      <c r="D611" s="4">
        <f t="shared" si="284"/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12">
        <v>0</v>
      </c>
      <c r="L611" s="6">
        <v>0</v>
      </c>
      <c r="M611" s="6">
        <v>276.06</v>
      </c>
      <c r="N611" s="4">
        <f t="shared" si="289"/>
        <v>1518330</v>
      </c>
      <c r="O611" s="6">
        <v>0</v>
      </c>
      <c r="P611" s="6">
        <v>0</v>
      </c>
      <c r="Q611" s="6">
        <v>0</v>
      </c>
      <c r="R611" s="4">
        <f t="shared" si="282"/>
        <v>0</v>
      </c>
      <c r="S611" s="6">
        <v>0</v>
      </c>
      <c r="T611" s="6">
        <v>0</v>
      </c>
      <c r="U611" s="6">
        <v>0</v>
      </c>
      <c r="V611" s="7">
        <f t="shared" si="283"/>
        <v>5500</v>
      </c>
    </row>
    <row r="612" spans="1:22" ht="21.95" customHeight="1" x14ac:dyDescent="0.25">
      <c r="A612" s="52" t="s">
        <v>910</v>
      </c>
      <c r="B612" s="9" t="s">
        <v>622</v>
      </c>
      <c r="C612" s="3">
        <f t="shared" si="288"/>
        <v>1545170</v>
      </c>
      <c r="D612" s="4">
        <f t="shared" si="284"/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12">
        <v>0</v>
      </c>
      <c r="L612" s="6">
        <v>0</v>
      </c>
      <c r="M612" s="6">
        <v>280.94</v>
      </c>
      <c r="N612" s="4">
        <f t="shared" si="289"/>
        <v>1545170</v>
      </c>
      <c r="O612" s="6">
        <v>0</v>
      </c>
      <c r="P612" s="6">
        <v>0</v>
      </c>
      <c r="Q612" s="6">
        <v>0</v>
      </c>
      <c r="R612" s="4">
        <f t="shared" si="282"/>
        <v>0</v>
      </c>
      <c r="S612" s="6">
        <v>0</v>
      </c>
      <c r="T612" s="6">
        <v>0</v>
      </c>
      <c r="U612" s="6">
        <v>0</v>
      </c>
      <c r="V612" s="7">
        <f t="shared" si="283"/>
        <v>5500</v>
      </c>
    </row>
    <row r="613" spans="1:22" ht="21.95" customHeight="1" x14ac:dyDescent="0.25">
      <c r="A613" s="52" t="s">
        <v>911</v>
      </c>
      <c r="B613" s="9" t="s">
        <v>623</v>
      </c>
      <c r="C613" s="3">
        <f t="shared" si="288"/>
        <v>1630199.9999999998</v>
      </c>
      <c r="D613" s="4">
        <f t="shared" si="284"/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12">
        <v>0</v>
      </c>
      <c r="L613" s="6">
        <v>0</v>
      </c>
      <c r="M613" s="6">
        <v>296.39999999999998</v>
      </c>
      <c r="N613" s="4">
        <f t="shared" si="289"/>
        <v>1630199.9999999998</v>
      </c>
      <c r="O613" s="6">
        <v>0</v>
      </c>
      <c r="P613" s="6">
        <v>0</v>
      </c>
      <c r="Q613" s="6">
        <v>0</v>
      </c>
      <c r="R613" s="4">
        <f t="shared" si="282"/>
        <v>0</v>
      </c>
      <c r="S613" s="6">
        <v>0</v>
      </c>
      <c r="T613" s="6">
        <v>0</v>
      </c>
      <c r="U613" s="6">
        <v>0</v>
      </c>
      <c r="V613" s="7">
        <f t="shared" si="283"/>
        <v>5500</v>
      </c>
    </row>
    <row r="614" spans="1:22" ht="21.95" customHeight="1" x14ac:dyDescent="0.25">
      <c r="A614" s="52" t="s">
        <v>912</v>
      </c>
      <c r="B614" s="9" t="s">
        <v>621</v>
      </c>
      <c r="C614" s="3">
        <f t="shared" si="288"/>
        <v>3809886.4599999995</v>
      </c>
      <c r="D614" s="4">
        <f t="shared" si="284"/>
        <v>0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12">
        <v>0</v>
      </c>
      <c r="L614" s="6">
        <v>0</v>
      </c>
      <c r="M614" s="6">
        <v>1033.6099999999999</v>
      </c>
      <c r="N614" s="4">
        <f>M614*3686</f>
        <v>3809886.4599999995</v>
      </c>
      <c r="O614" s="6">
        <v>0</v>
      </c>
      <c r="P614" s="6">
        <v>0</v>
      </c>
      <c r="Q614" s="6">
        <v>0</v>
      </c>
      <c r="R614" s="4">
        <f t="shared" si="282"/>
        <v>0</v>
      </c>
      <c r="S614" s="6">
        <v>0</v>
      </c>
      <c r="T614" s="6">
        <v>0</v>
      </c>
      <c r="U614" s="6">
        <v>0</v>
      </c>
      <c r="V614" s="7">
        <f t="shared" si="283"/>
        <v>3686</v>
      </c>
    </row>
    <row r="615" spans="1:22" ht="21.95" customHeight="1" x14ac:dyDescent="0.25">
      <c r="A615" s="52" t="s">
        <v>913</v>
      </c>
      <c r="B615" s="9" t="s">
        <v>399</v>
      </c>
      <c r="C615" s="3">
        <f>D615+L615+N615+P615+R615+S615+T615+U615</f>
        <v>3467080</v>
      </c>
      <c r="D615" s="4">
        <f>SUM(E615:J615)</f>
        <v>3367080</v>
      </c>
      <c r="E615" s="4">
        <f>350*1432.8</f>
        <v>501480</v>
      </c>
      <c r="F615" s="4">
        <f>1050*1432.8</f>
        <v>1504440</v>
      </c>
      <c r="G615" s="4">
        <f>300*1432.8</f>
        <v>429840</v>
      </c>
      <c r="H615" s="4">
        <f>400*1432.8</f>
        <v>573120</v>
      </c>
      <c r="I615" s="4">
        <f>250*1432.8</f>
        <v>358200</v>
      </c>
      <c r="J615" s="4">
        <f>800*0</f>
        <v>0</v>
      </c>
      <c r="K615" s="5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100000</v>
      </c>
      <c r="V615" s="7" t="e">
        <f>N615/M615</f>
        <v>#DIV/0!</v>
      </c>
    </row>
    <row r="616" spans="1:22" ht="21.95" customHeight="1" x14ac:dyDescent="0.25">
      <c r="A616" s="52" t="s">
        <v>1456</v>
      </c>
      <c r="B616" s="9" t="s">
        <v>624</v>
      </c>
      <c r="C616" s="3">
        <f t="shared" si="288"/>
        <v>1084765</v>
      </c>
      <c r="D616" s="4">
        <f t="shared" si="284"/>
        <v>0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12">
        <v>0</v>
      </c>
      <c r="L616" s="6">
        <v>0</v>
      </c>
      <c r="M616" s="6">
        <v>197.23</v>
      </c>
      <c r="N616" s="4">
        <f t="shared" ref="N616:N618" si="290">M616*5500</f>
        <v>1084765</v>
      </c>
      <c r="O616" s="6">
        <v>0</v>
      </c>
      <c r="P616" s="6">
        <v>0</v>
      </c>
      <c r="Q616" s="6">
        <v>0</v>
      </c>
      <c r="R616" s="4">
        <f t="shared" si="282"/>
        <v>0</v>
      </c>
      <c r="S616" s="6">
        <v>0</v>
      </c>
      <c r="T616" s="6">
        <v>0</v>
      </c>
      <c r="U616" s="6">
        <v>0</v>
      </c>
      <c r="V616" s="7">
        <f t="shared" si="283"/>
        <v>5500</v>
      </c>
    </row>
    <row r="617" spans="1:22" ht="21.95" customHeight="1" x14ac:dyDescent="0.25">
      <c r="A617" s="52" t="s">
        <v>1457</v>
      </c>
      <c r="B617" s="9" t="s">
        <v>625</v>
      </c>
      <c r="C617" s="3">
        <f t="shared" si="288"/>
        <v>1314500</v>
      </c>
      <c r="D617" s="4">
        <f t="shared" si="284"/>
        <v>0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12">
        <v>0</v>
      </c>
      <c r="L617" s="6">
        <v>0</v>
      </c>
      <c r="M617" s="6">
        <v>239</v>
      </c>
      <c r="N617" s="4">
        <f t="shared" si="290"/>
        <v>1314500</v>
      </c>
      <c r="O617" s="6">
        <v>0</v>
      </c>
      <c r="P617" s="6">
        <v>0</v>
      </c>
      <c r="Q617" s="6">
        <v>0</v>
      </c>
      <c r="R617" s="4">
        <f t="shared" si="282"/>
        <v>0</v>
      </c>
      <c r="S617" s="6">
        <v>0</v>
      </c>
      <c r="T617" s="6">
        <v>0</v>
      </c>
      <c r="U617" s="6">
        <v>0</v>
      </c>
      <c r="V617" s="7">
        <f t="shared" si="283"/>
        <v>5500</v>
      </c>
    </row>
    <row r="618" spans="1:22" ht="21.95" customHeight="1" x14ac:dyDescent="0.25">
      <c r="A618" s="52" t="s">
        <v>914</v>
      </c>
      <c r="B618" s="9" t="s">
        <v>626</v>
      </c>
      <c r="C618" s="3">
        <f t="shared" si="288"/>
        <v>1496000</v>
      </c>
      <c r="D618" s="4">
        <f t="shared" si="284"/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12">
        <v>0</v>
      </c>
      <c r="L618" s="6">
        <v>0</v>
      </c>
      <c r="M618" s="6">
        <v>272</v>
      </c>
      <c r="N618" s="4">
        <f t="shared" si="290"/>
        <v>1496000</v>
      </c>
      <c r="O618" s="6">
        <v>0</v>
      </c>
      <c r="P618" s="6">
        <v>0</v>
      </c>
      <c r="Q618" s="6">
        <v>0</v>
      </c>
      <c r="R618" s="4">
        <f t="shared" si="282"/>
        <v>0</v>
      </c>
      <c r="S618" s="6">
        <v>0</v>
      </c>
      <c r="T618" s="6">
        <v>0</v>
      </c>
      <c r="U618" s="6">
        <v>0</v>
      </c>
      <c r="V618" s="7">
        <f t="shared" si="283"/>
        <v>5500</v>
      </c>
    </row>
    <row r="619" spans="1:22" ht="21.95" customHeight="1" x14ac:dyDescent="0.25">
      <c r="A619" s="52" t="s">
        <v>915</v>
      </c>
      <c r="B619" s="9" t="s">
        <v>1396</v>
      </c>
      <c r="C619" s="3">
        <f t="shared" si="288"/>
        <v>23298989</v>
      </c>
      <c r="D619" s="4">
        <f t="shared" si="284"/>
        <v>2311789</v>
      </c>
      <c r="E619" s="4">
        <f>350*983.74</f>
        <v>344309</v>
      </c>
      <c r="F619" s="4">
        <f>1050*983.74</f>
        <v>1032927</v>
      </c>
      <c r="G619" s="4">
        <f>300*983.74</f>
        <v>295122</v>
      </c>
      <c r="H619" s="4">
        <f>400*983.74</f>
        <v>393496</v>
      </c>
      <c r="I619" s="4">
        <f>250*983.74</f>
        <v>245935</v>
      </c>
      <c r="J619" s="4">
        <v>0</v>
      </c>
      <c r="K619" s="12">
        <v>0</v>
      </c>
      <c r="L619" s="6">
        <v>0</v>
      </c>
      <c r="M619" s="6">
        <v>1200</v>
      </c>
      <c r="N619" s="4">
        <f>M619*3686</f>
        <v>4423200</v>
      </c>
      <c r="O619" s="6">
        <v>0</v>
      </c>
      <c r="P619" s="6">
        <v>0</v>
      </c>
      <c r="Q619" s="6">
        <v>5488</v>
      </c>
      <c r="R619" s="4">
        <f t="shared" si="282"/>
        <v>16464000</v>
      </c>
      <c r="S619" s="6">
        <v>0</v>
      </c>
      <c r="T619" s="6">
        <v>0</v>
      </c>
      <c r="U619" s="6">
        <v>100000</v>
      </c>
      <c r="V619" s="7">
        <f t="shared" si="283"/>
        <v>3686</v>
      </c>
    </row>
    <row r="620" spans="1:22" ht="21.95" customHeight="1" x14ac:dyDescent="0.25">
      <c r="A620" s="52" t="s">
        <v>916</v>
      </c>
      <c r="B620" s="9" t="s">
        <v>419</v>
      </c>
      <c r="C620" s="3">
        <f t="shared" si="288"/>
        <v>1815000</v>
      </c>
      <c r="D620" s="4">
        <f t="shared" si="284"/>
        <v>0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5">
        <v>0</v>
      </c>
      <c r="L620" s="4">
        <v>0</v>
      </c>
      <c r="M620" s="4">
        <v>330</v>
      </c>
      <c r="N620" s="4">
        <f t="shared" ref="N620:N627" si="291">M620*5500</f>
        <v>1815000</v>
      </c>
      <c r="O620" s="4">
        <v>0</v>
      </c>
      <c r="P620" s="4">
        <v>0</v>
      </c>
      <c r="Q620" s="4">
        <v>0</v>
      </c>
      <c r="R620" s="4">
        <f t="shared" si="282"/>
        <v>0</v>
      </c>
      <c r="S620" s="4">
        <v>0</v>
      </c>
      <c r="T620" s="6">
        <v>0</v>
      </c>
      <c r="U620" s="4">
        <v>0</v>
      </c>
      <c r="V620" s="7">
        <f t="shared" si="283"/>
        <v>5500</v>
      </c>
    </row>
    <row r="621" spans="1:22" ht="21.95" customHeight="1" x14ac:dyDescent="0.25">
      <c r="A621" s="52" t="s">
        <v>917</v>
      </c>
      <c r="B621" s="9" t="s">
        <v>627</v>
      </c>
      <c r="C621" s="3">
        <f t="shared" si="288"/>
        <v>3660600.0000000005</v>
      </c>
      <c r="D621" s="4">
        <f t="shared" si="284"/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12">
        <v>0</v>
      </c>
      <c r="L621" s="6">
        <v>0</v>
      </c>
      <c r="M621" s="6">
        <v>629.20000000000005</v>
      </c>
      <c r="N621" s="4">
        <f t="shared" si="291"/>
        <v>3460600.0000000005</v>
      </c>
      <c r="O621" s="6">
        <v>0</v>
      </c>
      <c r="P621" s="6">
        <v>0</v>
      </c>
      <c r="Q621" s="6">
        <v>0</v>
      </c>
      <c r="R621" s="4">
        <f t="shared" si="282"/>
        <v>0</v>
      </c>
      <c r="S621" s="6">
        <v>0</v>
      </c>
      <c r="T621" s="6">
        <v>0</v>
      </c>
      <c r="U621" s="6">
        <v>200000</v>
      </c>
      <c r="V621" s="7">
        <f t="shared" si="283"/>
        <v>5500</v>
      </c>
    </row>
    <row r="622" spans="1:22" ht="21.95" customHeight="1" x14ac:dyDescent="0.25">
      <c r="A622" s="52" t="s">
        <v>918</v>
      </c>
      <c r="B622" s="9" t="s">
        <v>630</v>
      </c>
      <c r="C622" s="3">
        <f>D622+L622+N622+P622+R622+S622+T622+U622</f>
        <v>13326500</v>
      </c>
      <c r="D622" s="4">
        <f>SUM(E622:J622)</f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12">
        <v>0</v>
      </c>
      <c r="L622" s="6">
        <v>0</v>
      </c>
      <c r="M622" s="6">
        <v>2423</v>
      </c>
      <c r="N622" s="4">
        <f>M622*5500</f>
        <v>13326500</v>
      </c>
      <c r="O622" s="6">
        <v>0</v>
      </c>
      <c r="P622" s="6">
        <v>0</v>
      </c>
      <c r="Q622" s="6">
        <v>0</v>
      </c>
      <c r="R622" s="4">
        <f>Q622*3000</f>
        <v>0</v>
      </c>
      <c r="S622" s="6">
        <v>0</v>
      </c>
      <c r="T622" s="6">
        <v>0</v>
      </c>
      <c r="U622" s="6">
        <v>0</v>
      </c>
      <c r="V622" s="7">
        <f>N622/M622</f>
        <v>5500</v>
      </c>
    </row>
    <row r="623" spans="1:22" ht="21.95" customHeight="1" x14ac:dyDescent="0.25">
      <c r="A623" s="52" t="s">
        <v>919</v>
      </c>
      <c r="B623" s="9" t="s">
        <v>628</v>
      </c>
      <c r="C623" s="3">
        <f t="shared" si="288"/>
        <v>3140500</v>
      </c>
      <c r="D623" s="4">
        <f t="shared" si="284"/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12">
        <v>0</v>
      </c>
      <c r="L623" s="6">
        <v>0</v>
      </c>
      <c r="M623" s="6">
        <v>571</v>
      </c>
      <c r="N623" s="4">
        <f t="shared" si="291"/>
        <v>3140500</v>
      </c>
      <c r="O623" s="6">
        <v>0</v>
      </c>
      <c r="P623" s="6">
        <v>0</v>
      </c>
      <c r="Q623" s="6">
        <v>0</v>
      </c>
      <c r="R623" s="4">
        <f t="shared" si="282"/>
        <v>0</v>
      </c>
      <c r="S623" s="6">
        <v>0</v>
      </c>
      <c r="T623" s="6">
        <v>0</v>
      </c>
      <c r="U623" s="6">
        <v>0</v>
      </c>
      <c r="V623" s="7">
        <f t="shared" si="283"/>
        <v>5500</v>
      </c>
    </row>
    <row r="624" spans="1:22" ht="21.95" customHeight="1" x14ac:dyDescent="0.25">
      <c r="A624" s="52" t="s">
        <v>920</v>
      </c>
      <c r="B624" s="9" t="s">
        <v>629</v>
      </c>
      <c r="C624" s="3">
        <f t="shared" si="288"/>
        <v>2645500</v>
      </c>
      <c r="D624" s="4">
        <f t="shared" si="284"/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12">
        <v>0</v>
      </c>
      <c r="L624" s="6">
        <v>0</v>
      </c>
      <c r="M624" s="6">
        <v>481</v>
      </c>
      <c r="N624" s="4">
        <f t="shared" si="291"/>
        <v>2645500</v>
      </c>
      <c r="O624" s="6">
        <v>0</v>
      </c>
      <c r="P624" s="6">
        <v>0</v>
      </c>
      <c r="Q624" s="6">
        <v>0</v>
      </c>
      <c r="R624" s="4">
        <f t="shared" si="282"/>
        <v>0</v>
      </c>
      <c r="S624" s="6">
        <v>0</v>
      </c>
      <c r="T624" s="6">
        <v>0</v>
      </c>
      <c r="U624" s="6">
        <v>0</v>
      </c>
      <c r="V624" s="7">
        <f t="shared" si="283"/>
        <v>5500</v>
      </c>
    </row>
    <row r="625" spans="1:22" ht="21.95" customHeight="1" x14ac:dyDescent="0.25">
      <c r="A625" s="52" t="s">
        <v>921</v>
      </c>
      <c r="B625" s="9" t="s">
        <v>631</v>
      </c>
      <c r="C625" s="3">
        <f t="shared" si="288"/>
        <v>3029000</v>
      </c>
      <c r="D625" s="4">
        <f t="shared" si="284"/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12">
        <v>0</v>
      </c>
      <c r="L625" s="6">
        <v>0</v>
      </c>
      <c r="M625" s="6">
        <v>278</v>
      </c>
      <c r="N625" s="4">
        <f t="shared" si="291"/>
        <v>1529000</v>
      </c>
      <c r="O625" s="6">
        <v>0</v>
      </c>
      <c r="P625" s="6">
        <v>0</v>
      </c>
      <c r="Q625" s="6">
        <v>500</v>
      </c>
      <c r="R625" s="4">
        <f t="shared" ref="R625:R690" si="292">Q625*3000</f>
        <v>1500000</v>
      </c>
      <c r="S625" s="6">
        <v>0</v>
      </c>
      <c r="T625" s="6">
        <v>0</v>
      </c>
      <c r="U625" s="6">
        <v>0</v>
      </c>
      <c r="V625" s="7">
        <f t="shared" ref="V625:V690" si="293">N625/M625</f>
        <v>5500</v>
      </c>
    </row>
    <row r="626" spans="1:22" ht="21.95" customHeight="1" x14ac:dyDescent="0.25">
      <c r="A626" s="52" t="s">
        <v>922</v>
      </c>
      <c r="B626" s="28" t="s">
        <v>632</v>
      </c>
      <c r="C626" s="3">
        <f t="shared" si="288"/>
        <v>1534500</v>
      </c>
      <c r="D626" s="4">
        <f t="shared" ref="D626:D689" si="294">SUM(E626:J626)</f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12">
        <v>0</v>
      </c>
      <c r="L626" s="6">
        <v>0</v>
      </c>
      <c r="M626" s="6">
        <v>279</v>
      </c>
      <c r="N626" s="4">
        <f t="shared" si="291"/>
        <v>1534500</v>
      </c>
      <c r="O626" s="6">
        <v>0</v>
      </c>
      <c r="P626" s="6">
        <v>0</v>
      </c>
      <c r="Q626" s="6">
        <v>0</v>
      </c>
      <c r="R626" s="4">
        <f t="shared" si="292"/>
        <v>0</v>
      </c>
      <c r="S626" s="6">
        <v>0</v>
      </c>
      <c r="T626" s="6">
        <v>0</v>
      </c>
      <c r="U626" s="6">
        <v>0</v>
      </c>
      <c r="V626" s="7">
        <f t="shared" si="293"/>
        <v>5500</v>
      </c>
    </row>
    <row r="627" spans="1:22" ht="21.95" customHeight="1" x14ac:dyDescent="0.25">
      <c r="A627" s="52" t="s">
        <v>923</v>
      </c>
      <c r="B627" s="9" t="s">
        <v>547</v>
      </c>
      <c r="C627" s="3">
        <f t="shared" si="288"/>
        <v>2689500</v>
      </c>
      <c r="D627" s="4">
        <f t="shared" si="294"/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12">
        <v>0</v>
      </c>
      <c r="L627" s="6">
        <v>0</v>
      </c>
      <c r="M627" s="6">
        <v>489</v>
      </c>
      <c r="N627" s="4">
        <f t="shared" si="291"/>
        <v>2689500</v>
      </c>
      <c r="O627" s="6">
        <v>0</v>
      </c>
      <c r="P627" s="6">
        <v>0</v>
      </c>
      <c r="Q627" s="6">
        <v>0</v>
      </c>
      <c r="R627" s="4">
        <f t="shared" si="292"/>
        <v>0</v>
      </c>
      <c r="S627" s="6">
        <v>0</v>
      </c>
      <c r="T627" s="6">
        <v>0</v>
      </c>
      <c r="U627" s="6">
        <v>0</v>
      </c>
      <c r="V627" s="7">
        <f t="shared" si="293"/>
        <v>5500</v>
      </c>
    </row>
    <row r="628" spans="1:22" ht="21.95" customHeight="1" x14ac:dyDescent="0.25">
      <c r="A628" s="52" t="s">
        <v>924</v>
      </c>
      <c r="B628" s="9" t="s">
        <v>1577</v>
      </c>
      <c r="C628" s="3">
        <f t="shared" si="288"/>
        <v>13400000</v>
      </c>
      <c r="D628" s="4">
        <f t="shared" si="294"/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12">
        <v>6</v>
      </c>
      <c r="L628" s="6">
        <f>K628*2150000</f>
        <v>12900000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4">
        <f t="shared" si="292"/>
        <v>0</v>
      </c>
      <c r="S628" s="6">
        <v>0</v>
      </c>
      <c r="T628" s="6">
        <v>0</v>
      </c>
      <c r="U628" s="6">
        <v>500000</v>
      </c>
      <c r="V628" s="7" t="e">
        <f t="shared" si="293"/>
        <v>#DIV/0!</v>
      </c>
    </row>
    <row r="629" spans="1:22" ht="21.95" customHeight="1" x14ac:dyDescent="0.25">
      <c r="A629" s="52" t="s">
        <v>925</v>
      </c>
      <c r="B629" s="9" t="s">
        <v>633</v>
      </c>
      <c r="C629" s="3">
        <f t="shared" si="288"/>
        <v>1732500</v>
      </c>
      <c r="D629" s="4">
        <f t="shared" si="294"/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12">
        <v>0</v>
      </c>
      <c r="L629" s="6">
        <v>0</v>
      </c>
      <c r="M629" s="6">
        <v>315</v>
      </c>
      <c r="N629" s="4">
        <f t="shared" ref="N629:N630" si="295">M629*5500</f>
        <v>1732500</v>
      </c>
      <c r="O629" s="6">
        <v>0</v>
      </c>
      <c r="P629" s="6">
        <v>0</v>
      </c>
      <c r="Q629" s="6">
        <v>0</v>
      </c>
      <c r="R629" s="4">
        <f t="shared" si="292"/>
        <v>0</v>
      </c>
      <c r="S629" s="6">
        <v>0</v>
      </c>
      <c r="T629" s="6">
        <v>0</v>
      </c>
      <c r="U629" s="6">
        <v>0</v>
      </c>
      <c r="V629" s="7">
        <f t="shared" si="293"/>
        <v>5500</v>
      </c>
    </row>
    <row r="630" spans="1:22" ht="21.95" customHeight="1" x14ac:dyDescent="0.25">
      <c r="A630" s="52" t="s">
        <v>926</v>
      </c>
      <c r="B630" s="28" t="s">
        <v>548</v>
      </c>
      <c r="C630" s="3">
        <f t="shared" si="288"/>
        <v>1732500</v>
      </c>
      <c r="D630" s="4">
        <f t="shared" si="294"/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12">
        <v>0</v>
      </c>
      <c r="L630" s="6">
        <v>0</v>
      </c>
      <c r="M630" s="6">
        <v>315</v>
      </c>
      <c r="N630" s="4">
        <f t="shared" si="295"/>
        <v>1732500</v>
      </c>
      <c r="O630" s="6">
        <v>0</v>
      </c>
      <c r="P630" s="6">
        <v>0</v>
      </c>
      <c r="Q630" s="6">
        <v>0</v>
      </c>
      <c r="R630" s="4">
        <f t="shared" si="292"/>
        <v>0</v>
      </c>
      <c r="S630" s="6">
        <v>0</v>
      </c>
      <c r="T630" s="6">
        <v>0</v>
      </c>
      <c r="U630" s="6">
        <v>0</v>
      </c>
      <c r="V630" s="7">
        <f t="shared" si="293"/>
        <v>5500</v>
      </c>
    </row>
    <row r="631" spans="1:22" ht="21.95" customHeight="1" x14ac:dyDescent="0.25">
      <c r="A631" s="52" t="s">
        <v>927</v>
      </c>
      <c r="B631" s="9" t="s">
        <v>635</v>
      </c>
      <c r="C631" s="3">
        <f t="shared" si="288"/>
        <v>3311000</v>
      </c>
      <c r="D631" s="4">
        <f t="shared" si="294"/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12">
        <v>0</v>
      </c>
      <c r="L631" s="6">
        <v>0</v>
      </c>
      <c r="M631" s="6">
        <v>602</v>
      </c>
      <c r="N631" s="4">
        <f t="shared" ref="N631:N638" si="296">M631*5500</f>
        <v>3311000</v>
      </c>
      <c r="O631" s="6">
        <v>0</v>
      </c>
      <c r="P631" s="6">
        <v>0</v>
      </c>
      <c r="Q631" s="6">
        <v>0</v>
      </c>
      <c r="R631" s="4">
        <f t="shared" si="292"/>
        <v>0</v>
      </c>
      <c r="S631" s="6">
        <v>0</v>
      </c>
      <c r="T631" s="6">
        <v>0</v>
      </c>
      <c r="U631" s="6">
        <v>0</v>
      </c>
      <c r="V631" s="7">
        <f t="shared" si="293"/>
        <v>5500</v>
      </c>
    </row>
    <row r="632" spans="1:22" ht="21.95" customHeight="1" x14ac:dyDescent="0.25">
      <c r="A632" s="52" t="s">
        <v>928</v>
      </c>
      <c r="B632" s="9" t="s">
        <v>549</v>
      </c>
      <c r="C632" s="3">
        <f t="shared" si="288"/>
        <v>700000</v>
      </c>
      <c r="D632" s="4">
        <f t="shared" si="294"/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12">
        <v>0</v>
      </c>
      <c r="L632" s="6">
        <v>0</v>
      </c>
      <c r="M632" s="6">
        <v>0</v>
      </c>
      <c r="N632" s="4">
        <v>0</v>
      </c>
      <c r="O632" s="6">
        <v>0</v>
      </c>
      <c r="P632" s="6">
        <v>0</v>
      </c>
      <c r="Q632" s="6">
        <v>0</v>
      </c>
      <c r="R632" s="4">
        <f t="shared" si="292"/>
        <v>0</v>
      </c>
      <c r="S632" s="6">
        <v>500000</v>
      </c>
      <c r="T632" s="6">
        <v>0</v>
      </c>
      <c r="U632" s="6">
        <v>200000</v>
      </c>
      <c r="V632" s="7" t="e">
        <f t="shared" si="293"/>
        <v>#DIV/0!</v>
      </c>
    </row>
    <row r="633" spans="1:22" ht="21.95" customHeight="1" x14ac:dyDescent="0.25">
      <c r="A633" s="52" t="s">
        <v>929</v>
      </c>
      <c r="B633" s="9" t="s">
        <v>634</v>
      </c>
      <c r="C633" s="3">
        <f t="shared" si="288"/>
        <v>3547500</v>
      </c>
      <c r="D633" s="4">
        <f t="shared" si="294"/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12">
        <v>0</v>
      </c>
      <c r="L633" s="6">
        <v>0</v>
      </c>
      <c r="M633" s="6">
        <v>645</v>
      </c>
      <c r="N633" s="4">
        <f t="shared" si="296"/>
        <v>3547500</v>
      </c>
      <c r="O633" s="6">
        <v>0</v>
      </c>
      <c r="P633" s="6">
        <v>0</v>
      </c>
      <c r="Q633" s="6">
        <v>0</v>
      </c>
      <c r="R633" s="4">
        <f t="shared" si="292"/>
        <v>0</v>
      </c>
      <c r="S633" s="6">
        <v>0</v>
      </c>
      <c r="T633" s="6">
        <v>0</v>
      </c>
      <c r="U633" s="6">
        <v>0</v>
      </c>
      <c r="V633" s="7">
        <f t="shared" si="293"/>
        <v>5500</v>
      </c>
    </row>
    <row r="634" spans="1:22" ht="21.95" customHeight="1" x14ac:dyDescent="0.25">
      <c r="A634" s="52" t="s">
        <v>930</v>
      </c>
      <c r="B634" s="9" t="s">
        <v>636</v>
      </c>
      <c r="C634" s="3">
        <f t="shared" si="288"/>
        <v>11077318</v>
      </c>
      <c r="D634" s="4">
        <f t="shared" si="294"/>
        <v>2857318</v>
      </c>
      <c r="E634" s="4">
        <f>350*1215.88</f>
        <v>425558.00000000006</v>
      </c>
      <c r="F634" s="4">
        <f>1050*1215.88</f>
        <v>1276674</v>
      </c>
      <c r="G634" s="4">
        <f>300*1215.88</f>
        <v>364764.00000000006</v>
      </c>
      <c r="H634" s="4">
        <f>400*1215.88</f>
        <v>486352.00000000006</v>
      </c>
      <c r="I634" s="4">
        <f>250*1215.88</f>
        <v>303970</v>
      </c>
      <c r="J634" s="4">
        <v>0</v>
      </c>
      <c r="K634" s="12">
        <v>0</v>
      </c>
      <c r="L634" s="6">
        <v>0</v>
      </c>
      <c r="M634" s="6">
        <v>908</v>
      </c>
      <c r="N634" s="4">
        <f t="shared" si="296"/>
        <v>4994000</v>
      </c>
      <c r="O634" s="6">
        <v>0</v>
      </c>
      <c r="P634" s="6">
        <v>0</v>
      </c>
      <c r="Q634" s="6">
        <v>1042</v>
      </c>
      <c r="R634" s="4">
        <f t="shared" si="292"/>
        <v>3126000</v>
      </c>
      <c r="S634" s="6">
        <v>0</v>
      </c>
      <c r="T634" s="6">
        <v>0</v>
      </c>
      <c r="U634" s="6">
        <v>100000</v>
      </c>
      <c r="V634" s="7">
        <f t="shared" si="293"/>
        <v>5500</v>
      </c>
    </row>
    <row r="635" spans="1:22" ht="21.95" customHeight="1" x14ac:dyDescent="0.25">
      <c r="A635" s="52" t="s">
        <v>931</v>
      </c>
      <c r="B635" s="9" t="s">
        <v>550</v>
      </c>
      <c r="C635" s="3">
        <f t="shared" si="288"/>
        <v>2101000</v>
      </c>
      <c r="D635" s="4">
        <f t="shared" si="294"/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12">
        <v>0</v>
      </c>
      <c r="L635" s="6">
        <v>0</v>
      </c>
      <c r="M635" s="6">
        <v>382</v>
      </c>
      <c r="N635" s="4">
        <f t="shared" si="296"/>
        <v>2101000</v>
      </c>
      <c r="O635" s="6">
        <v>0</v>
      </c>
      <c r="P635" s="6">
        <v>0</v>
      </c>
      <c r="Q635" s="6">
        <v>0</v>
      </c>
      <c r="R635" s="4">
        <f t="shared" si="292"/>
        <v>0</v>
      </c>
      <c r="S635" s="6">
        <v>0</v>
      </c>
      <c r="T635" s="6">
        <v>0</v>
      </c>
      <c r="U635" s="6">
        <v>0</v>
      </c>
      <c r="V635" s="7">
        <f t="shared" si="293"/>
        <v>5500</v>
      </c>
    </row>
    <row r="636" spans="1:22" ht="21.95" customHeight="1" x14ac:dyDescent="0.25">
      <c r="A636" s="52" t="s">
        <v>932</v>
      </c>
      <c r="B636" s="9" t="s">
        <v>551</v>
      </c>
      <c r="C636" s="3">
        <f t="shared" si="288"/>
        <v>2090000</v>
      </c>
      <c r="D636" s="4">
        <f t="shared" si="294"/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12">
        <v>0</v>
      </c>
      <c r="L636" s="6">
        <v>0</v>
      </c>
      <c r="M636" s="6">
        <v>380</v>
      </c>
      <c r="N636" s="4">
        <f t="shared" si="296"/>
        <v>2090000</v>
      </c>
      <c r="O636" s="6">
        <v>0</v>
      </c>
      <c r="P636" s="6">
        <v>0</v>
      </c>
      <c r="Q636" s="6">
        <v>0</v>
      </c>
      <c r="R636" s="4">
        <f t="shared" si="292"/>
        <v>0</v>
      </c>
      <c r="S636" s="6">
        <v>0</v>
      </c>
      <c r="T636" s="6">
        <v>0</v>
      </c>
      <c r="U636" s="6">
        <v>0</v>
      </c>
      <c r="V636" s="7">
        <f t="shared" si="293"/>
        <v>5500</v>
      </c>
    </row>
    <row r="637" spans="1:22" ht="21.95" customHeight="1" x14ac:dyDescent="0.25">
      <c r="A637" s="52" t="s">
        <v>933</v>
      </c>
      <c r="B637" s="9" t="s">
        <v>637</v>
      </c>
      <c r="C637" s="3">
        <f t="shared" si="288"/>
        <v>1485000</v>
      </c>
      <c r="D637" s="4">
        <f t="shared" si="294"/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12">
        <v>0</v>
      </c>
      <c r="L637" s="6">
        <v>0</v>
      </c>
      <c r="M637" s="6">
        <v>270</v>
      </c>
      <c r="N637" s="4">
        <f t="shared" si="296"/>
        <v>1485000</v>
      </c>
      <c r="O637" s="6">
        <v>0</v>
      </c>
      <c r="P637" s="6">
        <v>0</v>
      </c>
      <c r="Q637" s="6">
        <v>0</v>
      </c>
      <c r="R637" s="4">
        <f t="shared" si="292"/>
        <v>0</v>
      </c>
      <c r="S637" s="6">
        <v>0</v>
      </c>
      <c r="T637" s="6">
        <v>0</v>
      </c>
      <c r="U637" s="6">
        <v>0</v>
      </c>
      <c r="V637" s="7">
        <f t="shared" si="293"/>
        <v>5500</v>
      </c>
    </row>
    <row r="638" spans="1:22" ht="21.95" customHeight="1" x14ac:dyDescent="0.25">
      <c r="A638" s="52" t="s">
        <v>934</v>
      </c>
      <c r="B638" s="9" t="s">
        <v>638</v>
      </c>
      <c r="C638" s="3">
        <f t="shared" si="288"/>
        <v>1479500</v>
      </c>
      <c r="D638" s="4">
        <f t="shared" si="294"/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12">
        <v>0</v>
      </c>
      <c r="L638" s="6">
        <v>0</v>
      </c>
      <c r="M638" s="6">
        <v>269</v>
      </c>
      <c r="N638" s="4">
        <f t="shared" si="296"/>
        <v>1479500</v>
      </c>
      <c r="O638" s="6">
        <v>0</v>
      </c>
      <c r="P638" s="6">
        <v>0</v>
      </c>
      <c r="Q638" s="6">
        <v>0</v>
      </c>
      <c r="R638" s="4">
        <f t="shared" si="292"/>
        <v>0</v>
      </c>
      <c r="S638" s="6">
        <v>0</v>
      </c>
      <c r="T638" s="6">
        <v>0</v>
      </c>
      <c r="U638" s="6">
        <v>0</v>
      </c>
      <c r="V638" s="7">
        <f t="shared" si="293"/>
        <v>5500</v>
      </c>
    </row>
    <row r="639" spans="1:22" ht="21.95" customHeight="1" x14ac:dyDescent="0.25">
      <c r="A639" s="52" t="s">
        <v>935</v>
      </c>
      <c r="B639" s="9" t="s">
        <v>639</v>
      </c>
      <c r="C639" s="3">
        <f t="shared" si="288"/>
        <v>758235</v>
      </c>
      <c r="D639" s="4">
        <f t="shared" si="294"/>
        <v>658235</v>
      </c>
      <c r="E639" s="6">
        <f>350*280.1</f>
        <v>98035.000000000015</v>
      </c>
      <c r="F639" s="6">
        <f>1050*280.1</f>
        <v>294105</v>
      </c>
      <c r="G639" s="6">
        <f>300*280.1</f>
        <v>84030</v>
      </c>
      <c r="H639" s="6">
        <f>400*280.1</f>
        <v>112040.00000000001</v>
      </c>
      <c r="I639" s="6">
        <f>250*280.1</f>
        <v>70025</v>
      </c>
      <c r="J639" s="6">
        <f>350*0</f>
        <v>0</v>
      </c>
      <c r="K639" s="12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4">
        <f t="shared" si="292"/>
        <v>0</v>
      </c>
      <c r="S639" s="6">
        <v>0</v>
      </c>
      <c r="T639" s="6">
        <v>0</v>
      </c>
      <c r="U639" s="6">
        <v>100000</v>
      </c>
      <c r="V639" s="7" t="e">
        <f t="shared" si="293"/>
        <v>#DIV/0!</v>
      </c>
    </row>
    <row r="640" spans="1:22" ht="21.95" customHeight="1" x14ac:dyDescent="0.25">
      <c r="A640" s="52" t="s">
        <v>936</v>
      </c>
      <c r="B640" s="9" t="s">
        <v>640</v>
      </c>
      <c r="C640" s="3">
        <f t="shared" si="288"/>
        <v>1117050</v>
      </c>
      <c r="D640" s="4">
        <f t="shared" si="294"/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12">
        <v>0</v>
      </c>
      <c r="L640" s="6">
        <v>0</v>
      </c>
      <c r="M640" s="6">
        <v>203.1</v>
      </c>
      <c r="N640" s="4">
        <f t="shared" ref="N640" si="297">M640*5500</f>
        <v>1117050</v>
      </c>
      <c r="O640" s="6">
        <v>0</v>
      </c>
      <c r="P640" s="6">
        <v>0</v>
      </c>
      <c r="Q640" s="6">
        <v>0</v>
      </c>
      <c r="R640" s="4">
        <f t="shared" si="292"/>
        <v>0</v>
      </c>
      <c r="S640" s="6">
        <v>0</v>
      </c>
      <c r="T640" s="6">
        <v>0</v>
      </c>
      <c r="U640" s="6">
        <v>0</v>
      </c>
      <c r="V640" s="7">
        <f t="shared" si="293"/>
        <v>5500</v>
      </c>
    </row>
    <row r="641" spans="1:22" ht="21.95" customHeight="1" x14ac:dyDescent="0.25">
      <c r="A641" s="52" t="s">
        <v>937</v>
      </c>
      <c r="B641" s="9" t="s">
        <v>641</v>
      </c>
      <c r="C641" s="3">
        <f t="shared" si="288"/>
        <v>1856730</v>
      </c>
      <c r="D641" s="4">
        <f t="shared" si="294"/>
        <v>685730</v>
      </c>
      <c r="E641" s="6">
        <f>350*291.8</f>
        <v>102130</v>
      </c>
      <c r="F641" s="6">
        <f>1050*291.8</f>
        <v>306390</v>
      </c>
      <c r="G641" s="6">
        <f>300*291.8</f>
        <v>87540</v>
      </c>
      <c r="H641" s="6">
        <f>400*291.8</f>
        <v>116720</v>
      </c>
      <c r="I641" s="6">
        <f>250*291.8</f>
        <v>72950</v>
      </c>
      <c r="J641" s="6">
        <f>350*0</f>
        <v>0</v>
      </c>
      <c r="K641" s="12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357</v>
      </c>
      <c r="R641" s="4">
        <f t="shared" si="292"/>
        <v>1071000</v>
      </c>
      <c r="S641" s="6">
        <v>0</v>
      </c>
      <c r="T641" s="6">
        <v>0</v>
      </c>
      <c r="U641" s="6">
        <v>100000</v>
      </c>
      <c r="V641" s="7" t="e">
        <f t="shared" si="293"/>
        <v>#DIV/0!</v>
      </c>
    </row>
    <row r="642" spans="1:22" ht="21.95" customHeight="1" x14ac:dyDescent="0.25">
      <c r="A642" s="52" t="s">
        <v>938</v>
      </c>
      <c r="B642" s="9" t="s">
        <v>642</v>
      </c>
      <c r="C642" s="3">
        <f t="shared" si="288"/>
        <v>1419000</v>
      </c>
      <c r="D642" s="4">
        <f t="shared" si="294"/>
        <v>0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12">
        <v>0</v>
      </c>
      <c r="L642" s="6">
        <v>0</v>
      </c>
      <c r="M642" s="6">
        <v>258</v>
      </c>
      <c r="N642" s="4">
        <f t="shared" ref="N642:N658" si="298">M642*5500</f>
        <v>1419000</v>
      </c>
      <c r="O642" s="6">
        <v>0</v>
      </c>
      <c r="P642" s="6">
        <v>0</v>
      </c>
      <c r="Q642" s="6">
        <v>0</v>
      </c>
      <c r="R642" s="4">
        <f t="shared" si="292"/>
        <v>0</v>
      </c>
      <c r="S642" s="6">
        <v>0</v>
      </c>
      <c r="T642" s="6">
        <v>0</v>
      </c>
      <c r="U642" s="6">
        <v>0</v>
      </c>
      <c r="V642" s="7">
        <f t="shared" si="293"/>
        <v>5500</v>
      </c>
    </row>
    <row r="643" spans="1:22" ht="21.95" customHeight="1" x14ac:dyDescent="0.25">
      <c r="A643" s="52" t="s">
        <v>939</v>
      </c>
      <c r="B643" s="9" t="s">
        <v>643</v>
      </c>
      <c r="C643" s="3">
        <f t="shared" si="288"/>
        <v>1562000</v>
      </c>
      <c r="D643" s="4">
        <f t="shared" si="294"/>
        <v>0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12">
        <v>0</v>
      </c>
      <c r="L643" s="6">
        <v>0</v>
      </c>
      <c r="M643" s="6">
        <v>284</v>
      </c>
      <c r="N643" s="4">
        <f t="shared" si="298"/>
        <v>1562000</v>
      </c>
      <c r="O643" s="6">
        <v>0</v>
      </c>
      <c r="P643" s="6">
        <v>0</v>
      </c>
      <c r="Q643" s="6">
        <v>0</v>
      </c>
      <c r="R643" s="4">
        <f t="shared" si="292"/>
        <v>0</v>
      </c>
      <c r="S643" s="6">
        <v>0</v>
      </c>
      <c r="T643" s="6">
        <v>0</v>
      </c>
      <c r="U643" s="6">
        <v>0</v>
      </c>
      <c r="V643" s="7">
        <f t="shared" si="293"/>
        <v>5500</v>
      </c>
    </row>
    <row r="644" spans="1:22" ht="21.95" customHeight="1" x14ac:dyDescent="0.25">
      <c r="A644" s="52" t="s">
        <v>1364</v>
      </c>
      <c r="B644" s="9" t="s">
        <v>644</v>
      </c>
      <c r="C644" s="3">
        <f t="shared" si="288"/>
        <v>3351149.9999999995</v>
      </c>
      <c r="D644" s="4">
        <f t="shared" si="294"/>
        <v>0</v>
      </c>
      <c r="E644" s="4">
        <v>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12">
        <v>0</v>
      </c>
      <c r="L644" s="6">
        <v>0</v>
      </c>
      <c r="M644" s="6">
        <v>609.29999999999995</v>
      </c>
      <c r="N644" s="4">
        <f t="shared" si="298"/>
        <v>3351149.9999999995</v>
      </c>
      <c r="O644" s="6">
        <v>0</v>
      </c>
      <c r="P644" s="6">
        <v>0</v>
      </c>
      <c r="Q644" s="6">
        <v>0</v>
      </c>
      <c r="R644" s="4">
        <f t="shared" si="292"/>
        <v>0</v>
      </c>
      <c r="S644" s="6">
        <v>0</v>
      </c>
      <c r="T644" s="6">
        <v>0</v>
      </c>
      <c r="U644" s="6">
        <v>0</v>
      </c>
      <c r="V644" s="7">
        <f t="shared" si="293"/>
        <v>5500</v>
      </c>
    </row>
    <row r="645" spans="1:22" ht="21.95" customHeight="1" x14ac:dyDescent="0.25">
      <c r="A645" s="52" t="s">
        <v>1611</v>
      </c>
      <c r="B645" s="9" t="s">
        <v>645</v>
      </c>
      <c r="C645" s="3">
        <f t="shared" si="288"/>
        <v>1705000</v>
      </c>
      <c r="D645" s="4">
        <f t="shared" si="294"/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12">
        <v>0</v>
      </c>
      <c r="L645" s="6">
        <v>0</v>
      </c>
      <c r="M645" s="6">
        <v>310</v>
      </c>
      <c r="N645" s="4">
        <f t="shared" si="298"/>
        <v>1705000</v>
      </c>
      <c r="O645" s="6">
        <v>0</v>
      </c>
      <c r="P645" s="6">
        <v>0</v>
      </c>
      <c r="Q645" s="6">
        <v>0</v>
      </c>
      <c r="R645" s="4">
        <f t="shared" si="292"/>
        <v>0</v>
      </c>
      <c r="S645" s="6">
        <v>0</v>
      </c>
      <c r="T645" s="6">
        <v>0</v>
      </c>
      <c r="U645" s="6">
        <v>0</v>
      </c>
      <c r="V645" s="7">
        <f t="shared" si="293"/>
        <v>5500</v>
      </c>
    </row>
    <row r="646" spans="1:22" ht="21.95" customHeight="1" x14ac:dyDescent="0.25">
      <c r="A646" s="52" t="s">
        <v>940</v>
      </c>
      <c r="B646" s="9" t="s">
        <v>552</v>
      </c>
      <c r="C646" s="3">
        <f t="shared" si="288"/>
        <v>1699500</v>
      </c>
      <c r="D646" s="4">
        <f t="shared" si="294"/>
        <v>0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12">
        <v>0</v>
      </c>
      <c r="L646" s="6">
        <v>0</v>
      </c>
      <c r="M646" s="6">
        <v>309</v>
      </c>
      <c r="N646" s="4">
        <f t="shared" si="298"/>
        <v>1699500</v>
      </c>
      <c r="O646" s="6">
        <v>0</v>
      </c>
      <c r="P646" s="6">
        <v>0</v>
      </c>
      <c r="Q646" s="6">
        <v>0</v>
      </c>
      <c r="R646" s="4">
        <f t="shared" si="292"/>
        <v>0</v>
      </c>
      <c r="S646" s="6">
        <v>0</v>
      </c>
      <c r="T646" s="6">
        <v>0</v>
      </c>
      <c r="U646" s="6">
        <v>0</v>
      </c>
      <c r="V646" s="7">
        <f t="shared" si="293"/>
        <v>5500</v>
      </c>
    </row>
    <row r="647" spans="1:22" ht="21.95" customHeight="1" x14ac:dyDescent="0.25">
      <c r="A647" s="52" t="s">
        <v>941</v>
      </c>
      <c r="B647" s="9" t="s">
        <v>646</v>
      </c>
      <c r="C647" s="3">
        <f t="shared" si="288"/>
        <v>1628000</v>
      </c>
      <c r="D647" s="4">
        <f t="shared" si="294"/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12">
        <v>0</v>
      </c>
      <c r="L647" s="6">
        <v>0</v>
      </c>
      <c r="M647" s="6">
        <v>296</v>
      </c>
      <c r="N647" s="4">
        <f t="shared" si="298"/>
        <v>1628000</v>
      </c>
      <c r="O647" s="6">
        <v>0</v>
      </c>
      <c r="P647" s="6">
        <v>0</v>
      </c>
      <c r="Q647" s="6">
        <v>0</v>
      </c>
      <c r="R647" s="4">
        <f t="shared" si="292"/>
        <v>0</v>
      </c>
      <c r="S647" s="6">
        <v>0</v>
      </c>
      <c r="T647" s="6">
        <v>0</v>
      </c>
      <c r="U647" s="6">
        <v>0</v>
      </c>
      <c r="V647" s="7">
        <f t="shared" si="293"/>
        <v>5500</v>
      </c>
    </row>
    <row r="648" spans="1:22" ht="21.95" customHeight="1" x14ac:dyDescent="0.25">
      <c r="A648" s="52" t="s">
        <v>942</v>
      </c>
      <c r="B648" s="9" t="s">
        <v>647</v>
      </c>
      <c r="C648" s="3">
        <f t="shared" si="288"/>
        <v>979000</v>
      </c>
      <c r="D648" s="4">
        <f t="shared" si="294"/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12">
        <v>0</v>
      </c>
      <c r="L648" s="6">
        <v>0</v>
      </c>
      <c r="M648" s="6">
        <v>178</v>
      </c>
      <c r="N648" s="4">
        <f t="shared" si="298"/>
        <v>979000</v>
      </c>
      <c r="O648" s="6">
        <v>0</v>
      </c>
      <c r="P648" s="6">
        <v>0</v>
      </c>
      <c r="Q648" s="6">
        <v>0</v>
      </c>
      <c r="R648" s="4">
        <f t="shared" si="292"/>
        <v>0</v>
      </c>
      <c r="S648" s="6">
        <v>0</v>
      </c>
      <c r="T648" s="6">
        <v>0</v>
      </c>
      <c r="U648" s="6">
        <v>0</v>
      </c>
      <c r="V648" s="7">
        <f t="shared" si="293"/>
        <v>5500</v>
      </c>
    </row>
    <row r="649" spans="1:22" ht="21.95" customHeight="1" x14ac:dyDescent="0.25">
      <c r="A649" s="52" t="s">
        <v>943</v>
      </c>
      <c r="B649" s="9" t="s">
        <v>650</v>
      </c>
      <c r="C649" s="3">
        <f>D649+L649+N649+P649+R649+S649+T649+U649</f>
        <v>2997500</v>
      </c>
      <c r="D649" s="4">
        <f>SUM(E649:J649)</f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12">
        <v>0</v>
      </c>
      <c r="L649" s="6">
        <v>0</v>
      </c>
      <c r="M649" s="6">
        <v>545</v>
      </c>
      <c r="N649" s="4">
        <f>M649*5500</f>
        <v>2997500</v>
      </c>
      <c r="O649" s="6">
        <v>0</v>
      </c>
      <c r="P649" s="6">
        <v>0</v>
      </c>
      <c r="Q649" s="6">
        <v>0</v>
      </c>
      <c r="R649" s="4">
        <f>Q649*3000</f>
        <v>0</v>
      </c>
      <c r="S649" s="6">
        <v>0</v>
      </c>
      <c r="T649" s="6">
        <v>0</v>
      </c>
      <c r="U649" s="6">
        <v>0</v>
      </c>
      <c r="V649" s="7">
        <f>N649/M649</f>
        <v>5500</v>
      </c>
    </row>
    <row r="650" spans="1:22" ht="21.95" customHeight="1" x14ac:dyDescent="0.25">
      <c r="A650" s="52" t="s">
        <v>944</v>
      </c>
      <c r="B650" s="9" t="s">
        <v>648</v>
      </c>
      <c r="C650" s="3">
        <f t="shared" si="288"/>
        <v>1428900</v>
      </c>
      <c r="D650" s="4">
        <f t="shared" si="294"/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12">
        <v>0</v>
      </c>
      <c r="L650" s="6">
        <v>0</v>
      </c>
      <c r="M650" s="6">
        <v>259.8</v>
      </c>
      <c r="N650" s="4">
        <f t="shared" si="298"/>
        <v>1428900</v>
      </c>
      <c r="O650" s="6">
        <v>0</v>
      </c>
      <c r="P650" s="6">
        <v>0</v>
      </c>
      <c r="Q650" s="6">
        <v>0</v>
      </c>
      <c r="R650" s="4">
        <f t="shared" si="292"/>
        <v>0</v>
      </c>
      <c r="S650" s="6">
        <v>0</v>
      </c>
      <c r="T650" s="6">
        <v>0</v>
      </c>
      <c r="U650" s="6">
        <v>0</v>
      </c>
      <c r="V650" s="7">
        <f t="shared" si="293"/>
        <v>5500</v>
      </c>
    </row>
    <row r="651" spans="1:22" ht="21.95" customHeight="1" x14ac:dyDescent="0.25">
      <c r="A651" s="52" t="s">
        <v>945</v>
      </c>
      <c r="B651" s="9" t="s">
        <v>649</v>
      </c>
      <c r="C651" s="3">
        <f t="shared" si="288"/>
        <v>2744500</v>
      </c>
      <c r="D651" s="4">
        <f t="shared" si="294"/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12">
        <v>0</v>
      </c>
      <c r="L651" s="6">
        <v>0</v>
      </c>
      <c r="M651" s="6">
        <v>499</v>
      </c>
      <c r="N651" s="4">
        <f t="shared" si="298"/>
        <v>2744500</v>
      </c>
      <c r="O651" s="6">
        <v>0</v>
      </c>
      <c r="P651" s="6">
        <v>0</v>
      </c>
      <c r="Q651" s="6">
        <v>0</v>
      </c>
      <c r="R651" s="4">
        <f t="shared" si="292"/>
        <v>0</v>
      </c>
      <c r="S651" s="6">
        <v>0</v>
      </c>
      <c r="T651" s="6">
        <v>0</v>
      </c>
      <c r="U651" s="6">
        <v>0</v>
      </c>
      <c r="V651" s="7">
        <f t="shared" si="293"/>
        <v>5500</v>
      </c>
    </row>
    <row r="652" spans="1:22" ht="21.95" customHeight="1" x14ac:dyDescent="0.25">
      <c r="A652" s="52" t="s">
        <v>946</v>
      </c>
      <c r="B652" s="9" t="s">
        <v>553</v>
      </c>
      <c r="C652" s="3">
        <f t="shared" si="288"/>
        <v>1844150</v>
      </c>
      <c r="D652" s="4">
        <f t="shared" si="294"/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12">
        <v>0</v>
      </c>
      <c r="L652" s="6">
        <v>0</v>
      </c>
      <c r="M652" s="6">
        <v>335.3</v>
      </c>
      <c r="N652" s="4">
        <f t="shared" si="298"/>
        <v>1844150</v>
      </c>
      <c r="O652" s="6">
        <v>0</v>
      </c>
      <c r="P652" s="6">
        <v>0</v>
      </c>
      <c r="Q652" s="6">
        <v>0</v>
      </c>
      <c r="R652" s="4">
        <f t="shared" si="292"/>
        <v>0</v>
      </c>
      <c r="S652" s="6">
        <v>0</v>
      </c>
      <c r="T652" s="6">
        <v>0</v>
      </c>
      <c r="U652" s="6">
        <v>0</v>
      </c>
      <c r="V652" s="7">
        <f t="shared" si="293"/>
        <v>5500</v>
      </c>
    </row>
    <row r="653" spans="1:22" ht="21.95" customHeight="1" x14ac:dyDescent="0.25">
      <c r="A653" s="52" t="s">
        <v>947</v>
      </c>
      <c r="B653" s="9" t="s">
        <v>651</v>
      </c>
      <c r="C653" s="3">
        <f t="shared" si="288"/>
        <v>2816000</v>
      </c>
      <c r="D653" s="4">
        <f t="shared" si="294"/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12">
        <v>0</v>
      </c>
      <c r="L653" s="6">
        <v>0</v>
      </c>
      <c r="M653" s="6">
        <v>512</v>
      </c>
      <c r="N653" s="4">
        <f t="shared" si="298"/>
        <v>2816000</v>
      </c>
      <c r="O653" s="6">
        <v>0</v>
      </c>
      <c r="P653" s="6">
        <v>0</v>
      </c>
      <c r="Q653" s="6">
        <v>0</v>
      </c>
      <c r="R653" s="4">
        <f t="shared" si="292"/>
        <v>0</v>
      </c>
      <c r="S653" s="6">
        <v>0</v>
      </c>
      <c r="T653" s="6">
        <v>0</v>
      </c>
      <c r="U653" s="6">
        <v>0</v>
      </c>
      <c r="V653" s="7">
        <f t="shared" si="293"/>
        <v>5500</v>
      </c>
    </row>
    <row r="654" spans="1:22" ht="21.95" customHeight="1" x14ac:dyDescent="0.25">
      <c r="A654" s="52" t="s">
        <v>948</v>
      </c>
      <c r="B654" s="9" t="s">
        <v>652</v>
      </c>
      <c r="C654" s="3">
        <f t="shared" si="288"/>
        <v>2321000</v>
      </c>
      <c r="D654" s="4">
        <f t="shared" si="294"/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12">
        <v>0</v>
      </c>
      <c r="L654" s="6">
        <v>0</v>
      </c>
      <c r="M654" s="6">
        <v>422</v>
      </c>
      <c r="N654" s="4">
        <f t="shared" si="298"/>
        <v>2321000</v>
      </c>
      <c r="O654" s="6">
        <v>0</v>
      </c>
      <c r="P654" s="6">
        <v>0</v>
      </c>
      <c r="Q654" s="6">
        <v>0</v>
      </c>
      <c r="R654" s="4">
        <f t="shared" si="292"/>
        <v>0</v>
      </c>
      <c r="S654" s="6">
        <v>0</v>
      </c>
      <c r="T654" s="6">
        <v>0</v>
      </c>
      <c r="U654" s="6">
        <v>0</v>
      </c>
      <c r="V654" s="7">
        <f t="shared" si="293"/>
        <v>5500</v>
      </c>
    </row>
    <row r="655" spans="1:22" ht="21.95" customHeight="1" x14ac:dyDescent="0.25">
      <c r="A655" s="52" t="s">
        <v>949</v>
      </c>
      <c r="B655" s="9" t="s">
        <v>438</v>
      </c>
      <c r="C655" s="3">
        <f t="shared" si="288"/>
        <v>6850425</v>
      </c>
      <c r="D655" s="4">
        <f t="shared" si="294"/>
        <v>2010425</v>
      </c>
      <c r="E655" s="4">
        <f>350*855.5</f>
        <v>299425</v>
      </c>
      <c r="F655" s="4">
        <f>1050*855.5</f>
        <v>898275</v>
      </c>
      <c r="G655" s="4">
        <f>300*855.5</f>
        <v>256650</v>
      </c>
      <c r="H655" s="4">
        <f>400*855.5</f>
        <v>342200</v>
      </c>
      <c r="I655" s="4">
        <f>250*855.5</f>
        <v>213875</v>
      </c>
      <c r="J655" s="4">
        <v>0</v>
      </c>
      <c r="K655" s="5">
        <v>0</v>
      </c>
      <c r="L655" s="4">
        <v>0</v>
      </c>
      <c r="M655" s="4">
        <v>480</v>
      </c>
      <c r="N655" s="4">
        <f t="shared" si="298"/>
        <v>2640000</v>
      </c>
      <c r="O655" s="4">
        <v>0</v>
      </c>
      <c r="P655" s="4">
        <v>0</v>
      </c>
      <c r="Q655" s="4">
        <v>700</v>
      </c>
      <c r="R655" s="4">
        <f t="shared" si="292"/>
        <v>2100000</v>
      </c>
      <c r="S655" s="4">
        <v>0</v>
      </c>
      <c r="T655" s="6">
        <v>0</v>
      </c>
      <c r="U655" s="4">
        <v>100000</v>
      </c>
      <c r="V655" s="7">
        <f t="shared" si="293"/>
        <v>5500</v>
      </c>
    </row>
    <row r="656" spans="1:22" ht="21.95" customHeight="1" x14ac:dyDescent="0.25">
      <c r="A656" s="52" t="s">
        <v>950</v>
      </c>
      <c r="B656" s="9" t="s">
        <v>554</v>
      </c>
      <c r="C656" s="3">
        <f t="shared" si="288"/>
        <v>2459600</v>
      </c>
      <c r="D656" s="4">
        <f t="shared" si="294"/>
        <v>0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12">
        <v>0</v>
      </c>
      <c r="L656" s="6">
        <v>0</v>
      </c>
      <c r="M656" s="6">
        <v>447.2</v>
      </c>
      <c r="N656" s="4">
        <f t="shared" si="298"/>
        <v>2459600</v>
      </c>
      <c r="O656" s="6">
        <v>0</v>
      </c>
      <c r="P656" s="6">
        <v>0</v>
      </c>
      <c r="Q656" s="6">
        <v>0</v>
      </c>
      <c r="R656" s="4">
        <f t="shared" si="292"/>
        <v>0</v>
      </c>
      <c r="S656" s="6">
        <v>0</v>
      </c>
      <c r="T656" s="6">
        <v>0</v>
      </c>
      <c r="U656" s="6">
        <v>0</v>
      </c>
      <c r="V656" s="7">
        <f t="shared" si="293"/>
        <v>5500</v>
      </c>
    </row>
    <row r="657" spans="1:22" ht="21.95" customHeight="1" x14ac:dyDescent="0.25">
      <c r="A657" s="52" t="s">
        <v>951</v>
      </c>
      <c r="B657" s="28" t="s">
        <v>555</v>
      </c>
      <c r="C657" s="3">
        <f t="shared" ref="C657:C721" si="299">D657+L657+N657+P657+R657+S657+T657+U657</f>
        <v>3795000</v>
      </c>
      <c r="D657" s="4">
        <f t="shared" si="294"/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12">
        <v>0</v>
      </c>
      <c r="L657" s="6">
        <v>0</v>
      </c>
      <c r="M657" s="6">
        <v>690</v>
      </c>
      <c r="N657" s="4">
        <f t="shared" si="298"/>
        <v>3795000</v>
      </c>
      <c r="O657" s="6">
        <v>0</v>
      </c>
      <c r="P657" s="6">
        <v>0</v>
      </c>
      <c r="Q657" s="6">
        <v>0</v>
      </c>
      <c r="R657" s="4">
        <f t="shared" si="292"/>
        <v>0</v>
      </c>
      <c r="S657" s="6">
        <v>0</v>
      </c>
      <c r="T657" s="6">
        <v>0</v>
      </c>
      <c r="U657" s="6">
        <v>0</v>
      </c>
      <c r="V657" s="7">
        <f t="shared" si="293"/>
        <v>5500</v>
      </c>
    </row>
    <row r="658" spans="1:22" ht="21.95" customHeight="1" x14ac:dyDescent="0.25">
      <c r="A658" s="52" t="s">
        <v>952</v>
      </c>
      <c r="B658" s="28" t="s">
        <v>556</v>
      </c>
      <c r="C658" s="3">
        <f t="shared" si="299"/>
        <v>3877500</v>
      </c>
      <c r="D658" s="4">
        <f t="shared" si="294"/>
        <v>0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12">
        <v>0</v>
      </c>
      <c r="L658" s="6">
        <v>0</v>
      </c>
      <c r="M658" s="6">
        <v>705</v>
      </c>
      <c r="N658" s="4">
        <f t="shared" si="298"/>
        <v>3877500</v>
      </c>
      <c r="O658" s="6">
        <v>0</v>
      </c>
      <c r="P658" s="6">
        <v>0</v>
      </c>
      <c r="Q658" s="6">
        <v>0</v>
      </c>
      <c r="R658" s="4">
        <f t="shared" si="292"/>
        <v>0</v>
      </c>
      <c r="S658" s="6">
        <v>0</v>
      </c>
      <c r="T658" s="6">
        <v>0</v>
      </c>
      <c r="U658" s="6">
        <v>0</v>
      </c>
      <c r="V658" s="7">
        <f t="shared" si="293"/>
        <v>5500</v>
      </c>
    </row>
    <row r="659" spans="1:22" ht="21.95" customHeight="1" x14ac:dyDescent="0.25">
      <c r="A659" s="52" t="s">
        <v>953</v>
      </c>
      <c r="B659" s="9" t="s">
        <v>394</v>
      </c>
      <c r="C659" s="3">
        <f>D659+L659+N659+P659+R659+S659+T659+U659</f>
        <v>6741805</v>
      </c>
      <c r="D659" s="4">
        <f>SUM(E659:J659)</f>
        <v>6641805</v>
      </c>
      <c r="E659" s="4">
        <f>350*2826.3</f>
        <v>989205.00000000012</v>
      </c>
      <c r="F659" s="4">
        <f>1050*2826.3</f>
        <v>2967615</v>
      </c>
      <c r="G659" s="4">
        <f>300*2826.3</f>
        <v>847890</v>
      </c>
      <c r="H659" s="4">
        <f>400*2826.3</f>
        <v>1130520</v>
      </c>
      <c r="I659" s="4">
        <f>250*2826.3</f>
        <v>706575</v>
      </c>
      <c r="J659" s="4">
        <f>350*0</f>
        <v>0</v>
      </c>
      <c r="K659" s="5">
        <v>0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  <c r="S659" s="4">
        <v>0</v>
      </c>
      <c r="T659" s="4">
        <v>0</v>
      </c>
      <c r="U659" s="4">
        <v>100000</v>
      </c>
      <c r="V659" s="7" t="e">
        <f>N659/M659</f>
        <v>#DIV/0!</v>
      </c>
    </row>
    <row r="660" spans="1:22" ht="21.95" customHeight="1" x14ac:dyDescent="0.25">
      <c r="A660" s="52" t="s">
        <v>954</v>
      </c>
      <c r="B660" s="9" t="s">
        <v>459</v>
      </c>
      <c r="C660" s="3">
        <f>D660+L660+N660+P660+R660+S660+T660+U660</f>
        <v>12084060</v>
      </c>
      <c r="D660" s="4">
        <f>SUM(E660:J660)</f>
        <v>11984060</v>
      </c>
      <c r="E660" s="4">
        <f>350*5099.6</f>
        <v>1784860.0000000002</v>
      </c>
      <c r="F660" s="4">
        <f>1050*5099.6</f>
        <v>5354580</v>
      </c>
      <c r="G660" s="4">
        <f>300*5099.6</f>
        <v>1529880</v>
      </c>
      <c r="H660" s="4">
        <f>400*5099.6</f>
        <v>2039840.0000000002</v>
      </c>
      <c r="I660" s="4">
        <f>250*5099.6</f>
        <v>1274900</v>
      </c>
      <c r="J660" s="4">
        <f>350*0</f>
        <v>0</v>
      </c>
      <c r="K660" s="5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100000</v>
      </c>
      <c r="V660" s="7" t="e">
        <f>N660/M660</f>
        <v>#DIV/0!</v>
      </c>
    </row>
    <row r="661" spans="1:22" ht="21.95" customHeight="1" x14ac:dyDescent="0.25">
      <c r="A661" s="52" t="s">
        <v>955</v>
      </c>
      <c r="B661" s="9" t="s">
        <v>557</v>
      </c>
      <c r="C661" s="3">
        <f t="shared" si="299"/>
        <v>19102850</v>
      </c>
      <c r="D661" s="4">
        <f t="shared" si="294"/>
        <v>9942850</v>
      </c>
      <c r="E661" s="4">
        <f>350*4231</f>
        <v>1480850</v>
      </c>
      <c r="F661" s="4">
        <f>1050*4231</f>
        <v>4442550</v>
      </c>
      <c r="G661" s="4">
        <f>300*4231</f>
        <v>1269300</v>
      </c>
      <c r="H661" s="4">
        <f>400*4231</f>
        <v>1692400</v>
      </c>
      <c r="I661" s="4">
        <f>250*4231</f>
        <v>1057750</v>
      </c>
      <c r="J661" s="4">
        <v>0</v>
      </c>
      <c r="K661" s="12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3020</v>
      </c>
      <c r="R661" s="4">
        <f t="shared" si="292"/>
        <v>9060000</v>
      </c>
      <c r="S661" s="6">
        <v>0</v>
      </c>
      <c r="T661" s="6">
        <v>0</v>
      </c>
      <c r="U661" s="6">
        <v>100000</v>
      </c>
      <c r="V661" s="7" t="e">
        <f t="shared" si="293"/>
        <v>#DIV/0!</v>
      </c>
    </row>
    <row r="662" spans="1:22" ht="21.95" customHeight="1" x14ac:dyDescent="0.25">
      <c r="A662" s="52" t="s">
        <v>956</v>
      </c>
      <c r="B662" s="28" t="s">
        <v>654</v>
      </c>
      <c r="C662" s="3">
        <f>D662+L662+N662+P662+R662+S662+T662+U662</f>
        <v>4532000</v>
      </c>
      <c r="D662" s="4">
        <f>SUM(E662:J662)</f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12">
        <v>0</v>
      </c>
      <c r="L662" s="6">
        <v>0</v>
      </c>
      <c r="M662" s="6">
        <v>824</v>
      </c>
      <c r="N662" s="4">
        <f>M662*5500</f>
        <v>4532000</v>
      </c>
      <c r="O662" s="6">
        <v>0</v>
      </c>
      <c r="P662" s="6">
        <v>0</v>
      </c>
      <c r="Q662" s="6">
        <v>0</v>
      </c>
      <c r="R662" s="4">
        <f>Q662*3000</f>
        <v>0</v>
      </c>
      <c r="S662" s="6">
        <v>0</v>
      </c>
      <c r="T662" s="6">
        <v>0</v>
      </c>
      <c r="U662" s="6">
        <v>0</v>
      </c>
      <c r="V662" s="7">
        <f>N662/M662</f>
        <v>5500</v>
      </c>
    </row>
    <row r="663" spans="1:22" ht="21.95" customHeight="1" x14ac:dyDescent="0.25">
      <c r="A663" s="52" t="s">
        <v>957</v>
      </c>
      <c r="B663" s="28" t="s">
        <v>653</v>
      </c>
      <c r="C663" s="3">
        <f t="shared" si="299"/>
        <v>5368000</v>
      </c>
      <c r="D663" s="4">
        <f t="shared" si="294"/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12">
        <v>0</v>
      </c>
      <c r="L663" s="6">
        <v>0</v>
      </c>
      <c r="M663" s="6">
        <v>976</v>
      </c>
      <c r="N663" s="4">
        <f t="shared" ref="N663:N665" si="300">M663*5500</f>
        <v>5368000</v>
      </c>
      <c r="O663" s="6">
        <v>0</v>
      </c>
      <c r="P663" s="6">
        <v>0</v>
      </c>
      <c r="Q663" s="6">
        <v>0</v>
      </c>
      <c r="R663" s="4">
        <f t="shared" si="292"/>
        <v>0</v>
      </c>
      <c r="S663" s="6">
        <v>0</v>
      </c>
      <c r="T663" s="6">
        <v>0</v>
      </c>
      <c r="U663" s="6">
        <v>0</v>
      </c>
      <c r="V663" s="7">
        <f t="shared" si="293"/>
        <v>5500</v>
      </c>
    </row>
    <row r="664" spans="1:22" ht="21.95" customHeight="1" x14ac:dyDescent="0.25">
      <c r="A664" s="52" t="s">
        <v>958</v>
      </c>
      <c r="B664" s="9" t="s">
        <v>472</v>
      </c>
      <c r="C664" s="3">
        <f t="shared" si="299"/>
        <v>1697300.0000000002</v>
      </c>
      <c r="D664" s="4">
        <f t="shared" si="294"/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5">
        <v>0</v>
      </c>
      <c r="L664" s="4">
        <v>0</v>
      </c>
      <c r="M664" s="4">
        <v>308.60000000000002</v>
      </c>
      <c r="N664" s="4">
        <f t="shared" si="300"/>
        <v>1697300.0000000002</v>
      </c>
      <c r="O664" s="4">
        <v>0</v>
      </c>
      <c r="P664" s="4">
        <v>0</v>
      </c>
      <c r="Q664" s="4">
        <v>0</v>
      </c>
      <c r="R664" s="4">
        <f t="shared" si="292"/>
        <v>0</v>
      </c>
      <c r="S664" s="4">
        <v>0</v>
      </c>
      <c r="T664" s="6">
        <v>0</v>
      </c>
      <c r="U664" s="4">
        <v>0</v>
      </c>
      <c r="V664" s="7">
        <f t="shared" si="293"/>
        <v>5500</v>
      </c>
    </row>
    <row r="665" spans="1:22" ht="21.95" customHeight="1" x14ac:dyDescent="0.25">
      <c r="A665" s="52" t="s">
        <v>959</v>
      </c>
      <c r="B665" s="9" t="s">
        <v>406</v>
      </c>
      <c r="C665" s="3">
        <f t="shared" si="299"/>
        <v>5318292</v>
      </c>
      <c r="D665" s="4">
        <f t="shared" si="294"/>
        <v>968292</v>
      </c>
      <c r="E665" s="6">
        <f>350*496.56</f>
        <v>173796</v>
      </c>
      <c r="F665" s="6">
        <f>1050*496.56</f>
        <v>521388</v>
      </c>
      <c r="G665" s="6">
        <f>300*496.56</f>
        <v>148968</v>
      </c>
      <c r="H665" s="6">
        <f>400*0</f>
        <v>0</v>
      </c>
      <c r="I665" s="6">
        <f>250*496.56</f>
        <v>124140</v>
      </c>
      <c r="J665" s="6">
        <f>350*0</f>
        <v>0</v>
      </c>
      <c r="K665" s="5">
        <v>0</v>
      </c>
      <c r="L665" s="4">
        <v>0</v>
      </c>
      <c r="M665" s="4">
        <v>500</v>
      </c>
      <c r="N665" s="4">
        <f t="shared" si="300"/>
        <v>2750000</v>
      </c>
      <c r="O665" s="4">
        <v>0</v>
      </c>
      <c r="P665" s="4">
        <v>0</v>
      </c>
      <c r="Q665" s="4">
        <v>500</v>
      </c>
      <c r="R665" s="4">
        <f t="shared" si="292"/>
        <v>1500000</v>
      </c>
      <c r="S665" s="4">
        <v>0</v>
      </c>
      <c r="T665" s="6">
        <v>0</v>
      </c>
      <c r="U665" s="4">
        <v>100000</v>
      </c>
      <c r="V665" s="7">
        <f t="shared" si="293"/>
        <v>5500</v>
      </c>
    </row>
    <row r="666" spans="1:22" ht="21.95" customHeight="1" x14ac:dyDescent="0.25">
      <c r="A666" s="52" t="s">
        <v>960</v>
      </c>
      <c r="B666" s="9" t="s">
        <v>655</v>
      </c>
      <c r="C666" s="3">
        <f t="shared" si="299"/>
        <v>2797330</v>
      </c>
      <c r="D666" s="4">
        <f t="shared" si="294"/>
        <v>2697330</v>
      </c>
      <c r="E666" s="4">
        <f>350*1147.8</f>
        <v>401730</v>
      </c>
      <c r="F666" s="4">
        <f>1050*1147.8</f>
        <v>1205190</v>
      </c>
      <c r="G666" s="4">
        <f>300*1147.8</f>
        <v>344340</v>
      </c>
      <c r="H666" s="4">
        <f>400*1147.8</f>
        <v>459120</v>
      </c>
      <c r="I666" s="4">
        <f>250*1147.8</f>
        <v>286950</v>
      </c>
      <c r="J666" s="4">
        <v>0</v>
      </c>
      <c r="K666" s="12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4">
        <f t="shared" si="292"/>
        <v>0</v>
      </c>
      <c r="S666" s="6">
        <v>0</v>
      </c>
      <c r="T666" s="6">
        <v>0</v>
      </c>
      <c r="U666" s="6">
        <v>100000</v>
      </c>
      <c r="V666" s="7" t="e">
        <f t="shared" si="293"/>
        <v>#DIV/0!</v>
      </c>
    </row>
    <row r="667" spans="1:22" ht="21.95" customHeight="1" x14ac:dyDescent="0.25">
      <c r="A667" s="52" t="s">
        <v>961</v>
      </c>
      <c r="B667" s="9" t="s">
        <v>558</v>
      </c>
      <c r="C667" s="3">
        <f t="shared" si="299"/>
        <v>5708275</v>
      </c>
      <c r="D667" s="4">
        <f t="shared" si="294"/>
        <v>5608275</v>
      </c>
      <c r="E667" s="4">
        <f>350*2386.5</f>
        <v>835275</v>
      </c>
      <c r="F667" s="4">
        <f>1050*2386.5</f>
        <v>2505825</v>
      </c>
      <c r="G667" s="4">
        <f>300*2386.5</f>
        <v>715950</v>
      </c>
      <c r="H667" s="4">
        <f>400*2386.5</f>
        <v>954600</v>
      </c>
      <c r="I667" s="4">
        <f>250*2386.5</f>
        <v>596625</v>
      </c>
      <c r="J667" s="4">
        <v>0</v>
      </c>
      <c r="K667" s="12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4">
        <f t="shared" si="292"/>
        <v>0</v>
      </c>
      <c r="S667" s="6">
        <v>0</v>
      </c>
      <c r="T667" s="6">
        <v>0</v>
      </c>
      <c r="U667" s="6">
        <v>100000</v>
      </c>
      <c r="V667" s="7" t="e">
        <f t="shared" si="293"/>
        <v>#DIV/0!</v>
      </c>
    </row>
    <row r="668" spans="1:22" ht="21.95" customHeight="1" x14ac:dyDescent="0.25">
      <c r="A668" s="52" t="s">
        <v>1458</v>
      </c>
      <c r="B668" s="9" t="s">
        <v>656</v>
      </c>
      <c r="C668" s="3">
        <f t="shared" si="299"/>
        <v>2745888.5</v>
      </c>
      <c r="D668" s="4">
        <f t="shared" si="294"/>
        <v>2645888.5</v>
      </c>
      <c r="E668" s="4">
        <f>350*1125.91</f>
        <v>394068.5</v>
      </c>
      <c r="F668" s="4">
        <f>1050*1125.91</f>
        <v>1182205.5</v>
      </c>
      <c r="G668" s="4">
        <f>300*1125.91</f>
        <v>337773</v>
      </c>
      <c r="H668" s="4">
        <f>400*1125.91</f>
        <v>450364.00000000006</v>
      </c>
      <c r="I668" s="4">
        <f>250*1125.91</f>
        <v>281477.5</v>
      </c>
      <c r="J668" s="4">
        <v>0</v>
      </c>
      <c r="K668" s="12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4">
        <f t="shared" si="292"/>
        <v>0</v>
      </c>
      <c r="S668" s="6">
        <v>0</v>
      </c>
      <c r="T668" s="6">
        <v>0</v>
      </c>
      <c r="U668" s="6">
        <v>100000</v>
      </c>
      <c r="V668" s="7" t="e">
        <f t="shared" si="293"/>
        <v>#DIV/0!</v>
      </c>
    </row>
    <row r="669" spans="1:22" ht="21.95" customHeight="1" x14ac:dyDescent="0.25">
      <c r="A669" s="52" t="s">
        <v>962</v>
      </c>
      <c r="B669" s="9" t="s">
        <v>657</v>
      </c>
      <c r="C669" s="3">
        <f t="shared" si="299"/>
        <v>2595230</v>
      </c>
      <c r="D669" s="4">
        <f t="shared" si="294"/>
        <v>2495230</v>
      </c>
      <c r="E669" s="4">
        <f>350*1061.8</f>
        <v>371630</v>
      </c>
      <c r="F669" s="4">
        <f>1050*1061.8</f>
        <v>1114890</v>
      </c>
      <c r="G669" s="4">
        <f>300*1061.8</f>
        <v>318540</v>
      </c>
      <c r="H669" s="4">
        <f>400*1061.8</f>
        <v>424720</v>
      </c>
      <c r="I669" s="4">
        <f>250*1061.8</f>
        <v>265450</v>
      </c>
      <c r="J669" s="4">
        <v>0</v>
      </c>
      <c r="K669" s="12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4">
        <f t="shared" si="292"/>
        <v>0</v>
      </c>
      <c r="S669" s="6">
        <v>0</v>
      </c>
      <c r="T669" s="6">
        <v>0</v>
      </c>
      <c r="U669" s="6">
        <v>100000</v>
      </c>
      <c r="V669" s="7" t="e">
        <f t="shared" si="293"/>
        <v>#DIV/0!</v>
      </c>
    </row>
    <row r="670" spans="1:22" ht="21.95" customHeight="1" x14ac:dyDescent="0.25">
      <c r="A670" s="52" t="s">
        <v>963</v>
      </c>
      <c r="B670" s="9" t="s">
        <v>559</v>
      </c>
      <c r="C670" s="3">
        <f t="shared" si="299"/>
        <v>1512500</v>
      </c>
      <c r="D670" s="4">
        <f t="shared" si="294"/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12">
        <v>0</v>
      </c>
      <c r="L670" s="6">
        <v>0</v>
      </c>
      <c r="M670" s="6">
        <v>275</v>
      </c>
      <c r="N670" s="4">
        <f t="shared" ref="N670" si="301">M670*5500</f>
        <v>1512500</v>
      </c>
      <c r="O670" s="6">
        <v>0</v>
      </c>
      <c r="P670" s="6">
        <v>0</v>
      </c>
      <c r="Q670" s="6">
        <v>0</v>
      </c>
      <c r="R670" s="4">
        <f t="shared" si="292"/>
        <v>0</v>
      </c>
      <c r="S670" s="6">
        <v>0</v>
      </c>
      <c r="T670" s="6">
        <v>0</v>
      </c>
      <c r="U670" s="6">
        <v>0</v>
      </c>
      <c r="V670" s="7">
        <f t="shared" si="293"/>
        <v>5500</v>
      </c>
    </row>
    <row r="671" spans="1:22" ht="21.95" customHeight="1" x14ac:dyDescent="0.25">
      <c r="A671" s="52" t="s">
        <v>964</v>
      </c>
      <c r="B671" s="9" t="s">
        <v>658</v>
      </c>
      <c r="C671" s="3">
        <f t="shared" si="299"/>
        <v>1529000</v>
      </c>
      <c r="D671" s="4">
        <f t="shared" si="294"/>
        <v>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12">
        <v>0</v>
      </c>
      <c r="L671" s="6">
        <v>0</v>
      </c>
      <c r="M671" s="6">
        <v>278</v>
      </c>
      <c r="N671" s="4">
        <f t="shared" ref="N671:N686" si="302">M671*5500</f>
        <v>1529000</v>
      </c>
      <c r="O671" s="6">
        <v>0</v>
      </c>
      <c r="P671" s="6">
        <v>0</v>
      </c>
      <c r="Q671" s="6">
        <v>0</v>
      </c>
      <c r="R671" s="4">
        <f t="shared" si="292"/>
        <v>0</v>
      </c>
      <c r="S671" s="6">
        <v>0</v>
      </c>
      <c r="T671" s="6">
        <v>0</v>
      </c>
      <c r="U671" s="6">
        <v>0</v>
      </c>
      <c r="V671" s="7">
        <f t="shared" si="293"/>
        <v>5500</v>
      </c>
    </row>
    <row r="672" spans="1:22" ht="21.95" customHeight="1" x14ac:dyDescent="0.25">
      <c r="A672" s="52" t="s">
        <v>965</v>
      </c>
      <c r="B672" s="9" t="s">
        <v>659</v>
      </c>
      <c r="C672" s="3">
        <f t="shared" si="299"/>
        <v>2200000</v>
      </c>
      <c r="D672" s="4">
        <f t="shared" si="294"/>
        <v>0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12">
        <v>0</v>
      </c>
      <c r="L672" s="6">
        <v>0</v>
      </c>
      <c r="M672" s="6">
        <v>400</v>
      </c>
      <c r="N672" s="4">
        <f t="shared" si="302"/>
        <v>2200000</v>
      </c>
      <c r="O672" s="6">
        <v>0</v>
      </c>
      <c r="P672" s="6">
        <v>0</v>
      </c>
      <c r="Q672" s="6">
        <v>0</v>
      </c>
      <c r="R672" s="4">
        <f t="shared" si="292"/>
        <v>0</v>
      </c>
      <c r="S672" s="6">
        <v>0</v>
      </c>
      <c r="T672" s="6">
        <v>0</v>
      </c>
      <c r="U672" s="6">
        <v>0</v>
      </c>
      <c r="V672" s="7">
        <f t="shared" si="293"/>
        <v>5500</v>
      </c>
    </row>
    <row r="673" spans="1:22" ht="21.95" customHeight="1" x14ac:dyDescent="0.25">
      <c r="A673" s="52" t="s">
        <v>966</v>
      </c>
      <c r="B673" s="9" t="s">
        <v>560</v>
      </c>
      <c r="C673" s="3">
        <f t="shared" si="299"/>
        <v>1942600</v>
      </c>
      <c r="D673" s="4">
        <f t="shared" si="294"/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12">
        <v>0</v>
      </c>
      <c r="L673" s="6">
        <v>0</v>
      </c>
      <c r="M673" s="6">
        <v>353.2</v>
      </c>
      <c r="N673" s="4">
        <f t="shared" si="302"/>
        <v>1942600</v>
      </c>
      <c r="O673" s="6">
        <v>0</v>
      </c>
      <c r="P673" s="6">
        <v>0</v>
      </c>
      <c r="Q673" s="6">
        <v>0</v>
      </c>
      <c r="R673" s="4">
        <f t="shared" si="292"/>
        <v>0</v>
      </c>
      <c r="S673" s="6">
        <v>0</v>
      </c>
      <c r="T673" s="6">
        <v>0</v>
      </c>
      <c r="U673" s="6">
        <v>0</v>
      </c>
      <c r="V673" s="7">
        <f t="shared" si="293"/>
        <v>5500</v>
      </c>
    </row>
    <row r="674" spans="1:22" ht="21.95" customHeight="1" x14ac:dyDescent="0.25">
      <c r="A674" s="52" t="s">
        <v>967</v>
      </c>
      <c r="B674" s="9" t="s">
        <v>561</v>
      </c>
      <c r="C674" s="3">
        <f t="shared" si="299"/>
        <v>3721979</v>
      </c>
      <c r="D674" s="4">
        <f t="shared" si="294"/>
        <v>1008479</v>
      </c>
      <c r="E674" s="4">
        <f>350*429.14</f>
        <v>150199</v>
      </c>
      <c r="F674" s="4">
        <f>1050*429.14</f>
        <v>450597</v>
      </c>
      <c r="G674" s="4">
        <f>300*429.14</f>
        <v>128742</v>
      </c>
      <c r="H674" s="4">
        <f>400*429.14</f>
        <v>171656</v>
      </c>
      <c r="I674" s="4">
        <f>250*429.14</f>
        <v>107285</v>
      </c>
      <c r="J674" s="4">
        <v>0</v>
      </c>
      <c r="K674" s="12">
        <v>0</v>
      </c>
      <c r="L674" s="6">
        <v>0</v>
      </c>
      <c r="M674" s="6">
        <v>251</v>
      </c>
      <c r="N674" s="4">
        <f t="shared" si="302"/>
        <v>1380500</v>
      </c>
      <c r="O674" s="6">
        <v>0</v>
      </c>
      <c r="P674" s="6">
        <v>0</v>
      </c>
      <c r="Q674" s="6">
        <v>411</v>
      </c>
      <c r="R674" s="4">
        <f t="shared" si="292"/>
        <v>1233000</v>
      </c>
      <c r="S674" s="6">
        <v>0</v>
      </c>
      <c r="T674" s="6">
        <v>0</v>
      </c>
      <c r="U674" s="6">
        <v>100000</v>
      </c>
      <c r="V674" s="7">
        <f t="shared" si="293"/>
        <v>5500</v>
      </c>
    </row>
    <row r="675" spans="1:22" ht="21.95" customHeight="1" x14ac:dyDescent="0.25">
      <c r="A675" s="52" t="s">
        <v>968</v>
      </c>
      <c r="B675" s="9" t="s">
        <v>660</v>
      </c>
      <c r="C675" s="3">
        <f t="shared" si="299"/>
        <v>2502500</v>
      </c>
      <c r="D675" s="4">
        <f t="shared" si="294"/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12">
        <v>0</v>
      </c>
      <c r="L675" s="6">
        <v>0</v>
      </c>
      <c r="M675" s="6">
        <v>455</v>
      </c>
      <c r="N675" s="4">
        <f t="shared" si="302"/>
        <v>2502500</v>
      </c>
      <c r="O675" s="6">
        <v>0</v>
      </c>
      <c r="P675" s="6">
        <v>0</v>
      </c>
      <c r="Q675" s="6">
        <v>0</v>
      </c>
      <c r="R675" s="4">
        <f t="shared" si="292"/>
        <v>0</v>
      </c>
      <c r="S675" s="6">
        <v>0</v>
      </c>
      <c r="T675" s="6">
        <v>0</v>
      </c>
      <c r="U675" s="6">
        <v>0</v>
      </c>
      <c r="V675" s="7">
        <f t="shared" si="293"/>
        <v>5500</v>
      </c>
    </row>
    <row r="676" spans="1:22" ht="21.95" customHeight="1" x14ac:dyDescent="0.25">
      <c r="A676" s="52" t="s">
        <v>1365</v>
      </c>
      <c r="B676" s="9" t="s">
        <v>664</v>
      </c>
      <c r="C676" s="3">
        <f>D676+L676+N676+P676+R676+S676+T676+U676</f>
        <v>1446500</v>
      </c>
      <c r="D676" s="4">
        <f>SUM(E676:J676)</f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12">
        <v>0</v>
      </c>
      <c r="L676" s="6">
        <v>0</v>
      </c>
      <c r="M676" s="6">
        <v>263</v>
      </c>
      <c r="N676" s="4">
        <f>M676*5500</f>
        <v>1446500</v>
      </c>
      <c r="O676" s="6">
        <v>0</v>
      </c>
      <c r="P676" s="6">
        <v>0</v>
      </c>
      <c r="Q676" s="6">
        <v>0</v>
      </c>
      <c r="R676" s="4">
        <f>Q676*3000</f>
        <v>0</v>
      </c>
      <c r="S676" s="6">
        <v>0</v>
      </c>
      <c r="T676" s="6">
        <v>0</v>
      </c>
      <c r="U676" s="6">
        <v>0</v>
      </c>
      <c r="V676" s="7">
        <f>N676/M676</f>
        <v>5500</v>
      </c>
    </row>
    <row r="677" spans="1:22" ht="21.95" customHeight="1" x14ac:dyDescent="0.25">
      <c r="A677" s="52" t="s">
        <v>969</v>
      </c>
      <c r="B677" s="9" t="s">
        <v>661</v>
      </c>
      <c r="C677" s="3">
        <f t="shared" si="299"/>
        <v>1474000</v>
      </c>
      <c r="D677" s="4">
        <f t="shared" si="294"/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12">
        <v>0</v>
      </c>
      <c r="L677" s="6">
        <v>0</v>
      </c>
      <c r="M677" s="6">
        <v>268</v>
      </c>
      <c r="N677" s="4">
        <f t="shared" si="302"/>
        <v>1474000</v>
      </c>
      <c r="O677" s="6">
        <v>0</v>
      </c>
      <c r="P677" s="6">
        <v>0</v>
      </c>
      <c r="Q677" s="6">
        <v>0</v>
      </c>
      <c r="R677" s="4">
        <f t="shared" si="292"/>
        <v>0</v>
      </c>
      <c r="S677" s="6">
        <v>0</v>
      </c>
      <c r="T677" s="6">
        <v>0</v>
      </c>
      <c r="U677" s="6">
        <v>0</v>
      </c>
      <c r="V677" s="7">
        <f t="shared" si="293"/>
        <v>5500</v>
      </c>
    </row>
    <row r="678" spans="1:22" ht="21.95" customHeight="1" x14ac:dyDescent="0.25">
      <c r="A678" s="52" t="s">
        <v>970</v>
      </c>
      <c r="B678" s="9" t="s">
        <v>662</v>
      </c>
      <c r="C678" s="3">
        <f t="shared" si="299"/>
        <v>1474000</v>
      </c>
      <c r="D678" s="4">
        <f t="shared" si="294"/>
        <v>0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12">
        <v>0</v>
      </c>
      <c r="L678" s="6">
        <v>0</v>
      </c>
      <c r="M678" s="6">
        <v>268</v>
      </c>
      <c r="N678" s="4">
        <f t="shared" si="302"/>
        <v>1474000</v>
      </c>
      <c r="O678" s="6">
        <v>0</v>
      </c>
      <c r="P678" s="6">
        <v>0</v>
      </c>
      <c r="Q678" s="6">
        <v>0</v>
      </c>
      <c r="R678" s="4">
        <f t="shared" si="292"/>
        <v>0</v>
      </c>
      <c r="S678" s="6">
        <v>0</v>
      </c>
      <c r="T678" s="6">
        <v>0</v>
      </c>
      <c r="U678" s="6">
        <v>0</v>
      </c>
      <c r="V678" s="7">
        <f t="shared" si="293"/>
        <v>5500</v>
      </c>
    </row>
    <row r="679" spans="1:22" ht="21.95" customHeight="1" x14ac:dyDescent="0.25">
      <c r="A679" s="52" t="s">
        <v>971</v>
      </c>
      <c r="B679" s="9" t="s">
        <v>663</v>
      </c>
      <c r="C679" s="3">
        <f t="shared" si="299"/>
        <v>1446500</v>
      </c>
      <c r="D679" s="4">
        <f t="shared" si="294"/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12">
        <v>0</v>
      </c>
      <c r="L679" s="6">
        <v>0</v>
      </c>
      <c r="M679" s="6">
        <v>263</v>
      </c>
      <c r="N679" s="4">
        <f t="shared" si="302"/>
        <v>1446500</v>
      </c>
      <c r="O679" s="6">
        <v>0</v>
      </c>
      <c r="P679" s="6">
        <v>0</v>
      </c>
      <c r="Q679" s="6">
        <v>0</v>
      </c>
      <c r="R679" s="4">
        <f t="shared" si="292"/>
        <v>0</v>
      </c>
      <c r="S679" s="6">
        <v>0</v>
      </c>
      <c r="T679" s="6">
        <v>0</v>
      </c>
      <c r="U679" s="6">
        <v>0</v>
      </c>
      <c r="V679" s="7">
        <f t="shared" si="293"/>
        <v>5500</v>
      </c>
    </row>
    <row r="680" spans="1:22" ht="21.95" customHeight="1" x14ac:dyDescent="0.25">
      <c r="A680" s="52" t="s">
        <v>972</v>
      </c>
      <c r="B680" s="9" t="s">
        <v>570</v>
      </c>
      <c r="C680" s="3">
        <f>D680+L680+N680+P680+R680+S680+T680+U680</f>
        <v>2104850</v>
      </c>
      <c r="D680" s="4">
        <f>SUM(E680:J680)</f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12">
        <v>0</v>
      </c>
      <c r="L680" s="6">
        <v>0</v>
      </c>
      <c r="M680" s="6">
        <v>382.7</v>
      </c>
      <c r="N680" s="4">
        <f>M680*5500</f>
        <v>2104850</v>
      </c>
      <c r="O680" s="6">
        <v>0</v>
      </c>
      <c r="P680" s="6">
        <v>0</v>
      </c>
      <c r="Q680" s="6">
        <v>0</v>
      </c>
      <c r="R680" s="4">
        <f>Q680*3000</f>
        <v>0</v>
      </c>
      <c r="S680" s="6">
        <v>0</v>
      </c>
      <c r="T680" s="6">
        <v>0</v>
      </c>
      <c r="U680" s="6">
        <v>0</v>
      </c>
      <c r="V680" s="7">
        <f>N680/M680</f>
        <v>5500</v>
      </c>
    </row>
    <row r="681" spans="1:22" ht="21.95" customHeight="1" x14ac:dyDescent="0.25">
      <c r="A681" s="52" t="s">
        <v>973</v>
      </c>
      <c r="B681" s="9" t="s">
        <v>571</v>
      </c>
      <c r="C681" s="3">
        <f>D681+L681+N681+P681+R681+S681+T681+U681</f>
        <v>2112000</v>
      </c>
      <c r="D681" s="4">
        <f>SUM(E681:J681)</f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12">
        <v>0</v>
      </c>
      <c r="L681" s="6">
        <v>0</v>
      </c>
      <c r="M681" s="6">
        <v>384</v>
      </c>
      <c r="N681" s="4">
        <f>M681*5500</f>
        <v>2112000</v>
      </c>
      <c r="O681" s="6">
        <v>0</v>
      </c>
      <c r="P681" s="6">
        <v>0</v>
      </c>
      <c r="Q681" s="6">
        <v>0</v>
      </c>
      <c r="R681" s="4">
        <f>Q681*3000</f>
        <v>0</v>
      </c>
      <c r="S681" s="6">
        <v>0</v>
      </c>
      <c r="T681" s="6">
        <v>0</v>
      </c>
      <c r="U681" s="6">
        <v>0</v>
      </c>
      <c r="V681" s="7">
        <f>N681/M681</f>
        <v>5500</v>
      </c>
    </row>
    <row r="682" spans="1:22" ht="21.95" customHeight="1" x14ac:dyDescent="0.25">
      <c r="A682" s="52" t="s">
        <v>974</v>
      </c>
      <c r="B682" s="9" t="s">
        <v>562</v>
      </c>
      <c r="C682" s="3">
        <f t="shared" si="299"/>
        <v>2391400</v>
      </c>
      <c r="D682" s="4">
        <f t="shared" si="294"/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12">
        <v>0</v>
      </c>
      <c r="L682" s="6">
        <v>0</v>
      </c>
      <c r="M682" s="6">
        <v>434.8</v>
      </c>
      <c r="N682" s="4">
        <f t="shared" si="302"/>
        <v>2391400</v>
      </c>
      <c r="O682" s="6">
        <v>0</v>
      </c>
      <c r="P682" s="6">
        <v>0</v>
      </c>
      <c r="Q682" s="6">
        <v>0</v>
      </c>
      <c r="R682" s="4">
        <f t="shared" si="292"/>
        <v>0</v>
      </c>
      <c r="S682" s="6">
        <v>0</v>
      </c>
      <c r="T682" s="6">
        <v>0</v>
      </c>
      <c r="U682" s="6">
        <v>0</v>
      </c>
      <c r="V682" s="7">
        <f t="shared" si="293"/>
        <v>5500</v>
      </c>
    </row>
    <row r="683" spans="1:22" ht="21.95" customHeight="1" x14ac:dyDescent="0.25">
      <c r="A683" s="52" t="s">
        <v>975</v>
      </c>
      <c r="B683" s="9" t="s">
        <v>665</v>
      </c>
      <c r="C683" s="3">
        <f t="shared" si="299"/>
        <v>1472350</v>
      </c>
      <c r="D683" s="4">
        <f t="shared" si="294"/>
        <v>0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12">
        <v>0</v>
      </c>
      <c r="L683" s="6">
        <v>0</v>
      </c>
      <c r="M683" s="6">
        <v>267.7</v>
      </c>
      <c r="N683" s="4">
        <f t="shared" si="302"/>
        <v>1472350</v>
      </c>
      <c r="O683" s="6">
        <v>0</v>
      </c>
      <c r="P683" s="6">
        <v>0</v>
      </c>
      <c r="Q683" s="6">
        <v>0</v>
      </c>
      <c r="R683" s="4">
        <f t="shared" si="292"/>
        <v>0</v>
      </c>
      <c r="S683" s="6">
        <v>0</v>
      </c>
      <c r="T683" s="6">
        <v>0</v>
      </c>
      <c r="U683" s="6">
        <v>0</v>
      </c>
      <c r="V683" s="7">
        <f t="shared" si="293"/>
        <v>5500</v>
      </c>
    </row>
    <row r="684" spans="1:22" ht="21.95" customHeight="1" x14ac:dyDescent="0.25">
      <c r="A684" s="52" t="s">
        <v>976</v>
      </c>
      <c r="B684" s="9" t="s">
        <v>666</v>
      </c>
      <c r="C684" s="3">
        <f t="shared" si="299"/>
        <v>1483350</v>
      </c>
      <c r="D684" s="4">
        <f t="shared" si="294"/>
        <v>0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12">
        <v>0</v>
      </c>
      <c r="L684" s="6">
        <v>0</v>
      </c>
      <c r="M684" s="6">
        <v>269.7</v>
      </c>
      <c r="N684" s="4">
        <f t="shared" si="302"/>
        <v>1483350</v>
      </c>
      <c r="O684" s="6">
        <v>0</v>
      </c>
      <c r="P684" s="6">
        <v>0</v>
      </c>
      <c r="Q684" s="6">
        <v>0</v>
      </c>
      <c r="R684" s="4">
        <f t="shared" si="292"/>
        <v>0</v>
      </c>
      <c r="S684" s="6">
        <v>0</v>
      </c>
      <c r="T684" s="6">
        <v>0</v>
      </c>
      <c r="U684" s="6">
        <v>0</v>
      </c>
      <c r="V684" s="7">
        <f t="shared" si="293"/>
        <v>5500</v>
      </c>
    </row>
    <row r="685" spans="1:22" ht="21.95" customHeight="1" x14ac:dyDescent="0.25">
      <c r="A685" s="52" t="s">
        <v>977</v>
      </c>
      <c r="B685" s="9" t="s">
        <v>667</v>
      </c>
      <c r="C685" s="3">
        <f t="shared" si="299"/>
        <v>1488850</v>
      </c>
      <c r="D685" s="4">
        <f t="shared" si="294"/>
        <v>0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12">
        <v>0</v>
      </c>
      <c r="L685" s="6">
        <v>0</v>
      </c>
      <c r="M685" s="6">
        <v>270.7</v>
      </c>
      <c r="N685" s="4">
        <f t="shared" si="302"/>
        <v>1488850</v>
      </c>
      <c r="O685" s="6">
        <v>0</v>
      </c>
      <c r="P685" s="6">
        <v>0</v>
      </c>
      <c r="Q685" s="6">
        <v>0</v>
      </c>
      <c r="R685" s="4">
        <f t="shared" si="292"/>
        <v>0</v>
      </c>
      <c r="S685" s="6">
        <v>0</v>
      </c>
      <c r="T685" s="6">
        <v>0</v>
      </c>
      <c r="U685" s="6">
        <v>0</v>
      </c>
      <c r="V685" s="7">
        <f t="shared" si="293"/>
        <v>5500</v>
      </c>
    </row>
    <row r="686" spans="1:22" ht="21.95" customHeight="1" x14ac:dyDescent="0.25">
      <c r="A686" s="52" t="s">
        <v>978</v>
      </c>
      <c r="B686" s="9" t="s">
        <v>563</v>
      </c>
      <c r="C686" s="3">
        <f t="shared" si="299"/>
        <v>1531199.9999999998</v>
      </c>
      <c r="D686" s="4">
        <f t="shared" si="294"/>
        <v>0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12">
        <v>0</v>
      </c>
      <c r="L686" s="6">
        <v>0</v>
      </c>
      <c r="M686" s="6">
        <v>278.39999999999998</v>
      </c>
      <c r="N686" s="4">
        <f t="shared" si="302"/>
        <v>1531199.9999999998</v>
      </c>
      <c r="O686" s="6">
        <v>0</v>
      </c>
      <c r="P686" s="6">
        <v>0</v>
      </c>
      <c r="Q686" s="6">
        <v>0</v>
      </c>
      <c r="R686" s="4">
        <f t="shared" si="292"/>
        <v>0</v>
      </c>
      <c r="S686" s="6">
        <v>0</v>
      </c>
      <c r="T686" s="6">
        <v>0</v>
      </c>
      <c r="U686" s="6">
        <v>0</v>
      </c>
      <c r="V686" s="7">
        <f t="shared" si="293"/>
        <v>5500</v>
      </c>
    </row>
    <row r="687" spans="1:22" ht="21.95" customHeight="1" x14ac:dyDescent="0.25">
      <c r="A687" s="52" t="s">
        <v>979</v>
      </c>
      <c r="B687" s="9" t="s">
        <v>475</v>
      </c>
      <c r="C687" s="3">
        <f t="shared" si="299"/>
        <v>1441000</v>
      </c>
      <c r="D687" s="4">
        <f t="shared" si="294"/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5">
        <v>0</v>
      </c>
      <c r="L687" s="4">
        <v>0</v>
      </c>
      <c r="M687" s="4">
        <v>262</v>
      </c>
      <c r="N687" s="4">
        <f t="shared" ref="N687:N701" si="303">M687*5500</f>
        <v>1441000</v>
      </c>
      <c r="O687" s="4">
        <v>0</v>
      </c>
      <c r="P687" s="4">
        <v>0</v>
      </c>
      <c r="Q687" s="4">
        <v>0</v>
      </c>
      <c r="R687" s="4">
        <f t="shared" si="292"/>
        <v>0</v>
      </c>
      <c r="S687" s="4">
        <v>0</v>
      </c>
      <c r="T687" s="6">
        <v>0</v>
      </c>
      <c r="U687" s="4">
        <v>0</v>
      </c>
      <c r="V687" s="7">
        <f t="shared" si="293"/>
        <v>5500</v>
      </c>
    </row>
    <row r="688" spans="1:22" ht="21.95" customHeight="1" x14ac:dyDescent="0.25">
      <c r="A688" s="52" t="s">
        <v>980</v>
      </c>
      <c r="B688" s="9" t="s">
        <v>668</v>
      </c>
      <c r="C688" s="3">
        <f t="shared" si="299"/>
        <v>2114200</v>
      </c>
      <c r="D688" s="4">
        <f t="shared" si="294"/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12">
        <v>0</v>
      </c>
      <c r="L688" s="6">
        <v>0</v>
      </c>
      <c r="M688" s="6">
        <v>384.4</v>
      </c>
      <c r="N688" s="4">
        <f t="shared" si="303"/>
        <v>2114200</v>
      </c>
      <c r="O688" s="6">
        <v>0</v>
      </c>
      <c r="P688" s="6">
        <v>0</v>
      </c>
      <c r="Q688" s="6">
        <v>0</v>
      </c>
      <c r="R688" s="4">
        <f t="shared" si="292"/>
        <v>0</v>
      </c>
      <c r="S688" s="6">
        <v>0</v>
      </c>
      <c r="T688" s="6">
        <v>0</v>
      </c>
      <c r="U688" s="6">
        <v>0</v>
      </c>
      <c r="V688" s="7">
        <f t="shared" si="293"/>
        <v>5500</v>
      </c>
    </row>
    <row r="689" spans="1:22" ht="21.95" customHeight="1" x14ac:dyDescent="0.25">
      <c r="A689" s="52" t="s">
        <v>981</v>
      </c>
      <c r="B689" s="9" t="s">
        <v>564</v>
      </c>
      <c r="C689" s="3">
        <f t="shared" si="299"/>
        <v>1411850</v>
      </c>
      <c r="D689" s="4">
        <f t="shared" si="294"/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12">
        <v>0</v>
      </c>
      <c r="L689" s="6">
        <v>0</v>
      </c>
      <c r="M689" s="6">
        <v>256.7</v>
      </c>
      <c r="N689" s="4">
        <f t="shared" si="303"/>
        <v>1411850</v>
      </c>
      <c r="O689" s="6">
        <v>0</v>
      </c>
      <c r="P689" s="6">
        <v>0</v>
      </c>
      <c r="Q689" s="6">
        <v>0</v>
      </c>
      <c r="R689" s="4">
        <f t="shared" si="292"/>
        <v>0</v>
      </c>
      <c r="S689" s="6">
        <v>0</v>
      </c>
      <c r="T689" s="6">
        <v>0</v>
      </c>
      <c r="U689" s="6">
        <v>0</v>
      </c>
      <c r="V689" s="7">
        <f t="shared" si="293"/>
        <v>5500</v>
      </c>
    </row>
    <row r="690" spans="1:22" ht="21.95" customHeight="1" x14ac:dyDescent="0.25">
      <c r="A690" s="52" t="s">
        <v>982</v>
      </c>
      <c r="B690" s="9" t="s">
        <v>565</v>
      </c>
      <c r="C690" s="3">
        <f t="shared" si="299"/>
        <v>1399200</v>
      </c>
      <c r="D690" s="4">
        <f t="shared" ref="D690:D701" si="304">SUM(E690:J690)</f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12">
        <v>0</v>
      </c>
      <c r="L690" s="6">
        <v>0</v>
      </c>
      <c r="M690" s="6">
        <v>254.4</v>
      </c>
      <c r="N690" s="4">
        <f t="shared" si="303"/>
        <v>1399200</v>
      </c>
      <c r="O690" s="6">
        <v>0</v>
      </c>
      <c r="P690" s="6">
        <v>0</v>
      </c>
      <c r="Q690" s="6">
        <v>0</v>
      </c>
      <c r="R690" s="4">
        <f t="shared" si="292"/>
        <v>0</v>
      </c>
      <c r="S690" s="6">
        <v>0</v>
      </c>
      <c r="T690" s="6">
        <v>0</v>
      </c>
      <c r="U690" s="6">
        <v>0</v>
      </c>
      <c r="V690" s="7">
        <f t="shared" si="293"/>
        <v>5500</v>
      </c>
    </row>
    <row r="691" spans="1:22" ht="21.95" customHeight="1" x14ac:dyDescent="0.25">
      <c r="A691" s="52" t="s">
        <v>983</v>
      </c>
      <c r="B691" s="9" t="s">
        <v>566</v>
      </c>
      <c r="C691" s="3">
        <f t="shared" si="299"/>
        <v>1345300</v>
      </c>
      <c r="D691" s="4">
        <f t="shared" si="304"/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12">
        <v>0</v>
      </c>
      <c r="L691" s="6">
        <v>0</v>
      </c>
      <c r="M691" s="6">
        <v>244.6</v>
      </c>
      <c r="N691" s="4">
        <f t="shared" si="303"/>
        <v>1345300</v>
      </c>
      <c r="O691" s="6">
        <v>0</v>
      </c>
      <c r="P691" s="6">
        <v>0</v>
      </c>
      <c r="Q691" s="6">
        <v>0</v>
      </c>
      <c r="R691" s="4">
        <f t="shared" ref="R691:R701" si="305">Q691*3000</f>
        <v>0</v>
      </c>
      <c r="S691" s="6">
        <v>0</v>
      </c>
      <c r="T691" s="6">
        <v>0</v>
      </c>
      <c r="U691" s="6">
        <v>0</v>
      </c>
      <c r="V691" s="7">
        <f t="shared" ref="V691:V701" si="306">N691/M691</f>
        <v>5500</v>
      </c>
    </row>
    <row r="692" spans="1:22" ht="21.95" customHeight="1" x14ac:dyDescent="0.25">
      <c r="A692" s="52" t="s">
        <v>984</v>
      </c>
      <c r="B692" s="9" t="s">
        <v>567</v>
      </c>
      <c r="C692" s="3">
        <f t="shared" si="299"/>
        <v>1463550.0000000002</v>
      </c>
      <c r="D692" s="4">
        <f t="shared" si="304"/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12">
        <v>0</v>
      </c>
      <c r="L692" s="6">
        <v>0</v>
      </c>
      <c r="M692" s="6">
        <v>266.10000000000002</v>
      </c>
      <c r="N692" s="4">
        <f t="shared" si="303"/>
        <v>1463550.0000000002</v>
      </c>
      <c r="O692" s="6">
        <v>0</v>
      </c>
      <c r="P692" s="6">
        <v>0</v>
      </c>
      <c r="Q692" s="6">
        <v>0</v>
      </c>
      <c r="R692" s="4">
        <f t="shared" si="305"/>
        <v>0</v>
      </c>
      <c r="S692" s="6">
        <v>0</v>
      </c>
      <c r="T692" s="6">
        <v>0</v>
      </c>
      <c r="U692" s="6">
        <v>0</v>
      </c>
      <c r="V692" s="7">
        <f t="shared" si="306"/>
        <v>5500</v>
      </c>
    </row>
    <row r="693" spans="1:22" ht="21.95" customHeight="1" x14ac:dyDescent="0.25">
      <c r="A693" s="52" t="s">
        <v>985</v>
      </c>
      <c r="B693" s="9" t="s">
        <v>568</v>
      </c>
      <c r="C693" s="3">
        <f t="shared" si="299"/>
        <v>1531199.9999999998</v>
      </c>
      <c r="D693" s="4">
        <f t="shared" si="304"/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12">
        <v>0</v>
      </c>
      <c r="L693" s="6">
        <v>0</v>
      </c>
      <c r="M693" s="6">
        <v>278.39999999999998</v>
      </c>
      <c r="N693" s="4">
        <f t="shared" si="303"/>
        <v>1531199.9999999998</v>
      </c>
      <c r="O693" s="6">
        <v>0</v>
      </c>
      <c r="P693" s="6">
        <v>0</v>
      </c>
      <c r="Q693" s="6">
        <v>0</v>
      </c>
      <c r="R693" s="4">
        <f t="shared" si="305"/>
        <v>0</v>
      </c>
      <c r="S693" s="6">
        <v>0</v>
      </c>
      <c r="T693" s="6">
        <v>0</v>
      </c>
      <c r="U693" s="6">
        <v>0</v>
      </c>
      <c r="V693" s="7">
        <f t="shared" si="306"/>
        <v>5500</v>
      </c>
    </row>
    <row r="694" spans="1:22" ht="21.95" customHeight="1" x14ac:dyDescent="0.25">
      <c r="A694" s="52" t="s">
        <v>986</v>
      </c>
      <c r="B694" s="9" t="s">
        <v>569</v>
      </c>
      <c r="C694" s="3">
        <f t="shared" si="299"/>
        <v>1492150</v>
      </c>
      <c r="D694" s="4">
        <f t="shared" si="304"/>
        <v>0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12">
        <v>0</v>
      </c>
      <c r="L694" s="6">
        <v>0</v>
      </c>
      <c r="M694" s="6">
        <v>271.3</v>
      </c>
      <c r="N694" s="4">
        <f t="shared" si="303"/>
        <v>1492150</v>
      </c>
      <c r="O694" s="6">
        <v>0</v>
      </c>
      <c r="P694" s="6">
        <v>0</v>
      </c>
      <c r="Q694" s="6">
        <v>0</v>
      </c>
      <c r="R694" s="4">
        <f t="shared" si="305"/>
        <v>0</v>
      </c>
      <c r="S694" s="6">
        <v>0</v>
      </c>
      <c r="T694" s="6">
        <v>0</v>
      </c>
      <c r="U694" s="6">
        <v>0</v>
      </c>
      <c r="V694" s="7">
        <f t="shared" si="306"/>
        <v>5500</v>
      </c>
    </row>
    <row r="695" spans="1:22" ht="21.95" customHeight="1" x14ac:dyDescent="0.25">
      <c r="A695" s="52" t="s">
        <v>1612</v>
      </c>
      <c r="B695" s="9" t="s">
        <v>572</v>
      </c>
      <c r="C695" s="3">
        <f t="shared" si="299"/>
        <v>1533400</v>
      </c>
      <c r="D695" s="4">
        <f t="shared" si="304"/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12">
        <v>0</v>
      </c>
      <c r="L695" s="6">
        <v>0</v>
      </c>
      <c r="M695" s="6">
        <v>278.8</v>
      </c>
      <c r="N695" s="4">
        <f t="shared" si="303"/>
        <v>1533400</v>
      </c>
      <c r="O695" s="6">
        <v>0</v>
      </c>
      <c r="P695" s="6">
        <v>0</v>
      </c>
      <c r="Q695" s="6">
        <v>0</v>
      </c>
      <c r="R695" s="4">
        <f t="shared" si="305"/>
        <v>0</v>
      </c>
      <c r="S695" s="6">
        <v>0</v>
      </c>
      <c r="T695" s="6">
        <v>0</v>
      </c>
      <c r="U695" s="6">
        <v>0</v>
      </c>
      <c r="V695" s="7">
        <f t="shared" si="306"/>
        <v>5500</v>
      </c>
    </row>
    <row r="696" spans="1:22" ht="21.95" customHeight="1" x14ac:dyDescent="0.25">
      <c r="A696" s="52" t="s">
        <v>987</v>
      </c>
      <c r="B696" s="9" t="s">
        <v>573</v>
      </c>
      <c r="C696" s="3">
        <f t="shared" si="299"/>
        <v>1533400</v>
      </c>
      <c r="D696" s="4">
        <f t="shared" si="304"/>
        <v>0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12">
        <v>0</v>
      </c>
      <c r="L696" s="6">
        <v>0</v>
      </c>
      <c r="M696" s="6">
        <v>278.8</v>
      </c>
      <c r="N696" s="4">
        <f t="shared" si="303"/>
        <v>1533400</v>
      </c>
      <c r="O696" s="6">
        <v>0</v>
      </c>
      <c r="P696" s="6">
        <v>0</v>
      </c>
      <c r="Q696" s="6">
        <v>0</v>
      </c>
      <c r="R696" s="4">
        <f t="shared" si="305"/>
        <v>0</v>
      </c>
      <c r="S696" s="6">
        <v>0</v>
      </c>
      <c r="T696" s="6">
        <v>0</v>
      </c>
      <c r="U696" s="6">
        <v>0</v>
      </c>
      <c r="V696" s="7">
        <f t="shared" si="306"/>
        <v>5500</v>
      </c>
    </row>
    <row r="697" spans="1:22" ht="21.95" customHeight="1" x14ac:dyDescent="0.25">
      <c r="A697" s="52" t="s">
        <v>988</v>
      </c>
      <c r="B697" s="9" t="s">
        <v>574</v>
      </c>
      <c r="C697" s="3">
        <f t="shared" si="299"/>
        <v>1533400</v>
      </c>
      <c r="D697" s="4">
        <f t="shared" si="304"/>
        <v>0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12">
        <v>0</v>
      </c>
      <c r="L697" s="6">
        <v>0</v>
      </c>
      <c r="M697" s="6">
        <v>278.8</v>
      </c>
      <c r="N697" s="4">
        <f t="shared" si="303"/>
        <v>1533400</v>
      </c>
      <c r="O697" s="6">
        <v>0</v>
      </c>
      <c r="P697" s="6">
        <v>0</v>
      </c>
      <c r="Q697" s="6">
        <v>0</v>
      </c>
      <c r="R697" s="4">
        <f t="shared" si="305"/>
        <v>0</v>
      </c>
      <c r="S697" s="6">
        <v>0</v>
      </c>
      <c r="T697" s="6">
        <v>0</v>
      </c>
      <c r="U697" s="6">
        <v>0</v>
      </c>
      <c r="V697" s="7">
        <f t="shared" si="306"/>
        <v>5500</v>
      </c>
    </row>
    <row r="698" spans="1:22" ht="21.95" customHeight="1" x14ac:dyDescent="0.25">
      <c r="A698" s="52" t="s">
        <v>989</v>
      </c>
      <c r="B698" s="9" t="s">
        <v>424</v>
      </c>
      <c r="C698" s="3">
        <f t="shared" si="299"/>
        <v>4476695</v>
      </c>
      <c r="D698" s="4">
        <f t="shared" si="304"/>
        <v>780195</v>
      </c>
      <c r="E698" s="6">
        <f>350*400.1</f>
        <v>140035</v>
      </c>
      <c r="F698" s="6">
        <f>1050*400.1</f>
        <v>420105</v>
      </c>
      <c r="G698" s="6">
        <f>300*400.1</f>
        <v>120030</v>
      </c>
      <c r="H698" s="6">
        <f>400*0</f>
        <v>0</v>
      </c>
      <c r="I698" s="6">
        <f>250*400.1</f>
        <v>100025</v>
      </c>
      <c r="J698" s="6">
        <f>350*0</f>
        <v>0</v>
      </c>
      <c r="K698" s="5">
        <v>0</v>
      </c>
      <c r="L698" s="4">
        <v>0</v>
      </c>
      <c r="M698" s="4">
        <v>403</v>
      </c>
      <c r="N698" s="4">
        <f t="shared" si="303"/>
        <v>2216500</v>
      </c>
      <c r="O698" s="4">
        <v>0</v>
      </c>
      <c r="P698" s="4">
        <v>0</v>
      </c>
      <c r="Q698" s="4">
        <v>460</v>
      </c>
      <c r="R698" s="4">
        <f t="shared" si="305"/>
        <v>1380000</v>
      </c>
      <c r="S698" s="4">
        <v>0</v>
      </c>
      <c r="T698" s="6">
        <v>0</v>
      </c>
      <c r="U698" s="4">
        <v>100000</v>
      </c>
      <c r="V698" s="7">
        <f t="shared" si="306"/>
        <v>5500</v>
      </c>
    </row>
    <row r="699" spans="1:22" ht="21.95" customHeight="1" x14ac:dyDescent="0.25">
      <c r="A699" s="52" t="s">
        <v>990</v>
      </c>
      <c r="B699" s="9" t="s">
        <v>439</v>
      </c>
      <c r="C699" s="3">
        <f t="shared" si="299"/>
        <v>2321000</v>
      </c>
      <c r="D699" s="4">
        <f t="shared" si="304"/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5">
        <v>0</v>
      </c>
      <c r="L699" s="4">
        <v>0</v>
      </c>
      <c r="M699" s="4">
        <v>422</v>
      </c>
      <c r="N699" s="4">
        <f t="shared" si="303"/>
        <v>2321000</v>
      </c>
      <c r="O699" s="4">
        <v>0</v>
      </c>
      <c r="P699" s="4">
        <v>0</v>
      </c>
      <c r="Q699" s="4">
        <v>0</v>
      </c>
      <c r="R699" s="4">
        <f t="shared" si="305"/>
        <v>0</v>
      </c>
      <c r="S699" s="4">
        <v>0</v>
      </c>
      <c r="T699" s="6">
        <v>0</v>
      </c>
      <c r="U699" s="4">
        <v>0</v>
      </c>
      <c r="V699" s="7">
        <f t="shared" si="306"/>
        <v>5500</v>
      </c>
    </row>
    <row r="700" spans="1:22" ht="21.95" customHeight="1" x14ac:dyDescent="0.25">
      <c r="A700" s="52" t="s">
        <v>991</v>
      </c>
      <c r="B700" s="9" t="s">
        <v>575</v>
      </c>
      <c r="C700" s="3">
        <f t="shared" si="299"/>
        <v>2497000</v>
      </c>
      <c r="D700" s="4">
        <f t="shared" si="304"/>
        <v>0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12">
        <v>0</v>
      </c>
      <c r="L700" s="6">
        <v>0</v>
      </c>
      <c r="M700" s="6">
        <v>454</v>
      </c>
      <c r="N700" s="4">
        <f t="shared" si="303"/>
        <v>2497000</v>
      </c>
      <c r="O700" s="6">
        <v>0</v>
      </c>
      <c r="P700" s="6">
        <v>0</v>
      </c>
      <c r="Q700" s="6">
        <v>0</v>
      </c>
      <c r="R700" s="4">
        <f t="shared" si="305"/>
        <v>0</v>
      </c>
      <c r="S700" s="6">
        <v>0</v>
      </c>
      <c r="T700" s="6">
        <v>0</v>
      </c>
      <c r="U700" s="6">
        <v>0</v>
      </c>
      <c r="V700" s="7">
        <f t="shared" si="306"/>
        <v>5500</v>
      </c>
    </row>
    <row r="701" spans="1:22" ht="21.95" customHeight="1" x14ac:dyDescent="0.25">
      <c r="A701" s="52" t="s">
        <v>992</v>
      </c>
      <c r="B701" s="9" t="s">
        <v>576</v>
      </c>
      <c r="C701" s="3">
        <f t="shared" si="299"/>
        <v>2497000</v>
      </c>
      <c r="D701" s="4">
        <f t="shared" si="304"/>
        <v>0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12">
        <v>0</v>
      </c>
      <c r="L701" s="6">
        <v>0</v>
      </c>
      <c r="M701" s="6">
        <v>454</v>
      </c>
      <c r="N701" s="4">
        <f t="shared" si="303"/>
        <v>2497000</v>
      </c>
      <c r="O701" s="6">
        <v>0</v>
      </c>
      <c r="P701" s="6">
        <v>0</v>
      </c>
      <c r="Q701" s="6">
        <v>0</v>
      </c>
      <c r="R701" s="4">
        <f t="shared" si="305"/>
        <v>0</v>
      </c>
      <c r="S701" s="6">
        <v>0</v>
      </c>
      <c r="T701" s="6">
        <v>0</v>
      </c>
      <c r="U701" s="6">
        <v>0</v>
      </c>
      <c r="V701" s="7">
        <f t="shared" si="306"/>
        <v>5500</v>
      </c>
    </row>
    <row r="702" spans="1:22" ht="45" customHeight="1" x14ac:dyDescent="0.25">
      <c r="A702" s="55" t="s">
        <v>281</v>
      </c>
      <c r="B702" s="55"/>
      <c r="C702" s="3">
        <f>SUM(C703:C705)</f>
        <v>12322560</v>
      </c>
      <c r="D702" s="3">
        <f t="shared" ref="D702:U702" si="307">SUM(D703:D705)</f>
        <v>1952510</v>
      </c>
      <c r="E702" s="3">
        <f t="shared" si="307"/>
        <v>357910</v>
      </c>
      <c r="F702" s="3">
        <f t="shared" si="307"/>
        <v>837165</v>
      </c>
      <c r="G702" s="3">
        <f t="shared" si="307"/>
        <v>239190</v>
      </c>
      <c r="H702" s="3">
        <f t="shared" si="307"/>
        <v>318920</v>
      </c>
      <c r="I702" s="3">
        <f t="shared" si="307"/>
        <v>199325</v>
      </c>
      <c r="J702" s="3">
        <f t="shared" si="307"/>
        <v>0</v>
      </c>
      <c r="K702" s="15">
        <f t="shared" si="307"/>
        <v>0</v>
      </c>
      <c r="L702" s="3">
        <f t="shared" si="307"/>
        <v>0</v>
      </c>
      <c r="M702" s="3">
        <f t="shared" si="307"/>
        <v>1011.0999999999999</v>
      </c>
      <c r="N702" s="3">
        <f t="shared" si="307"/>
        <v>5561050</v>
      </c>
      <c r="O702" s="3">
        <f t="shared" si="307"/>
        <v>220</v>
      </c>
      <c r="P702" s="3">
        <f t="shared" si="307"/>
        <v>264000</v>
      </c>
      <c r="Q702" s="3">
        <f t="shared" si="307"/>
        <v>1415</v>
      </c>
      <c r="R702" s="3">
        <f t="shared" si="307"/>
        <v>4245000</v>
      </c>
      <c r="S702" s="3">
        <f t="shared" si="307"/>
        <v>0</v>
      </c>
      <c r="T702" s="3">
        <f t="shared" si="307"/>
        <v>0</v>
      </c>
      <c r="U702" s="3">
        <f t="shared" si="307"/>
        <v>300000</v>
      </c>
    </row>
    <row r="703" spans="1:22" ht="21.95" customHeight="1" x14ac:dyDescent="0.25">
      <c r="A703" s="1" t="s">
        <v>993</v>
      </c>
      <c r="B703" s="9" t="s">
        <v>282</v>
      </c>
      <c r="C703" s="3">
        <f t="shared" si="299"/>
        <v>4772635</v>
      </c>
      <c r="D703" s="4">
        <f t="shared" ref="D703:D705" si="308">SUM(E703:J703)</f>
        <v>963735</v>
      </c>
      <c r="E703" s="4">
        <f>350*410.1</f>
        <v>143535</v>
      </c>
      <c r="F703" s="4">
        <f>1050*410.1</f>
        <v>430605</v>
      </c>
      <c r="G703" s="4">
        <f>300*410.1</f>
        <v>123030</v>
      </c>
      <c r="H703" s="4">
        <f>400*410.1</f>
        <v>164040</v>
      </c>
      <c r="I703" s="4">
        <f>250*410.1</f>
        <v>102525</v>
      </c>
      <c r="J703" s="4">
        <v>0</v>
      </c>
      <c r="K703" s="5">
        <v>0</v>
      </c>
      <c r="L703" s="4">
        <v>0</v>
      </c>
      <c r="M703" s="4">
        <v>386.4</v>
      </c>
      <c r="N703" s="4">
        <f t="shared" ref="N703:N705" si="309">M703*5500</f>
        <v>2125200</v>
      </c>
      <c r="O703" s="6">
        <v>110</v>
      </c>
      <c r="P703" s="6">
        <v>132000</v>
      </c>
      <c r="Q703" s="4">
        <v>483.9</v>
      </c>
      <c r="R703" s="4">
        <f t="shared" ref="R703:R705" si="310">Q703*3000</f>
        <v>1451700</v>
      </c>
      <c r="S703" s="4">
        <v>0</v>
      </c>
      <c r="T703" s="4">
        <v>0</v>
      </c>
      <c r="U703" s="4">
        <v>100000</v>
      </c>
      <c r="V703" s="7">
        <f t="shared" ref="V703:V705" si="311">N703/M703</f>
        <v>5500</v>
      </c>
    </row>
    <row r="704" spans="1:22" ht="21.95" customHeight="1" x14ac:dyDescent="0.25">
      <c r="A704" s="1" t="s">
        <v>994</v>
      </c>
      <c r="B704" s="9" t="s">
        <v>283</v>
      </c>
      <c r="C704" s="3">
        <f t="shared" si="299"/>
        <v>4565770</v>
      </c>
      <c r="D704" s="4">
        <f t="shared" si="308"/>
        <v>909920</v>
      </c>
      <c r="E704" s="4">
        <f>350*387.2</f>
        <v>135520</v>
      </c>
      <c r="F704" s="4">
        <f>1050*387.2</f>
        <v>406560</v>
      </c>
      <c r="G704" s="4">
        <f>300*387.2</f>
        <v>116160</v>
      </c>
      <c r="H704" s="4">
        <f>400*387.2</f>
        <v>154880</v>
      </c>
      <c r="I704" s="4">
        <f>250*387.2</f>
        <v>96800</v>
      </c>
      <c r="J704" s="4">
        <v>0</v>
      </c>
      <c r="K704" s="5">
        <v>0</v>
      </c>
      <c r="L704" s="4">
        <v>0</v>
      </c>
      <c r="M704" s="4">
        <v>368.5</v>
      </c>
      <c r="N704" s="4">
        <f t="shared" si="309"/>
        <v>2026750</v>
      </c>
      <c r="O704" s="6">
        <v>110</v>
      </c>
      <c r="P704" s="6">
        <v>132000</v>
      </c>
      <c r="Q704" s="4">
        <v>465.7</v>
      </c>
      <c r="R704" s="4">
        <f t="shared" si="310"/>
        <v>1397100</v>
      </c>
      <c r="S704" s="4">
        <v>0</v>
      </c>
      <c r="T704" s="4">
        <v>0</v>
      </c>
      <c r="U704" s="4">
        <v>100000</v>
      </c>
      <c r="V704" s="7">
        <f t="shared" si="311"/>
        <v>5500</v>
      </c>
    </row>
    <row r="705" spans="1:22" ht="21.95" customHeight="1" x14ac:dyDescent="0.25">
      <c r="A705" s="1" t="s">
        <v>995</v>
      </c>
      <c r="B705" s="9" t="s">
        <v>307</v>
      </c>
      <c r="C705" s="3">
        <f t="shared" si="299"/>
        <v>2984155</v>
      </c>
      <c r="D705" s="4">
        <f t="shared" si="308"/>
        <v>78855</v>
      </c>
      <c r="E705" s="4">
        <f>350*225.3</f>
        <v>78855</v>
      </c>
      <c r="F705" s="4">
        <f>1050*0</f>
        <v>0</v>
      </c>
      <c r="G705" s="4">
        <f>300*0</f>
        <v>0</v>
      </c>
      <c r="H705" s="4">
        <f>400*0</f>
        <v>0</v>
      </c>
      <c r="I705" s="4">
        <f>250*0</f>
        <v>0</v>
      </c>
      <c r="J705" s="4">
        <v>0</v>
      </c>
      <c r="K705" s="5">
        <v>0</v>
      </c>
      <c r="L705" s="4">
        <v>0</v>
      </c>
      <c r="M705" s="4">
        <v>256.2</v>
      </c>
      <c r="N705" s="4">
        <f t="shared" si="309"/>
        <v>1409100</v>
      </c>
      <c r="O705" s="4">
        <v>0</v>
      </c>
      <c r="P705" s="4">
        <v>0</v>
      </c>
      <c r="Q705" s="4">
        <v>465.4</v>
      </c>
      <c r="R705" s="4">
        <f t="shared" si="310"/>
        <v>1396200</v>
      </c>
      <c r="S705" s="4">
        <v>0</v>
      </c>
      <c r="T705" s="4">
        <v>0</v>
      </c>
      <c r="U705" s="4">
        <v>100000</v>
      </c>
      <c r="V705" s="7">
        <f t="shared" si="311"/>
        <v>5500</v>
      </c>
    </row>
    <row r="706" spans="1:22" ht="45" customHeight="1" x14ac:dyDescent="0.25">
      <c r="A706" s="55" t="s">
        <v>1585</v>
      </c>
      <c r="B706" s="55"/>
      <c r="C706" s="3">
        <f>SUM(C707)</f>
        <v>7540064</v>
      </c>
      <c r="D706" s="3">
        <f t="shared" ref="D706:U706" si="312">SUM(D707)</f>
        <v>951015</v>
      </c>
      <c r="E706" s="3">
        <f t="shared" si="312"/>
        <v>170695</v>
      </c>
      <c r="F706" s="3">
        <f t="shared" si="312"/>
        <v>512085</v>
      </c>
      <c r="G706" s="3">
        <f t="shared" si="312"/>
        <v>146310</v>
      </c>
      <c r="H706" s="3">
        <f t="shared" si="312"/>
        <v>0</v>
      </c>
      <c r="I706" s="3">
        <f t="shared" si="312"/>
        <v>121925</v>
      </c>
      <c r="J706" s="3">
        <f t="shared" si="312"/>
        <v>0</v>
      </c>
      <c r="K706" s="15">
        <f t="shared" si="312"/>
        <v>0</v>
      </c>
      <c r="L706" s="3">
        <f t="shared" si="312"/>
        <v>0</v>
      </c>
      <c r="M706" s="3">
        <f t="shared" si="312"/>
        <v>321.5</v>
      </c>
      <c r="N706" s="3">
        <f t="shared" si="312"/>
        <v>1185049</v>
      </c>
      <c r="O706" s="3">
        <f t="shared" si="312"/>
        <v>0</v>
      </c>
      <c r="P706" s="3">
        <f t="shared" si="312"/>
        <v>0</v>
      </c>
      <c r="Q706" s="3">
        <f t="shared" si="312"/>
        <v>1768</v>
      </c>
      <c r="R706" s="3">
        <f t="shared" si="312"/>
        <v>5304000</v>
      </c>
      <c r="S706" s="3">
        <f t="shared" si="312"/>
        <v>0</v>
      </c>
      <c r="T706" s="3">
        <f t="shared" si="312"/>
        <v>0</v>
      </c>
      <c r="U706" s="3">
        <f t="shared" si="312"/>
        <v>100000</v>
      </c>
    </row>
    <row r="707" spans="1:22" ht="21.95" customHeight="1" x14ac:dyDescent="0.25">
      <c r="A707" s="1" t="s">
        <v>996</v>
      </c>
      <c r="B707" s="9" t="s">
        <v>1586</v>
      </c>
      <c r="C707" s="3">
        <f t="shared" si="299"/>
        <v>7540064</v>
      </c>
      <c r="D707" s="4">
        <f t="shared" ref="D707" si="313">SUM(E707:J707)</f>
        <v>951015</v>
      </c>
      <c r="E707" s="4">
        <f>350*487.7</f>
        <v>170695</v>
      </c>
      <c r="F707" s="4">
        <f>1050*487.7</f>
        <v>512085</v>
      </c>
      <c r="G707" s="4">
        <f>300*487.7</f>
        <v>146310</v>
      </c>
      <c r="H707" s="4">
        <v>0</v>
      </c>
      <c r="I707" s="4">
        <f>250*487.7</f>
        <v>121925</v>
      </c>
      <c r="J707" s="4">
        <v>0</v>
      </c>
      <c r="K707" s="5">
        <v>0</v>
      </c>
      <c r="L707" s="4">
        <v>0</v>
      </c>
      <c r="M707" s="4">
        <v>321.5</v>
      </c>
      <c r="N707" s="4">
        <f>M707*3686</f>
        <v>1185049</v>
      </c>
      <c r="O707" s="6">
        <v>0</v>
      </c>
      <c r="P707" s="6">
        <v>0</v>
      </c>
      <c r="Q707" s="4">
        <v>1768</v>
      </c>
      <c r="R707" s="4">
        <f>Q707*3000</f>
        <v>5304000</v>
      </c>
      <c r="S707" s="4">
        <v>0</v>
      </c>
      <c r="T707" s="4">
        <v>0</v>
      </c>
      <c r="U707" s="4">
        <v>100000</v>
      </c>
      <c r="V707" s="7">
        <f t="shared" ref="V707" si="314">N707/M707</f>
        <v>3686</v>
      </c>
    </row>
    <row r="708" spans="1:22" ht="45" customHeight="1" x14ac:dyDescent="0.25">
      <c r="A708" s="55" t="s">
        <v>286</v>
      </c>
      <c r="B708" s="55"/>
      <c r="C708" s="3">
        <f>SUM(C709:C710)</f>
        <v>7269100</v>
      </c>
      <c r="D708" s="3">
        <f t="shared" ref="D708:U708" si="315">SUM(D709:D710)</f>
        <v>1659100</v>
      </c>
      <c r="E708" s="3">
        <f t="shared" si="315"/>
        <v>247100</v>
      </c>
      <c r="F708" s="3">
        <f t="shared" si="315"/>
        <v>741300</v>
      </c>
      <c r="G708" s="3">
        <f t="shared" si="315"/>
        <v>211800</v>
      </c>
      <c r="H708" s="3">
        <f t="shared" si="315"/>
        <v>282400</v>
      </c>
      <c r="I708" s="3">
        <f t="shared" si="315"/>
        <v>176500</v>
      </c>
      <c r="J708" s="3">
        <f t="shared" si="315"/>
        <v>0</v>
      </c>
      <c r="K708" s="15">
        <f t="shared" si="315"/>
        <v>0</v>
      </c>
      <c r="L708" s="3">
        <f t="shared" si="315"/>
        <v>0</v>
      </c>
      <c r="M708" s="3">
        <f t="shared" si="315"/>
        <v>580</v>
      </c>
      <c r="N708" s="3">
        <f t="shared" si="315"/>
        <v>3190000</v>
      </c>
      <c r="O708" s="3">
        <f t="shared" si="315"/>
        <v>0</v>
      </c>
      <c r="P708" s="3">
        <f t="shared" si="315"/>
        <v>0</v>
      </c>
      <c r="Q708" s="3">
        <f t="shared" si="315"/>
        <v>740</v>
      </c>
      <c r="R708" s="3">
        <f t="shared" si="315"/>
        <v>2220000</v>
      </c>
      <c r="S708" s="3">
        <f t="shared" si="315"/>
        <v>0</v>
      </c>
      <c r="T708" s="3">
        <f t="shared" si="315"/>
        <v>0</v>
      </c>
      <c r="U708" s="3">
        <f t="shared" si="315"/>
        <v>200000</v>
      </c>
    </row>
    <row r="709" spans="1:22" ht="21.95" customHeight="1" x14ac:dyDescent="0.25">
      <c r="A709" s="1" t="s">
        <v>997</v>
      </c>
      <c r="B709" s="9" t="s">
        <v>289</v>
      </c>
      <c r="C709" s="3">
        <f t="shared" si="299"/>
        <v>3507650</v>
      </c>
      <c r="D709" s="4">
        <f t="shared" ref="D709:D710" si="316">SUM(E709:J709)</f>
        <v>702650</v>
      </c>
      <c r="E709" s="4">
        <f>350*299</f>
        <v>104650</v>
      </c>
      <c r="F709" s="4">
        <f>1050*299</f>
        <v>313950</v>
      </c>
      <c r="G709" s="4">
        <f>300*299</f>
        <v>89700</v>
      </c>
      <c r="H709" s="4">
        <f>400*299</f>
        <v>119600</v>
      </c>
      <c r="I709" s="4">
        <f>250*299</f>
        <v>74750</v>
      </c>
      <c r="J709" s="4">
        <v>0</v>
      </c>
      <c r="K709" s="5">
        <v>0</v>
      </c>
      <c r="L709" s="4">
        <v>0</v>
      </c>
      <c r="M709" s="4">
        <v>290</v>
      </c>
      <c r="N709" s="4">
        <f t="shared" ref="N709:N710" si="317">M709*5500</f>
        <v>1595000</v>
      </c>
      <c r="O709" s="4">
        <v>0</v>
      </c>
      <c r="P709" s="4">
        <v>0</v>
      </c>
      <c r="Q709" s="4">
        <v>370</v>
      </c>
      <c r="R709" s="4">
        <f t="shared" ref="R709:R710" si="318">Q709*3000</f>
        <v>1110000</v>
      </c>
      <c r="S709" s="4">
        <v>0</v>
      </c>
      <c r="T709" s="4">
        <v>0</v>
      </c>
      <c r="U709" s="4">
        <v>100000</v>
      </c>
      <c r="V709" s="7">
        <f t="shared" ref="V709:V710" si="319">N709/M709</f>
        <v>5500</v>
      </c>
    </row>
    <row r="710" spans="1:22" ht="21.95" customHeight="1" x14ac:dyDescent="0.25">
      <c r="A710" s="1" t="s">
        <v>998</v>
      </c>
      <c r="B710" s="9" t="s">
        <v>290</v>
      </c>
      <c r="C710" s="3">
        <f t="shared" si="299"/>
        <v>3761450</v>
      </c>
      <c r="D710" s="4">
        <f t="shared" si="316"/>
        <v>956450</v>
      </c>
      <c r="E710" s="4">
        <f>350*407</f>
        <v>142450</v>
      </c>
      <c r="F710" s="4">
        <f>1050*407</f>
        <v>427350</v>
      </c>
      <c r="G710" s="4">
        <f>300*407</f>
        <v>122100</v>
      </c>
      <c r="H710" s="4">
        <f>400*407</f>
        <v>162800</v>
      </c>
      <c r="I710" s="4">
        <f>250*407</f>
        <v>101750</v>
      </c>
      <c r="J710" s="4">
        <v>0</v>
      </c>
      <c r="K710" s="5">
        <v>0</v>
      </c>
      <c r="L710" s="4">
        <v>0</v>
      </c>
      <c r="M710" s="4">
        <v>290</v>
      </c>
      <c r="N710" s="4">
        <f t="shared" si="317"/>
        <v>1595000</v>
      </c>
      <c r="O710" s="4">
        <v>0</v>
      </c>
      <c r="P710" s="4">
        <v>0</v>
      </c>
      <c r="Q710" s="4">
        <v>370</v>
      </c>
      <c r="R710" s="4">
        <f t="shared" si="318"/>
        <v>1110000</v>
      </c>
      <c r="S710" s="4">
        <v>0</v>
      </c>
      <c r="T710" s="4">
        <v>0</v>
      </c>
      <c r="U710" s="4">
        <v>100000</v>
      </c>
      <c r="V710" s="7">
        <f t="shared" si="319"/>
        <v>5500</v>
      </c>
    </row>
    <row r="711" spans="1:22" ht="45" customHeight="1" x14ac:dyDescent="0.25">
      <c r="A711" s="55" t="s">
        <v>291</v>
      </c>
      <c r="B711" s="55"/>
      <c r="C711" s="3">
        <f t="shared" ref="C711:U711" si="320">SUM(C712:C721)</f>
        <v>35563010</v>
      </c>
      <c r="D711" s="3">
        <f t="shared" si="320"/>
        <v>3930810</v>
      </c>
      <c r="E711" s="3">
        <f t="shared" si="320"/>
        <v>705530</v>
      </c>
      <c r="F711" s="3">
        <f t="shared" si="320"/>
        <v>2116590</v>
      </c>
      <c r="G711" s="3">
        <f t="shared" si="320"/>
        <v>604740</v>
      </c>
      <c r="H711" s="3">
        <f t="shared" si="320"/>
        <v>0</v>
      </c>
      <c r="I711" s="3">
        <f t="shared" si="320"/>
        <v>503950</v>
      </c>
      <c r="J711" s="3">
        <f t="shared" si="320"/>
        <v>0</v>
      </c>
      <c r="K711" s="15">
        <f t="shared" si="320"/>
        <v>0</v>
      </c>
      <c r="L711" s="3">
        <f t="shared" si="320"/>
        <v>0</v>
      </c>
      <c r="M711" s="3">
        <f t="shared" si="320"/>
        <v>3200</v>
      </c>
      <c r="N711" s="3">
        <f t="shared" si="320"/>
        <v>17600000</v>
      </c>
      <c r="O711" s="3">
        <f t="shared" si="320"/>
        <v>0</v>
      </c>
      <c r="P711" s="3">
        <f t="shared" si="320"/>
        <v>0</v>
      </c>
      <c r="Q711" s="3">
        <f t="shared" si="320"/>
        <v>4577.3999999999996</v>
      </c>
      <c r="R711" s="3">
        <f t="shared" si="320"/>
        <v>13732200</v>
      </c>
      <c r="S711" s="3">
        <f t="shared" si="320"/>
        <v>0</v>
      </c>
      <c r="T711" s="3">
        <f t="shared" si="320"/>
        <v>0</v>
      </c>
      <c r="U711" s="3">
        <f t="shared" si="320"/>
        <v>300000</v>
      </c>
    </row>
    <row r="712" spans="1:22" ht="21.95" customHeight="1" x14ac:dyDescent="0.25">
      <c r="A712" s="52" t="s">
        <v>999</v>
      </c>
      <c r="B712" s="9" t="s">
        <v>292</v>
      </c>
      <c r="C712" s="3">
        <f t="shared" si="299"/>
        <v>2145000</v>
      </c>
      <c r="D712" s="4">
        <f t="shared" ref="D712:D721" si="321">SUM(E712:J712)</f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5">
        <v>0</v>
      </c>
      <c r="L712" s="4">
        <v>0</v>
      </c>
      <c r="M712" s="4">
        <v>390</v>
      </c>
      <c r="N712" s="4">
        <f t="shared" ref="N712:N717" si="322">M712*5500</f>
        <v>2145000</v>
      </c>
      <c r="O712" s="4">
        <v>0</v>
      </c>
      <c r="P712" s="4">
        <v>0</v>
      </c>
      <c r="Q712" s="4">
        <v>0</v>
      </c>
      <c r="R712" s="4">
        <f t="shared" ref="R712:R721" si="323">Q712*3000</f>
        <v>0</v>
      </c>
      <c r="S712" s="4">
        <v>0</v>
      </c>
      <c r="T712" s="4">
        <v>0</v>
      </c>
      <c r="U712" s="4">
        <v>0</v>
      </c>
      <c r="V712" s="7">
        <f t="shared" ref="V712:V721" si="324">N712/M712</f>
        <v>5500</v>
      </c>
    </row>
    <row r="713" spans="1:22" ht="21.95" customHeight="1" x14ac:dyDescent="0.25">
      <c r="A713" s="52" t="s">
        <v>1000</v>
      </c>
      <c r="B713" s="9" t="s">
        <v>293</v>
      </c>
      <c r="C713" s="3">
        <f t="shared" si="299"/>
        <v>2145000</v>
      </c>
      <c r="D713" s="4">
        <f t="shared" si="321"/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5">
        <v>0</v>
      </c>
      <c r="L713" s="4">
        <v>0</v>
      </c>
      <c r="M713" s="4">
        <v>390</v>
      </c>
      <c r="N713" s="4">
        <f t="shared" si="322"/>
        <v>2145000</v>
      </c>
      <c r="O713" s="4">
        <v>0</v>
      </c>
      <c r="P713" s="4">
        <v>0</v>
      </c>
      <c r="Q713" s="4">
        <v>0</v>
      </c>
      <c r="R713" s="4">
        <f t="shared" si="323"/>
        <v>0</v>
      </c>
      <c r="S713" s="4">
        <v>0</v>
      </c>
      <c r="T713" s="4">
        <v>0</v>
      </c>
      <c r="U713" s="4">
        <v>0</v>
      </c>
      <c r="V713" s="7">
        <f t="shared" si="324"/>
        <v>5500</v>
      </c>
    </row>
    <row r="714" spans="1:22" ht="21.95" customHeight="1" x14ac:dyDescent="0.25">
      <c r="A714" s="52" t="s">
        <v>1001</v>
      </c>
      <c r="B714" s="9" t="s">
        <v>296</v>
      </c>
      <c r="C714" s="3">
        <f t="shared" si="299"/>
        <v>4824500</v>
      </c>
      <c r="D714" s="4">
        <f t="shared" si="321"/>
        <v>0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5">
        <v>0</v>
      </c>
      <c r="L714" s="4">
        <v>0</v>
      </c>
      <c r="M714" s="4">
        <v>419</v>
      </c>
      <c r="N714" s="4">
        <f t="shared" si="322"/>
        <v>2304500</v>
      </c>
      <c r="O714" s="4">
        <v>0</v>
      </c>
      <c r="P714" s="4">
        <v>0</v>
      </c>
      <c r="Q714" s="4">
        <v>840</v>
      </c>
      <c r="R714" s="4">
        <f t="shared" si="323"/>
        <v>2520000</v>
      </c>
      <c r="S714" s="4">
        <v>0</v>
      </c>
      <c r="T714" s="4">
        <v>0</v>
      </c>
      <c r="U714" s="4">
        <v>0</v>
      </c>
      <c r="V714" s="7">
        <f t="shared" si="324"/>
        <v>5500</v>
      </c>
    </row>
    <row r="715" spans="1:22" ht="21.95" customHeight="1" x14ac:dyDescent="0.25">
      <c r="A715" s="52" t="s">
        <v>1002</v>
      </c>
      <c r="B715" s="9" t="s">
        <v>297</v>
      </c>
      <c r="C715" s="3">
        <f t="shared" si="299"/>
        <v>4868500</v>
      </c>
      <c r="D715" s="4">
        <f t="shared" si="321"/>
        <v>0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5">
        <v>0</v>
      </c>
      <c r="L715" s="4">
        <v>0</v>
      </c>
      <c r="M715" s="4">
        <v>427</v>
      </c>
      <c r="N715" s="4">
        <f t="shared" si="322"/>
        <v>2348500</v>
      </c>
      <c r="O715" s="4">
        <v>0</v>
      </c>
      <c r="P715" s="4">
        <v>0</v>
      </c>
      <c r="Q715" s="4">
        <v>840</v>
      </c>
      <c r="R715" s="4">
        <f t="shared" si="323"/>
        <v>2520000</v>
      </c>
      <c r="S715" s="4">
        <v>0</v>
      </c>
      <c r="T715" s="4">
        <v>0</v>
      </c>
      <c r="U715" s="4">
        <v>0</v>
      </c>
      <c r="V715" s="7">
        <f t="shared" si="324"/>
        <v>5500</v>
      </c>
    </row>
    <row r="716" spans="1:22" ht="21.95" customHeight="1" x14ac:dyDescent="0.25">
      <c r="A716" s="52" t="s">
        <v>1003</v>
      </c>
      <c r="B716" s="9" t="s">
        <v>298</v>
      </c>
      <c r="C716" s="3">
        <f t="shared" si="299"/>
        <v>6040760</v>
      </c>
      <c r="D716" s="4">
        <f t="shared" si="321"/>
        <v>1105260</v>
      </c>
      <c r="E716" s="4">
        <f>350*566.8</f>
        <v>198379.99999999997</v>
      </c>
      <c r="F716" s="4">
        <f>1050*566.8</f>
        <v>595140</v>
      </c>
      <c r="G716" s="4">
        <f>300*566.8</f>
        <v>170040</v>
      </c>
      <c r="H716" s="4">
        <f>400*0</f>
        <v>0</v>
      </c>
      <c r="I716" s="4">
        <f>250*566.8</f>
        <v>141700</v>
      </c>
      <c r="J716" s="4">
        <v>0</v>
      </c>
      <c r="K716" s="5">
        <v>0</v>
      </c>
      <c r="L716" s="4">
        <v>0</v>
      </c>
      <c r="M716" s="4">
        <v>421</v>
      </c>
      <c r="N716" s="4">
        <f t="shared" si="322"/>
        <v>2315500</v>
      </c>
      <c r="O716" s="4">
        <v>0</v>
      </c>
      <c r="P716" s="4">
        <v>0</v>
      </c>
      <c r="Q716" s="4">
        <v>840</v>
      </c>
      <c r="R716" s="4">
        <f t="shared" si="323"/>
        <v>2520000</v>
      </c>
      <c r="S716" s="4">
        <v>0</v>
      </c>
      <c r="T716" s="4">
        <v>0</v>
      </c>
      <c r="U716" s="4">
        <v>100000</v>
      </c>
      <c r="V716" s="7">
        <f t="shared" si="324"/>
        <v>5500</v>
      </c>
    </row>
    <row r="717" spans="1:22" ht="21.95" customHeight="1" x14ac:dyDescent="0.25">
      <c r="A717" s="52" t="s">
        <v>1004</v>
      </c>
      <c r="B717" s="9" t="s">
        <v>299</v>
      </c>
      <c r="C717" s="3">
        <f t="shared" si="299"/>
        <v>2255000</v>
      </c>
      <c r="D717" s="4">
        <f t="shared" si="321"/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5">
        <v>0</v>
      </c>
      <c r="L717" s="4">
        <v>0</v>
      </c>
      <c r="M717" s="4">
        <v>410</v>
      </c>
      <c r="N717" s="4">
        <f t="shared" si="322"/>
        <v>2255000</v>
      </c>
      <c r="O717" s="4">
        <v>0</v>
      </c>
      <c r="P717" s="4">
        <v>0</v>
      </c>
      <c r="Q717" s="4">
        <v>0</v>
      </c>
      <c r="R717" s="4">
        <f t="shared" si="323"/>
        <v>0</v>
      </c>
      <c r="S717" s="4">
        <v>0</v>
      </c>
      <c r="T717" s="4">
        <v>0</v>
      </c>
      <c r="U717" s="4">
        <v>0</v>
      </c>
      <c r="V717" s="7">
        <f t="shared" si="324"/>
        <v>5500</v>
      </c>
    </row>
    <row r="718" spans="1:22" ht="23.1" customHeight="1" x14ac:dyDescent="0.25">
      <c r="A718" s="52" t="s">
        <v>1005</v>
      </c>
      <c r="B718" s="9" t="s">
        <v>300</v>
      </c>
      <c r="C718" s="3">
        <f>D718+L718+N718+P718+R718+S718+T718+U718</f>
        <v>5941465</v>
      </c>
      <c r="D718" s="4">
        <f>SUM(E718:J718)</f>
        <v>746265</v>
      </c>
      <c r="E718" s="4">
        <f>350*382.7</f>
        <v>133945</v>
      </c>
      <c r="F718" s="4">
        <f>1050*382.7</f>
        <v>401835</v>
      </c>
      <c r="G718" s="4">
        <f>300*382.7</f>
        <v>114810</v>
      </c>
      <c r="H718" s="4">
        <f>400*0</f>
        <v>0</v>
      </c>
      <c r="I718" s="4">
        <f>250*382.7</f>
        <v>95675</v>
      </c>
      <c r="J718" s="4">
        <v>0</v>
      </c>
      <c r="K718" s="5">
        <v>0</v>
      </c>
      <c r="L718" s="4">
        <v>0</v>
      </c>
      <c r="M718" s="4">
        <v>448</v>
      </c>
      <c r="N718" s="4">
        <f>M718*5500</f>
        <v>2464000</v>
      </c>
      <c r="O718" s="4">
        <v>0</v>
      </c>
      <c r="P718" s="4">
        <v>0</v>
      </c>
      <c r="Q718" s="4">
        <v>910.4</v>
      </c>
      <c r="R718" s="4">
        <f>Q718*3000</f>
        <v>2731200</v>
      </c>
      <c r="S718" s="4">
        <v>0</v>
      </c>
      <c r="T718" s="4">
        <v>0</v>
      </c>
      <c r="U718" s="4">
        <v>0</v>
      </c>
      <c r="V718" s="7">
        <f>N718/M718</f>
        <v>5500</v>
      </c>
    </row>
    <row r="719" spans="1:22" ht="21.95" customHeight="1" x14ac:dyDescent="0.25">
      <c r="A719" s="52" t="s">
        <v>1006</v>
      </c>
      <c r="B719" s="9" t="s">
        <v>301</v>
      </c>
      <c r="C719" s="3">
        <f t="shared" si="299"/>
        <v>2893690</v>
      </c>
      <c r="D719" s="4">
        <f t="shared" si="321"/>
        <v>1041690</v>
      </c>
      <c r="E719" s="4">
        <f>350*534.2</f>
        <v>186970.00000000003</v>
      </c>
      <c r="F719" s="4">
        <f>1050*534.2</f>
        <v>560910</v>
      </c>
      <c r="G719" s="4">
        <f>300*534.2</f>
        <v>160260</v>
      </c>
      <c r="H719" s="4">
        <f>400*0</f>
        <v>0</v>
      </c>
      <c r="I719" s="4">
        <f>250*534.2</f>
        <v>133550</v>
      </c>
      <c r="J719" s="4">
        <v>0</v>
      </c>
      <c r="K719" s="5">
        <v>0</v>
      </c>
      <c r="L719" s="4">
        <v>0</v>
      </c>
      <c r="M719" s="4">
        <v>0</v>
      </c>
      <c r="N719" s="4">
        <v>0</v>
      </c>
      <c r="O719" s="4">
        <v>0</v>
      </c>
      <c r="P719" s="4">
        <v>0</v>
      </c>
      <c r="Q719" s="4">
        <v>584</v>
      </c>
      <c r="R719" s="4">
        <f t="shared" si="323"/>
        <v>1752000</v>
      </c>
      <c r="S719" s="4">
        <v>0</v>
      </c>
      <c r="T719" s="4">
        <v>0</v>
      </c>
      <c r="U719" s="4">
        <v>100000</v>
      </c>
      <c r="V719" s="7" t="e">
        <f t="shared" si="324"/>
        <v>#DIV/0!</v>
      </c>
    </row>
    <row r="720" spans="1:22" ht="21.95" customHeight="1" x14ac:dyDescent="0.25">
      <c r="A720" s="52" t="s">
        <v>1007</v>
      </c>
      <c r="B720" s="9" t="s">
        <v>302</v>
      </c>
      <c r="C720" s="3">
        <f t="shared" si="299"/>
        <v>1622500</v>
      </c>
      <c r="D720" s="4">
        <f t="shared" si="321"/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5">
        <v>0</v>
      </c>
      <c r="L720" s="4">
        <v>0</v>
      </c>
      <c r="M720" s="4">
        <v>295</v>
      </c>
      <c r="N720" s="4">
        <f t="shared" ref="N720" si="325">M720*5500</f>
        <v>1622500</v>
      </c>
      <c r="O720" s="4">
        <v>0</v>
      </c>
      <c r="P720" s="4">
        <v>0</v>
      </c>
      <c r="Q720" s="4">
        <v>0</v>
      </c>
      <c r="R720" s="4">
        <f t="shared" si="323"/>
        <v>0</v>
      </c>
      <c r="S720" s="4">
        <v>0</v>
      </c>
      <c r="T720" s="4">
        <v>0</v>
      </c>
      <c r="U720" s="4">
        <v>0</v>
      </c>
      <c r="V720" s="7">
        <f t="shared" si="324"/>
        <v>5500</v>
      </c>
    </row>
    <row r="721" spans="1:22" ht="21.95" customHeight="1" x14ac:dyDescent="0.25">
      <c r="A721" s="52" t="s">
        <v>1008</v>
      </c>
      <c r="B721" s="9" t="s">
        <v>303</v>
      </c>
      <c r="C721" s="3">
        <f t="shared" si="299"/>
        <v>2826595</v>
      </c>
      <c r="D721" s="4">
        <f t="shared" si="321"/>
        <v>1037595</v>
      </c>
      <c r="E721" s="4">
        <f>350*532.1</f>
        <v>186235</v>
      </c>
      <c r="F721" s="4">
        <f>1050*532.1</f>
        <v>558705</v>
      </c>
      <c r="G721" s="4">
        <f>300*532.1</f>
        <v>159630</v>
      </c>
      <c r="H721" s="4">
        <f>400*0</f>
        <v>0</v>
      </c>
      <c r="I721" s="4">
        <f>250*532.1</f>
        <v>133025</v>
      </c>
      <c r="J721" s="4">
        <v>0</v>
      </c>
      <c r="K721" s="5">
        <v>0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563</v>
      </c>
      <c r="R721" s="4">
        <f t="shared" si="323"/>
        <v>1689000</v>
      </c>
      <c r="S721" s="4">
        <v>0</v>
      </c>
      <c r="T721" s="4">
        <v>0</v>
      </c>
      <c r="U721" s="4">
        <v>100000</v>
      </c>
      <c r="V721" s="7" t="e">
        <f t="shared" si="324"/>
        <v>#DIV/0!</v>
      </c>
    </row>
    <row r="722" spans="1:22" ht="45" customHeight="1" x14ac:dyDescent="0.25">
      <c r="A722" s="55" t="s">
        <v>309</v>
      </c>
      <c r="B722" s="55"/>
      <c r="C722" s="3">
        <f>SUM(C723)</f>
        <v>3772924</v>
      </c>
      <c r="D722" s="3">
        <f t="shared" ref="D722:U722" si="326">SUM(D723)</f>
        <v>184184</v>
      </c>
      <c r="E722" s="3">
        <f t="shared" si="326"/>
        <v>184184</v>
      </c>
      <c r="F722" s="3">
        <f t="shared" si="326"/>
        <v>0</v>
      </c>
      <c r="G722" s="3">
        <f t="shared" si="326"/>
        <v>0</v>
      </c>
      <c r="H722" s="3">
        <f t="shared" si="326"/>
        <v>0</v>
      </c>
      <c r="I722" s="3">
        <f t="shared" si="326"/>
        <v>0</v>
      </c>
      <c r="J722" s="3">
        <f t="shared" si="326"/>
        <v>0</v>
      </c>
      <c r="K722" s="15">
        <f t="shared" si="326"/>
        <v>0</v>
      </c>
      <c r="L722" s="3">
        <f t="shared" si="326"/>
        <v>0</v>
      </c>
      <c r="M722" s="3">
        <f t="shared" si="326"/>
        <v>355.2</v>
      </c>
      <c r="N722" s="3">
        <f t="shared" si="326"/>
        <v>1953600</v>
      </c>
      <c r="O722" s="3">
        <f t="shared" si="326"/>
        <v>0</v>
      </c>
      <c r="P722" s="3">
        <f t="shared" si="326"/>
        <v>0</v>
      </c>
      <c r="Q722" s="3">
        <f t="shared" si="326"/>
        <v>428.4</v>
      </c>
      <c r="R722" s="3">
        <f t="shared" si="326"/>
        <v>1285200</v>
      </c>
      <c r="S722" s="3">
        <f t="shared" si="326"/>
        <v>149940</v>
      </c>
      <c r="T722" s="3">
        <f t="shared" si="326"/>
        <v>0</v>
      </c>
      <c r="U722" s="3">
        <f t="shared" si="326"/>
        <v>200000</v>
      </c>
    </row>
    <row r="723" spans="1:22" ht="21.95" customHeight="1" x14ac:dyDescent="0.25">
      <c r="A723" s="24" t="s">
        <v>1009</v>
      </c>
      <c r="B723" s="9" t="s">
        <v>313</v>
      </c>
      <c r="C723" s="3">
        <f t="shared" ref="C723:C758" si="327">D723+L723+N723+P723+R723+S723+T723+U723</f>
        <v>3772924</v>
      </c>
      <c r="D723" s="4">
        <f t="shared" ref="D723" si="328">SUM(E723:J723)</f>
        <v>184184</v>
      </c>
      <c r="E723" s="6">
        <f>526.24*350</f>
        <v>184184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12">
        <v>0</v>
      </c>
      <c r="L723" s="6">
        <v>0</v>
      </c>
      <c r="M723" s="6">
        <v>355.2</v>
      </c>
      <c r="N723" s="4">
        <f t="shared" ref="N723" si="329">M723*5500</f>
        <v>1953600</v>
      </c>
      <c r="O723" s="6">
        <v>0</v>
      </c>
      <c r="P723" s="6">
        <v>0</v>
      </c>
      <c r="Q723" s="6">
        <v>428.4</v>
      </c>
      <c r="R723" s="4">
        <f>Q723*3000</f>
        <v>1285200</v>
      </c>
      <c r="S723" s="6">
        <v>149940</v>
      </c>
      <c r="T723" s="6">
        <v>0</v>
      </c>
      <c r="U723" s="6">
        <v>200000</v>
      </c>
      <c r="V723" s="7">
        <f t="shared" ref="V723" si="330">N723/M723</f>
        <v>5500</v>
      </c>
    </row>
    <row r="724" spans="1:22" ht="45" customHeight="1" x14ac:dyDescent="0.25">
      <c r="A724" s="55" t="s">
        <v>314</v>
      </c>
      <c r="B724" s="55"/>
      <c r="C724" s="3">
        <f>SUM(C725:C727)</f>
        <v>10027195</v>
      </c>
      <c r="D724" s="3">
        <f t="shared" ref="D724:U724" si="331">SUM(D725:D727)</f>
        <v>507325</v>
      </c>
      <c r="E724" s="3">
        <f t="shared" si="331"/>
        <v>507325</v>
      </c>
      <c r="F724" s="3">
        <f t="shared" si="331"/>
        <v>0</v>
      </c>
      <c r="G724" s="3">
        <f t="shared" si="331"/>
        <v>0</v>
      </c>
      <c r="H724" s="3">
        <f t="shared" si="331"/>
        <v>0</v>
      </c>
      <c r="I724" s="3">
        <f t="shared" si="331"/>
        <v>0</v>
      </c>
      <c r="J724" s="3">
        <f t="shared" si="331"/>
        <v>0</v>
      </c>
      <c r="K724" s="15">
        <f t="shared" si="331"/>
        <v>0</v>
      </c>
      <c r="L724" s="3">
        <f t="shared" si="331"/>
        <v>0</v>
      </c>
      <c r="M724" s="3">
        <f t="shared" si="331"/>
        <v>900</v>
      </c>
      <c r="N724" s="3">
        <f t="shared" si="331"/>
        <v>4950000</v>
      </c>
      <c r="O724" s="3">
        <f t="shared" si="331"/>
        <v>0</v>
      </c>
      <c r="P724" s="3">
        <f t="shared" si="331"/>
        <v>0</v>
      </c>
      <c r="Q724" s="3">
        <f t="shared" si="331"/>
        <v>1287</v>
      </c>
      <c r="R724" s="3">
        <f t="shared" si="331"/>
        <v>3861000</v>
      </c>
      <c r="S724" s="3">
        <f t="shared" si="331"/>
        <v>408870</v>
      </c>
      <c r="T724" s="3">
        <f t="shared" si="331"/>
        <v>0</v>
      </c>
      <c r="U724" s="3">
        <f t="shared" si="331"/>
        <v>300000</v>
      </c>
    </row>
    <row r="725" spans="1:22" ht="21.95" customHeight="1" x14ac:dyDescent="0.25">
      <c r="A725" s="24" t="s">
        <v>1010</v>
      </c>
      <c r="B725" s="9" t="s">
        <v>315</v>
      </c>
      <c r="C725" s="3">
        <f t="shared" si="327"/>
        <v>3229120</v>
      </c>
      <c r="D725" s="4">
        <f t="shared" ref="D725:D727" si="332">SUM(E725:J725)</f>
        <v>205800</v>
      </c>
      <c r="E725" s="6">
        <f>588*350</f>
        <v>205800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12">
        <v>0</v>
      </c>
      <c r="L725" s="6">
        <v>0</v>
      </c>
      <c r="M725" s="6">
        <v>270</v>
      </c>
      <c r="N725" s="4">
        <f t="shared" ref="N725:N727" si="333">M725*5500</f>
        <v>1485000</v>
      </c>
      <c r="O725" s="6">
        <v>0</v>
      </c>
      <c r="P725" s="6">
        <v>0</v>
      </c>
      <c r="Q725" s="6">
        <v>431</v>
      </c>
      <c r="R725" s="4">
        <f t="shared" ref="R725:R727" si="334">Q725*3000</f>
        <v>1293000</v>
      </c>
      <c r="S725" s="6">
        <v>145320</v>
      </c>
      <c r="T725" s="6">
        <v>0</v>
      </c>
      <c r="U725" s="4">
        <v>100000</v>
      </c>
      <c r="V725" s="7">
        <f t="shared" ref="V725:V727" si="335">N725/M725</f>
        <v>5500</v>
      </c>
    </row>
    <row r="726" spans="1:22" ht="21.95" customHeight="1" x14ac:dyDescent="0.25">
      <c r="A726" s="24" t="s">
        <v>1011</v>
      </c>
      <c r="B726" s="9" t="s">
        <v>316</v>
      </c>
      <c r="C726" s="3">
        <f t="shared" si="327"/>
        <v>2222900</v>
      </c>
      <c r="D726" s="4">
        <f t="shared" si="332"/>
        <v>107800</v>
      </c>
      <c r="E726" s="6">
        <f>308*350</f>
        <v>107800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12">
        <v>0</v>
      </c>
      <c r="L726" s="6">
        <v>0</v>
      </c>
      <c r="M726" s="6">
        <v>180</v>
      </c>
      <c r="N726" s="4">
        <f t="shared" si="333"/>
        <v>990000</v>
      </c>
      <c r="O726" s="6">
        <v>0</v>
      </c>
      <c r="P726" s="6">
        <v>0</v>
      </c>
      <c r="Q726" s="6">
        <v>306</v>
      </c>
      <c r="R726" s="4">
        <f t="shared" si="334"/>
        <v>918000</v>
      </c>
      <c r="S726" s="6">
        <v>107100</v>
      </c>
      <c r="T726" s="6">
        <v>0</v>
      </c>
      <c r="U726" s="4">
        <v>100000</v>
      </c>
      <c r="V726" s="7">
        <f t="shared" si="335"/>
        <v>5500</v>
      </c>
    </row>
    <row r="727" spans="1:22" ht="21.95" customHeight="1" x14ac:dyDescent="0.25">
      <c r="A727" s="24" t="s">
        <v>1012</v>
      </c>
      <c r="B727" s="9" t="s">
        <v>318</v>
      </c>
      <c r="C727" s="3">
        <f t="shared" si="327"/>
        <v>4575175</v>
      </c>
      <c r="D727" s="4">
        <f t="shared" si="332"/>
        <v>193725</v>
      </c>
      <c r="E727" s="4">
        <f>553.5*350</f>
        <v>193725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5">
        <v>0</v>
      </c>
      <c r="L727" s="4">
        <v>0</v>
      </c>
      <c r="M727" s="6">
        <v>450</v>
      </c>
      <c r="N727" s="4">
        <f t="shared" si="333"/>
        <v>2475000</v>
      </c>
      <c r="O727" s="4">
        <v>0</v>
      </c>
      <c r="P727" s="4">
        <v>0</v>
      </c>
      <c r="Q727" s="4">
        <v>550</v>
      </c>
      <c r="R727" s="4">
        <f t="shared" si="334"/>
        <v>1650000</v>
      </c>
      <c r="S727" s="4">
        <v>156450</v>
      </c>
      <c r="T727" s="4">
        <v>0</v>
      </c>
      <c r="U727" s="4">
        <v>100000</v>
      </c>
      <c r="V727" s="7">
        <f t="shared" si="335"/>
        <v>5500</v>
      </c>
    </row>
    <row r="728" spans="1:22" ht="45" customHeight="1" x14ac:dyDescent="0.25">
      <c r="A728" s="55" t="s">
        <v>1202</v>
      </c>
      <c r="B728" s="55"/>
      <c r="C728" s="3">
        <f>SUM(C729)</f>
        <v>2644400</v>
      </c>
      <c r="D728" s="3">
        <f t="shared" ref="D728:U728" si="336">SUM(D729)</f>
        <v>490000</v>
      </c>
      <c r="E728" s="3">
        <f t="shared" si="336"/>
        <v>122500</v>
      </c>
      <c r="F728" s="3">
        <f t="shared" si="336"/>
        <v>367500</v>
      </c>
      <c r="G728" s="3">
        <f t="shared" si="336"/>
        <v>0</v>
      </c>
      <c r="H728" s="3">
        <f t="shared" si="336"/>
        <v>0</v>
      </c>
      <c r="I728" s="3">
        <f t="shared" si="336"/>
        <v>0</v>
      </c>
      <c r="J728" s="3">
        <f t="shared" si="336"/>
        <v>0</v>
      </c>
      <c r="K728" s="15">
        <f t="shared" si="336"/>
        <v>0</v>
      </c>
      <c r="L728" s="3">
        <f t="shared" si="336"/>
        <v>0</v>
      </c>
      <c r="M728" s="3">
        <f t="shared" si="336"/>
        <v>240</v>
      </c>
      <c r="N728" s="3">
        <f t="shared" si="336"/>
        <v>1320000</v>
      </c>
      <c r="O728" s="3">
        <f t="shared" si="336"/>
        <v>0</v>
      </c>
      <c r="P728" s="3">
        <f t="shared" si="336"/>
        <v>0</v>
      </c>
      <c r="Q728" s="3">
        <f t="shared" si="336"/>
        <v>244.8</v>
      </c>
      <c r="R728" s="3">
        <f t="shared" si="336"/>
        <v>734400</v>
      </c>
      <c r="S728" s="3">
        <f t="shared" si="336"/>
        <v>0</v>
      </c>
      <c r="T728" s="3">
        <f t="shared" si="336"/>
        <v>0</v>
      </c>
      <c r="U728" s="3">
        <f t="shared" si="336"/>
        <v>100000</v>
      </c>
    </row>
    <row r="729" spans="1:22" ht="21.95" customHeight="1" x14ac:dyDescent="0.25">
      <c r="A729" s="1" t="s">
        <v>1013</v>
      </c>
      <c r="B729" s="9" t="s">
        <v>323</v>
      </c>
      <c r="C729" s="3">
        <f t="shared" si="327"/>
        <v>2644400</v>
      </c>
      <c r="D729" s="4">
        <f t="shared" ref="D729" si="337">SUM(E729:J729)</f>
        <v>490000</v>
      </c>
      <c r="E729" s="4">
        <f>350*350</f>
        <v>122500</v>
      </c>
      <c r="F729" s="4">
        <f>1050*350</f>
        <v>367500</v>
      </c>
      <c r="G729" s="4">
        <f>350*0</f>
        <v>0</v>
      </c>
      <c r="H729" s="4">
        <f>400*0</f>
        <v>0</v>
      </c>
      <c r="I729" s="4">
        <f>250*0</f>
        <v>0</v>
      </c>
      <c r="J729" s="4">
        <v>0</v>
      </c>
      <c r="K729" s="5">
        <v>0</v>
      </c>
      <c r="L729" s="4">
        <v>0</v>
      </c>
      <c r="M729" s="4">
        <v>240</v>
      </c>
      <c r="N729" s="4">
        <f t="shared" ref="N729" si="338">M729*5500</f>
        <v>1320000</v>
      </c>
      <c r="O729" s="4">
        <v>0</v>
      </c>
      <c r="P729" s="4">
        <v>0</v>
      </c>
      <c r="Q729" s="4">
        <v>244.8</v>
      </c>
      <c r="R729" s="4">
        <f>Q729*3000</f>
        <v>734400</v>
      </c>
      <c r="S729" s="4">
        <v>0</v>
      </c>
      <c r="T729" s="4">
        <v>0</v>
      </c>
      <c r="U729" s="4">
        <v>100000</v>
      </c>
      <c r="V729" s="7">
        <f t="shared" ref="V729" si="339">N729/M729</f>
        <v>5500</v>
      </c>
    </row>
    <row r="730" spans="1:22" ht="45" customHeight="1" x14ac:dyDescent="0.25">
      <c r="A730" s="55" t="s">
        <v>326</v>
      </c>
      <c r="B730" s="55"/>
      <c r="C730" s="3">
        <f>SUM(C731:C733)</f>
        <v>12508100</v>
      </c>
      <c r="D730" s="3">
        <f t="shared" ref="D730:U730" si="340">SUM(D731:D733)</f>
        <v>329000</v>
      </c>
      <c r="E730" s="3">
        <f t="shared" si="340"/>
        <v>329000</v>
      </c>
      <c r="F730" s="3">
        <f t="shared" si="340"/>
        <v>0</v>
      </c>
      <c r="G730" s="3">
        <f t="shared" si="340"/>
        <v>0</v>
      </c>
      <c r="H730" s="3">
        <f t="shared" si="340"/>
        <v>0</v>
      </c>
      <c r="I730" s="3">
        <f t="shared" si="340"/>
        <v>0</v>
      </c>
      <c r="J730" s="3">
        <f t="shared" si="340"/>
        <v>0</v>
      </c>
      <c r="K730" s="15">
        <f t="shared" si="340"/>
        <v>0</v>
      </c>
      <c r="L730" s="3">
        <f t="shared" si="340"/>
        <v>0</v>
      </c>
      <c r="M730" s="3">
        <f t="shared" si="340"/>
        <v>1704.2</v>
      </c>
      <c r="N730" s="3">
        <f t="shared" si="340"/>
        <v>9373100</v>
      </c>
      <c r="O730" s="3">
        <f t="shared" si="340"/>
        <v>0</v>
      </c>
      <c r="P730" s="3">
        <f t="shared" si="340"/>
        <v>0</v>
      </c>
      <c r="Q730" s="3">
        <f t="shared" si="340"/>
        <v>809.6</v>
      </c>
      <c r="R730" s="3">
        <f t="shared" si="340"/>
        <v>2428800</v>
      </c>
      <c r="S730" s="3">
        <f t="shared" si="340"/>
        <v>277200</v>
      </c>
      <c r="T730" s="3">
        <f t="shared" si="340"/>
        <v>0</v>
      </c>
      <c r="U730" s="3">
        <f t="shared" si="340"/>
        <v>100000</v>
      </c>
    </row>
    <row r="731" spans="1:22" ht="21.95" customHeight="1" x14ac:dyDescent="0.25">
      <c r="A731" s="1" t="s">
        <v>1014</v>
      </c>
      <c r="B731" s="9" t="s">
        <v>327</v>
      </c>
      <c r="C731" s="3">
        <f t="shared" si="327"/>
        <v>6744100</v>
      </c>
      <c r="D731" s="4">
        <f t="shared" ref="D731:D733" si="341">SUM(E731:J731)</f>
        <v>329000</v>
      </c>
      <c r="E731" s="4">
        <f>350*940</f>
        <v>329000</v>
      </c>
      <c r="F731" s="4">
        <v>0</v>
      </c>
      <c r="G731" s="4">
        <f>350*0</f>
        <v>0</v>
      </c>
      <c r="H731" s="4">
        <f>400*0</f>
        <v>0</v>
      </c>
      <c r="I731" s="4">
        <f>250*0</f>
        <v>0</v>
      </c>
      <c r="J731" s="4">
        <v>0</v>
      </c>
      <c r="K731" s="5">
        <v>0</v>
      </c>
      <c r="L731" s="4">
        <v>0</v>
      </c>
      <c r="M731" s="4">
        <v>656.2</v>
      </c>
      <c r="N731" s="4">
        <f t="shared" ref="N731:N732" si="342">M731*5500</f>
        <v>3609100.0000000005</v>
      </c>
      <c r="O731" s="4">
        <v>0</v>
      </c>
      <c r="P731" s="4">
        <v>0</v>
      </c>
      <c r="Q731" s="4">
        <v>809.6</v>
      </c>
      <c r="R731" s="4">
        <f t="shared" ref="R731:R733" si="343">Q731*3000</f>
        <v>2428800</v>
      </c>
      <c r="S731" s="4">
        <v>277200</v>
      </c>
      <c r="T731" s="4">
        <v>0</v>
      </c>
      <c r="U731" s="4">
        <v>100000</v>
      </c>
      <c r="V731" s="7">
        <f t="shared" ref="V731:V733" si="344">N731/M731</f>
        <v>5500</v>
      </c>
    </row>
    <row r="732" spans="1:22" ht="21.95" customHeight="1" x14ac:dyDescent="0.25">
      <c r="A732" s="1" t="s">
        <v>1015</v>
      </c>
      <c r="B732" s="9" t="s">
        <v>1206</v>
      </c>
      <c r="C732" s="3">
        <f t="shared" si="327"/>
        <v>3514500</v>
      </c>
      <c r="D732" s="4">
        <f t="shared" si="341"/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5">
        <v>0</v>
      </c>
      <c r="L732" s="4">
        <v>0</v>
      </c>
      <c r="M732" s="4">
        <v>639</v>
      </c>
      <c r="N732" s="4">
        <f t="shared" si="342"/>
        <v>3514500</v>
      </c>
      <c r="O732" s="4">
        <v>0</v>
      </c>
      <c r="P732" s="4">
        <v>0</v>
      </c>
      <c r="Q732" s="4">
        <v>0</v>
      </c>
      <c r="R732" s="4">
        <f t="shared" si="343"/>
        <v>0</v>
      </c>
      <c r="S732" s="4">
        <v>0</v>
      </c>
      <c r="T732" s="4">
        <v>0</v>
      </c>
      <c r="U732" s="4">
        <v>0</v>
      </c>
      <c r="V732" s="7">
        <f t="shared" si="344"/>
        <v>5500</v>
      </c>
    </row>
    <row r="733" spans="1:22" ht="21.95" customHeight="1" x14ac:dyDescent="0.25">
      <c r="A733" s="1" t="s">
        <v>1016</v>
      </c>
      <c r="B733" s="9" t="s">
        <v>328</v>
      </c>
      <c r="C733" s="3">
        <f t="shared" si="327"/>
        <v>2249500</v>
      </c>
      <c r="D733" s="4">
        <f t="shared" si="341"/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5">
        <v>0</v>
      </c>
      <c r="L733" s="4">
        <v>0</v>
      </c>
      <c r="M733" s="4">
        <v>409</v>
      </c>
      <c r="N733" s="4">
        <f t="shared" ref="N733" si="345">M733*5500</f>
        <v>2249500</v>
      </c>
      <c r="O733" s="4">
        <v>0</v>
      </c>
      <c r="P733" s="4">
        <v>0</v>
      </c>
      <c r="Q733" s="4">
        <v>0</v>
      </c>
      <c r="R733" s="4">
        <f t="shared" si="343"/>
        <v>0</v>
      </c>
      <c r="S733" s="4">
        <v>0</v>
      </c>
      <c r="T733" s="4">
        <v>0</v>
      </c>
      <c r="U733" s="4">
        <v>0</v>
      </c>
      <c r="V733" s="7">
        <f t="shared" si="344"/>
        <v>5500</v>
      </c>
    </row>
    <row r="734" spans="1:22" ht="45" customHeight="1" x14ac:dyDescent="0.25">
      <c r="A734" s="55" t="s">
        <v>330</v>
      </c>
      <c r="B734" s="55"/>
      <c r="C734" s="3">
        <f>SUM(C735)</f>
        <v>4310000</v>
      </c>
      <c r="D734" s="3">
        <f t="shared" ref="D734:U734" si="346">SUM(D735)</f>
        <v>0</v>
      </c>
      <c r="E734" s="3">
        <f t="shared" si="346"/>
        <v>0</v>
      </c>
      <c r="F734" s="3">
        <f t="shared" si="346"/>
        <v>0</v>
      </c>
      <c r="G734" s="3">
        <f t="shared" si="346"/>
        <v>0</v>
      </c>
      <c r="H734" s="3">
        <f t="shared" si="346"/>
        <v>0</v>
      </c>
      <c r="I734" s="3">
        <f t="shared" si="346"/>
        <v>0</v>
      </c>
      <c r="J734" s="3">
        <f t="shared" si="346"/>
        <v>0</v>
      </c>
      <c r="K734" s="15">
        <f t="shared" si="346"/>
        <v>0</v>
      </c>
      <c r="L734" s="3">
        <f t="shared" si="346"/>
        <v>0</v>
      </c>
      <c r="M734" s="3">
        <f t="shared" si="346"/>
        <v>500</v>
      </c>
      <c r="N734" s="3">
        <f t="shared" si="346"/>
        <v>2750000</v>
      </c>
      <c r="O734" s="3">
        <f t="shared" si="346"/>
        <v>0</v>
      </c>
      <c r="P734" s="3">
        <f t="shared" si="346"/>
        <v>0</v>
      </c>
      <c r="Q734" s="3">
        <f t="shared" si="346"/>
        <v>520</v>
      </c>
      <c r="R734" s="3">
        <f t="shared" si="346"/>
        <v>1560000</v>
      </c>
      <c r="S734" s="3">
        <f t="shared" si="346"/>
        <v>0</v>
      </c>
      <c r="T734" s="3">
        <f t="shared" si="346"/>
        <v>0</v>
      </c>
      <c r="U734" s="3">
        <f t="shared" si="346"/>
        <v>0</v>
      </c>
    </row>
    <row r="735" spans="1:22" ht="21.95" customHeight="1" x14ac:dyDescent="0.25">
      <c r="A735" s="1" t="s">
        <v>1017</v>
      </c>
      <c r="B735" s="2" t="s">
        <v>331</v>
      </c>
      <c r="C735" s="3">
        <f t="shared" si="327"/>
        <v>4310000</v>
      </c>
      <c r="D735" s="4">
        <f t="shared" ref="D735" si="347">SUM(E735:J735)</f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5">
        <v>0</v>
      </c>
      <c r="L735" s="4">
        <v>0</v>
      </c>
      <c r="M735" s="4">
        <v>500</v>
      </c>
      <c r="N735" s="4">
        <f t="shared" ref="N735" si="348">M735*5500</f>
        <v>2750000</v>
      </c>
      <c r="O735" s="4">
        <v>0</v>
      </c>
      <c r="P735" s="4">
        <v>0</v>
      </c>
      <c r="Q735" s="4">
        <v>520</v>
      </c>
      <c r="R735" s="4">
        <f>Q735*3000</f>
        <v>1560000</v>
      </c>
      <c r="S735" s="4">
        <v>0</v>
      </c>
      <c r="T735" s="4">
        <v>0</v>
      </c>
      <c r="U735" s="4">
        <v>0</v>
      </c>
      <c r="V735" s="7">
        <f t="shared" ref="V735" si="349">N735/M735</f>
        <v>5500</v>
      </c>
    </row>
    <row r="736" spans="1:22" ht="35.1" customHeight="1" x14ac:dyDescent="0.25">
      <c r="A736" s="55" t="s">
        <v>333</v>
      </c>
      <c r="B736" s="55"/>
      <c r="C736" s="3">
        <f t="shared" ref="C736:U736" si="350">SUM(C737:C737)</f>
        <v>781392</v>
      </c>
      <c r="D736" s="3">
        <f t="shared" si="350"/>
        <v>781392</v>
      </c>
      <c r="E736" s="3">
        <f t="shared" si="350"/>
        <v>0</v>
      </c>
      <c r="F736" s="3">
        <f t="shared" si="350"/>
        <v>781392</v>
      </c>
      <c r="G736" s="3">
        <f t="shared" si="350"/>
        <v>0</v>
      </c>
      <c r="H736" s="3">
        <f t="shared" si="350"/>
        <v>0</v>
      </c>
      <c r="I736" s="3">
        <f t="shared" si="350"/>
        <v>0</v>
      </c>
      <c r="J736" s="3">
        <f t="shared" si="350"/>
        <v>0</v>
      </c>
      <c r="K736" s="15">
        <f t="shared" si="350"/>
        <v>0</v>
      </c>
      <c r="L736" s="3">
        <f t="shared" si="350"/>
        <v>0</v>
      </c>
      <c r="M736" s="3">
        <f t="shared" si="350"/>
        <v>0</v>
      </c>
      <c r="N736" s="3">
        <f t="shared" si="350"/>
        <v>0</v>
      </c>
      <c r="O736" s="3">
        <f t="shared" si="350"/>
        <v>0</v>
      </c>
      <c r="P736" s="3">
        <f t="shared" si="350"/>
        <v>0</v>
      </c>
      <c r="Q736" s="3">
        <f t="shared" si="350"/>
        <v>0</v>
      </c>
      <c r="R736" s="3">
        <f t="shared" si="350"/>
        <v>0</v>
      </c>
      <c r="S736" s="3">
        <f t="shared" si="350"/>
        <v>0</v>
      </c>
      <c r="T736" s="3">
        <f t="shared" si="350"/>
        <v>0</v>
      </c>
      <c r="U736" s="3">
        <f t="shared" si="350"/>
        <v>0</v>
      </c>
      <c r="V736" s="21">
        <f>C736</f>
        <v>781392</v>
      </c>
    </row>
    <row r="737" spans="1:22" ht="23.1" customHeight="1" x14ac:dyDescent="0.25">
      <c r="A737" s="24" t="s">
        <v>1018</v>
      </c>
      <c r="B737" s="9" t="s">
        <v>334</v>
      </c>
      <c r="C737" s="3">
        <f t="shared" ref="C737" si="351">D737+L737+N737+P737+R737+S737+T737+U737</f>
        <v>781392</v>
      </c>
      <c r="D737" s="4">
        <f t="shared" ref="D737" si="352">SUM(E737:J737)</f>
        <v>781392</v>
      </c>
      <c r="E737" s="4">
        <v>0</v>
      </c>
      <c r="F737" s="4">
        <f>800*976.74</f>
        <v>781392</v>
      </c>
      <c r="G737" s="4">
        <v>0</v>
      </c>
      <c r="H737" s="4">
        <v>0</v>
      </c>
      <c r="I737" s="4">
        <v>0</v>
      </c>
      <c r="J737" s="4">
        <v>0</v>
      </c>
      <c r="K737" s="12">
        <v>0</v>
      </c>
      <c r="L737" s="6">
        <v>0</v>
      </c>
      <c r="M737" s="6">
        <v>0</v>
      </c>
      <c r="N737" s="4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7" t="e">
        <f t="shared" ref="V737" si="353">N737/M737</f>
        <v>#DIV/0!</v>
      </c>
    </row>
    <row r="738" spans="1:22" ht="45" customHeight="1" x14ac:dyDescent="0.25">
      <c r="A738" s="55" t="s">
        <v>335</v>
      </c>
      <c r="B738" s="55"/>
      <c r="C738" s="3">
        <f>SUM(C739)</f>
        <v>24248650</v>
      </c>
      <c r="D738" s="3">
        <f t="shared" ref="D738:U738" si="354">SUM(D739)</f>
        <v>0</v>
      </c>
      <c r="E738" s="3">
        <f t="shared" si="354"/>
        <v>0</v>
      </c>
      <c r="F738" s="3">
        <f t="shared" si="354"/>
        <v>0</v>
      </c>
      <c r="G738" s="3">
        <f t="shared" si="354"/>
        <v>0</v>
      </c>
      <c r="H738" s="3">
        <f t="shared" si="354"/>
        <v>0</v>
      </c>
      <c r="I738" s="3">
        <f t="shared" si="354"/>
        <v>0</v>
      </c>
      <c r="J738" s="3">
        <f t="shared" si="354"/>
        <v>0</v>
      </c>
      <c r="K738" s="15">
        <f t="shared" si="354"/>
        <v>0</v>
      </c>
      <c r="L738" s="3">
        <f t="shared" si="354"/>
        <v>0</v>
      </c>
      <c r="M738" s="3">
        <f t="shared" si="354"/>
        <v>2130.6999999999998</v>
      </c>
      <c r="N738" s="3">
        <f t="shared" si="354"/>
        <v>11718849.999999998</v>
      </c>
      <c r="O738" s="3">
        <f t="shared" si="354"/>
        <v>0</v>
      </c>
      <c r="P738" s="3">
        <f t="shared" si="354"/>
        <v>0</v>
      </c>
      <c r="Q738" s="3">
        <f t="shared" si="354"/>
        <v>4176.6000000000004</v>
      </c>
      <c r="R738" s="3">
        <f t="shared" si="354"/>
        <v>12529800.000000002</v>
      </c>
      <c r="S738" s="3">
        <f t="shared" si="354"/>
        <v>0</v>
      </c>
      <c r="T738" s="3">
        <f t="shared" si="354"/>
        <v>0</v>
      </c>
      <c r="U738" s="3">
        <f t="shared" si="354"/>
        <v>0</v>
      </c>
    </row>
    <row r="739" spans="1:22" ht="21.95" customHeight="1" x14ac:dyDescent="0.25">
      <c r="A739" s="1" t="s">
        <v>1019</v>
      </c>
      <c r="B739" s="9" t="s">
        <v>336</v>
      </c>
      <c r="C739" s="3">
        <f t="shared" si="327"/>
        <v>24248650</v>
      </c>
      <c r="D739" s="4">
        <f t="shared" ref="D739" si="355">SUM(E739:J739)</f>
        <v>0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5">
        <v>0</v>
      </c>
      <c r="L739" s="4">
        <v>0</v>
      </c>
      <c r="M739" s="4">
        <v>2130.6999999999998</v>
      </c>
      <c r="N739" s="4">
        <f t="shared" ref="N739" si="356">M739*5500</f>
        <v>11718849.999999998</v>
      </c>
      <c r="O739" s="4">
        <v>0</v>
      </c>
      <c r="P739" s="4">
        <v>0</v>
      </c>
      <c r="Q739" s="4">
        <v>4176.6000000000004</v>
      </c>
      <c r="R739" s="4">
        <f>Q739*3000</f>
        <v>12529800.000000002</v>
      </c>
      <c r="S739" s="4">
        <v>0</v>
      </c>
      <c r="T739" s="4">
        <v>0</v>
      </c>
      <c r="U739" s="4">
        <v>0</v>
      </c>
      <c r="V739" s="7">
        <f t="shared" ref="V739" si="357">N739/M739</f>
        <v>5500</v>
      </c>
    </row>
    <row r="740" spans="1:22" ht="45" customHeight="1" x14ac:dyDescent="0.25">
      <c r="A740" s="55" t="s">
        <v>1923</v>
      </c>
      <c r="B740" s="55"/>
      <c r="C740" s="3">
        <f>SUM(C741:C753)</f>
        <v>131551595</v>
      </c>
      <c r="D740" s="3">
        <f t="shared" ref="D740:U740" si="358">SUM(D741:D753)</f>
        <v>28709865</v>
      </c>
      <c r="E740" s="3">
        <f t="shared" si="358"/>
        <v>4721745</v>
      </c>
      <c r="F740" s="3">
        <f t="shared" si="358"/>
        <v>14165235</v>
      </c>
      <c r="G740" s="3">
        <f t="shared" si="358"/>
        <v>4047210</v>
      </c>
      <c r="H740" s="3">
        <f t="shared" si="358"/>
        <v>2403000</v>
      </c>
      <c r="I740" s="3">
        <f t="shared" si="358"/>
        <v>3372675</v>
      </c>
      <c r="J740" s="3">
        <f t="shared" si="358"/>
        <v>0</v>
      </c>
      <c r="K740" s="15">
        <f t="shared" si="358"/>
        <v>0</v>
      </c>
      <c r="L740" s="3">
        <f t="shared" si="358"/>
        <v>0</v>
      </c>
      <c r="M740" s="3">
        <f t="shared" si="358"/>
        <v>9946.1</v>
      </c>
      <c r="N740" s="3">
        <f t="shared" si="358"/>
        <v>54344630</v>
      </c>
      <c r="O740" s="3">
        <f t="shared" si="358"/>
        <v>0</v>
      </c>
      <c r="P740" s="3">
        <f t="shared" si="358"/>
        <v>0</v>
      </c>
      <c r="Q740" s="3">
        <f t="shared" si="358"/>
        <v>15665.7</v>
      </c>
      <c r="R740" s="3">
        <f t="shared" si="358"/>
        <v>46997100</v>
      </c>
      <c r="S740" s="3">
        <f t="shared" si="358"/>
        <v>0</v>
      </c>
      <c r="T740" s="3">
        <f t="shared" si="358"/>
        <v>0</v>
      </c>
      <c r="U740" s="3">
        <f t="shared" si="358"/>
        <v>1500000</v>
      </c>
    </row>
    <row r="741" spans="1:22" ht="21.95" customHeight="1" x14ac:dyDescent="0.25">
      <c r="A741" s="1" t="s">
        <v>1020</v>
      </c>
      <c r="B741" s="9" t="s">
        <v>344</v>
      </c>
      <c r="C741" s="3">
        <f t="shared" si="327"/>
        <v>3858650</v>
      </c>
      <c r="D741" s="4">
        <f t="shared" ref="D741:D753" si="359">SUM(E741:J741)</f>
        <v>547950</v>
      </c>
      <c r="E741" s="4">
        <f>350*281</f>
        <v>98350</v>
      </c>
      <c r="F741" s="4">
        <f>1050*281</f>
        <v>295050</v>
      </c>
      <c r="G741" s="4">
        <f>300*281</f>
        <v>84300</v>
      </c>
      <c r="H741" s="4">
        <f t="shared" ref="H741:H746" si="360">400*0</f>
        <v>0</v>
      </c>
      <c r="I741" s="4">
        <f>250*281</f>
        <v>70250</v>
      </c>
      <c r="J741" s="4">
        <v>0</v>
      </c>
      <c r="K741" s="5">
        <v>0</v>
      </c>
      <c r="L741" s="4">
        <v>0</v>
      </c>
      <c r="M741" s="4">
        <v>400</v>
      </c>
      <c r="N741" s="4">
        <f t="shared" ref="N741:N747" si="361">M741*5500</f>
        <v>2200000</v>
      </c>
      <c r="O741" s="4">
        <v>0</v>
      </c>
      <c r="P741" s="4">
        <v>0</v>
      </c>
      <c r="Q741" s="4">
        <v>336.9</v>
      </c>
      <c r="R741" s="4">
        <f t="shared" ref="R741:R753" si="362">Q741*3000</f>
        <v>1010699.9999999999</v>
      </c>
      <c r="S741" s="4">
        <v>0</v>
      </c>
      <c r="T741" s="4">
        <v>0</v>
      </c>
      <c r="U741" s="4">
        <v>100000</v>
      </c>
      <c r="V741" s="7">
        <f t="shared" ref="V741:V753" si="363">N741/M741</f>
        <v>5500</v>
      </c>
    </row>
    <row r="742" spans="1:22" ht="21.95" customHeight="1" x14ac:dyDescent="0.25">
      <c r="A742" s="1" t="s">
        <v>1021</v>
      </c>
      <c r="B742" s="9" t="s">
        <v>348</v>
      </c>
      <c r="C742" s="3">
        <f t="shared" si="327"/>
        <v>6904330</v>
      </c>
      <c r="D742" s="4">
        <f t="shared" si="359"/>
        <v>1533480</v>
      </c>
      <c r="E742" s="4">
        <f>350*786.4</f>
        <v>275240</v>
      </c>
      <c r="F742" s="4">
        <f>1050*786.4</f>
        <v>825720</v>
      </c>
      <c r="G742" s="4">
        <f>300*786.4</f>
        <v>235920</v>
      </c>
      <c r="H742" s="4">
        <f t="shared" si="360"/>
        <v>0</v>
      </c>
      <c r="I742" s="4">
        <f>250*786.4</f>
        <v>196600</v>
      </c>
      <c r="J742" s="4">
        <v>0</v>
      </c>
      <c r="K742" s="5">
        <v>0</v>
      </c>
      <c r="L742" s="4">
        <v>0</v>
      </c>
      <c r="M742" s="4">
        <v>554.70000000000005</v>
      </c>
      <c r="N742" s="4">
        <f t="shared" si="361"/>
        <v>3050850.0000000005</v>
      </c>
      <c r="O742" s="4">
        <v>0</v>
      </c>
      <c r="P742" s="4">
        <v>0</v>
      </c>
      <c r="Q742" s="4">
        <v>740</v>
      </c>
      <c r="R742" s="4">
        <f t="shared" si="362"/>
        <v>2220000</v>
      </c>
      <c r="S742" s="4">
        <v>0</v>
      </c>
      <c r="T742" s="4">
        <v>0</v>
      </c>
      <c r="U742" s="4">
        <v>100000</v>
      </c>
      <c r="V742" s="7">
        <f t="shared" si="363"/>
        <v>5500</v>
      </c>
    </row>
    <row r="743" spans="1:22" ht="21.95" customHeight="1" x14ac:dyDescent="0.25">
      <c r="A743" s="1" t="s">
        <v>1022</v>
      </c>
      <c r="B743" s="9" t="s">
        <v>349</v>
      </c>
      <c r="C743" s="3">
        <f t="shared" si="327"/>
        <v>7984895</v>
      </c>
      <c r="D743" s="4">
        <f t="shared" si="359"/>
        <v>1361295</v>
      </c>
      <c r="E743" s="4">
        <f>350*698.1</f>
        <v>244335</v>
      </c>
      <c r="F743" s="4">
        <f>1050*698.1</f>
        <v>733005</v>
      </c>
      <c r="G743" s="4">
        <f>300*698.1</f>
        <v>209430</v>
      </c>
      <c r="H743" s="4">
        <f t="shared" si="360"/>
        <v>0</v>
      </c>
      <c r="I743" s="4">
        <f>250*698.1</f>
        <v>174525</v>
      </c>
      <c r="J743" s="4">
        <v>0</v>
      </c>
      <c r="K743" s="5">
        <v>0</v>
      </c>
      <c r="L743" s="4">
        <v>0</v>
      </c>
      <c r="M743" s="4">
        <v>558.4</v>
      </c>
      <c r="N743" s="4">
        <f t="shared" si="361"/>
        <v>3071200</v>
      </c>
      <c r="O743" s="4">
        <v>0</v>
      </c>
      <c r="P743" s="4">
        <v>0</v>
      </c>
      <c r="Q743" s="4">
        <v>1150.8</v>
      </c>
      <c r="R743" s="4">
        <f t="shared" si="362"/>
        <v>3452400</v>
      </c>
      <c r="S743" s="4">
        <v>0</v>
      </c>
      <c r="T743" s="4">
        <v>0</v>
      </c>
      <c r="U743" s="4">
        <v>100000</v>
      </c>
      <c r="V743" s="7">
        <f t="shared" si="363"/>
        <v>5500</v>
      </c>
    </row>
    <row r="744" spans="1:22" ht="21.95" customHeight="1" x14ac:dyDescent="0.25">
      <c r="A744" s="1" t="s">
        <v>1023</v>
      </c>
      <c r="B744" s="9" t="s">
        <v>350</v>
      </c>
      <c r="C744" s="3">
        <f t="shared" si="327"/>
        <v>7217500</v>
      </c>
      <c r="D744" s="4">
        <f t="shared" si="359"/>
        <v>1524900</v>
      </c>
      <c r="E744" s="4">
        <f>350*782</f>
        <v>273700</v>
      </c>
      <c r="F744" s="4">
        <f>1050*782</f>
        <v>821100</v>
      </c>
      <c r="G744" s="4">
        <f>300*782</f>
        <v>234600</v>
      </c>
      <c r="H744" s="4">
        <f t="shared" si="360"/>
        <v>0</v>
      </c>
      <c r="I744" s="4">
        <f>250*782</f>
        <v>195500</v>
      </c>
      <c r="J744" s="4">
        <v>0</v>
      </c>
      <c r="K744" s="5">
        <v>0</v>
      </c>
      <c r="L744" s="4">
        <v>0</v>
      </c>
      <c r="M744" s="4">
        <v>613.20000000000005</v>
      </c>
      <c r="N744" s="4">
        <f t="shared" si="361"/>
        <v>3372600.0000000005</v>
      </c>
      <c r="O744" s="4">
        <v>0</v>
      </c>
      <c r="P744" s="4">
        <v>0</v>
      </c>
      <c r="Q744" s="4">
        <v>740</v>
      </c>
      <c r="R744" s="4">
        <f t="shared" si="362"/>
        <v>2220000</v>
      </c>
      <c r="S744" s="4">
        <v>0</v>
      </c>
      <c r="T744" s="4">
        <v>0</v>
      </c>
      <c r="U744" s="4">
        <v>100000</v>
      </c>
      <c r="V744" s="7">
        <f t="shared" si="363"/>
        <v>5500</v>
      </c>
    </row>
    <row r="745" spans="1:22" ht="21.95" customHeight="1" x14ac:dyDescent="0.25">
      <c r="A745" s="1" t="s">
        <v>1024</v>
      </c>
      <c r="B745" s="9" t="s">
        <v>351</v>
      </c>
      <c r="C745" s="3">
        <f t="shared" si="327"/>
        <v>7285600</v>
      </c>
      <c r="D745" s="4">
        <f t="shared" si="359"/>
        <v>1536600</v>
      </c>
      <c r="E745" s="4">
        <f>350*788</f>
        <v>275800</v>
      </c>
      <c r="F745" s="4">
        <f>1050*788</f>
        <v>827400</v>
      </c>
      <c r="G745" s="4">
        <f>300*788</f>
        <v>236400</v>
      </c>
      <c r="H745" s="4">
        <f t="shared" si="360"/>
        <v>0</v>
      </c>
      <c r="I745" s="4">
        <f>250*788</f>
        <v>197000</v>
      </c>
      <c r="J745" s="4">
        <v>0</v>
      </c>
      <c r="K745" s="5">
        <v>0</v>
      </c>
      <c r="L745" s="4">
        <v>0</v>
      </c>
      <c r="M745" s="4">
        <v>618</v>
      </c>
      <c r="N745" s="4">
        <f t="shared" si="361"/>
        <v>3399000</v>
      </c>
      <c r="O745" s="4">
        <v>0</v>
      </c>
      <c r="P745" s="4">
        <v>0</v>
      </c>
      <c r="Q745" s="4">
        <v>750</v>
      </c>
      <c r="R745" s="4">
        <f t="shared" si="362"/>
        <v>2250000</v>
      </c>
      <c r="S745" s="4">
        <v>0</v>
      </c>
      <c r="T745" s="4">
        <v>0</v>
      </c>
      <c r="U745" s="4">
        <v>100000</v>
      </c>
      <c r="V745" s="7">
        <f t="shared" si="363"/>
        <v>5500</v>
      </c>
    </row>
    <row r="746" spans="1:22" ht="21.95" customHeight="1" x14ac:dyDescent="0.25">
      <c r="A746" s="1" t="s">
        <v>1025</v>
      </c>
      <c r="B746" s="9" t="s">
        <v>352</v>
      </c>
      <c r="C746" s="3">
        <f t="shared" si="327"/>
        <v>7303000</v>
      </c>
      <c r="D746" s="4">
        <f t="shared" si="359"/>
        <v>1540500</v>
      </c>
      <c r="E746" s="4">
        <f>350*790</f>
        <v>276500</v>
      </c>
      <c r="F746" s="4">
        <f>1050*790</f>
        <v>829500</v>
      </c>
      <c r="G746" s="4">
        <f>300*790</f>
        <v>237000</v>
      </c>
      <c r="H746" s="4">
        <f t="shared" si="360"/>
        <v>0</v>
      </c>
      <c r="I746" s="4">
        <f>250*790</f>
        <v>197500</v>
      </c>
      <c r="J746" s="4">
        <v>0</v>
      </c>
      <c r="K746" s="5">
        <v>0</v>
      </c>
      <c r="L746" s="4">
        <v>0</v>
      </c>
      <c r="M746" s="4">
        <v>615</v>
      </c>
      <c r="N746" s="4">
        <f t="shared" si="361"/>
        <v>3382500</v>
      </c>
      <c r="O746" s="4">
        <v>0</v>
      </c>
      <c r="P746" s="4">
        <v>0</v>
      </c>
      <c r="Q746" s="4">
        <v>760</v>
      </c>
      <c r="R746" s="4">
        <f t="shared" si="362"/>
        <v>2280000</v>
      </c>
      <c r="S746" s="4">
        <v>0</v>
      </c>
      <c r="T746" s="4">
        <v>0</v>
      </c>
      <c r="U746" s="4">
        <v>100000</v>
      </c>
      <c r="V746" s="7">
        <f t="shared" si="363"/>
        <v>5500</v>
      </c>
    </row>
    <row r="747" spans="1:22" ht="21.95" customHeight="1" x14ac:dyDescent="0.25">
      <c r="A747" s="1" t="s">
        <v>1026</v>
      </c>
      <c r="B747" s="9" t="s">
        <v>353</v>
      </c>
      <c r="C747" s="3">
        <f t="shared" si="327"/>
        <v>19934700</v>
      </c>
      <c r="D747" s="4">
        <f t="shared" si="359"/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5">
        <v>0</v>
      </c>
      <c r="L747" s="4">
        <v>0</v>
      </c>
      <c r="M747" s="4">
        <v>1706.2</v>
      </c>
      <c r="N747" s="4">
        <f t="shared" si="361"/>
        <v>9384100</v>
      </c>
      <c r="O747" s="4">
        <v>0</v>
      </c>
      <c r="P747" s="4">
        <v>0</v>
      </c>
      <c r="Q747" s="4">
        <v>3450.2</v>
      </c>
      <c r="R747" s="4">
        <f t="shared" si="362"/>
        <v>10350600</v>
      </c>
      <c r="S747" s="4">
        <v>0</v>
      </c>
      <c r="T747" s="4">
        <v>0</v>
      </c>
      <c r="U747" s="4">
        <v>200000</v>
      </c>
      <c r="V747" s="7">
        <f t="shared" si="363"/>
        <v>5500</v>
      </c>
    </row>
    <row r="748" spans="1:22" ht="21.95" customHeight="1" x14ac:dyDescent="0.25">
      <c r="A748" s="1" t="s">
        <v>1027</v>
      </c>
      <c r="B748" s="9" t="s">
        <v>354</v>
      </c>
      <c r="C748" s="3">
        <f t="shared" si="327"/>
        <v>26317605</v>
      </c>
      <c r="D748" s="4">
        <f t="shared" si="359"/>
        <v>8656225</v>
      </c>
      <c r="E748" s="4">
        <f>350*3683.5</f>
        <v>1289225</v>
      </c>
      <c r="F748" s="4">
        <f>1050*3683.5</f>
        <v>3867675</v>
      </c>
      <c r="G748" s="4">
        <f>300*3683.5</f>
        <v>1105050</v>
      </c>
      <c r="H748" s="4">
        <f>400*3683.5</f>
        <v>1473400</v>
      </c>
      <c r="I748" s="4">
        <f>250*3683.5</f>
        <v>920875</v>
      </c>
      <c r="J748" s="4">
        <v>0</v>
      </c>
      <c r="K748" s="5">
        <v>0</v>
      </c>
      <c r="L748" s="4">
        <v>0</v>
      </c>
      <c r="M748" s="6">
        <v>1794.6</v>
      </c>
      <c r="N748" s="6">
        <v>9511380</v>
      </c>
      <c r="O748" s="4">
        <v>0</v>
      </c>
      <c r="P748" s="4">
        <v>0</v>
      </c>
      <c r="Q748" s="4">
        <v>2650</v>
      </c>
      <c r="R748" s="4">
        <f t="shared" si="362"/>
        <v>7950000</v>
      </c>
      <c r="S748" s="4">
        <v>0</v>
      </c>
      <c r="T748" s="4">
        <v>0</v>
      </c>
      <c r="U748" s="4">
        <v>200000</v>
      </c>
      <c r="V748" s="7" t="e">
        <f>#REF!/#REF!</f>
        <v>#REF!</v>
      </c>
    </row>
    <row r="749" spans="1:22" ht="21.95" customHeight="1" x14ac:dyDescent="0.25">
      <c r="A749" s="1" t="s">
        <v>1028</v>
      </c>
      <c r="B749" s="9" t="s">
        <v>355</v>
      </c>
      <c r="C749" s="3">
        <f t="shared" si="327"/>
        <v>4527170</v>
      </c>
      <c r="D749" s="4">
        <f t="shared" si="359"/>
        <v>894270</v>
      </c>
      <c r="E749" s="4">
        <f>350*458.6</f>
        <v>160510</v>
      </c>
      <c r="F749" s="4">
        <f>1050*458.6</f>
        <v>481530</v>
      </c>
      <c r="G749" s="4">
        <f>300*458.6</f>
        <v>137580</v>
      </c>
      <c r="H749" s="4">
        <f>400*0</f>
        <v>0</v>
      </c>
      <c r="I749" s="4">
        <f>250*458.6</f>
        <v>114650</v>
      </c>
      <c r="J749" s="4">
        <v>0</v>
      </c>
      <c r="K749" s="5">
        <v>0</v>
      </c>
      <c r="L749" s="4">
        <v>0</v>
      </c>
      <c r="M749" s="4">
        <v>362.2</v>
      </c>
      <c r="N749" s="4">
        <f t="shared" ref="N749:N753" si="364">M749*5500</f>
        <v>1992100</v>
      </c>
      <c r="O749" s="4">
        <v>0</v>
      </c>
      <c r="P749" s="4">
        <v>0</v>
      </c>
      <c r="Q749" s="4">
        <v>513.6</v>
      </c>
      <c r="R749" s="4">
        <f t="shared" si="362"/>
        <v>1540800</v>
      </c>
      <c r="S749" s="4">
        <v>0</v>
      </c>
      <c r="T749" s="4">
        <v>0</v>
      </c>
      <c r="U749" s="4">
        <v>100000</v>
      </c>
      <c r="V749" s="7">
        <f t="shared" si="363"/>
        <v>5500</v>
      </c>
    </row>
    <row r="750" spans="1:22" ht="21.95" customHeight="1" x14ac:dyDescent="0.25">
      <c r="A750" s="1" t="s">
        <v>1029</v>
      </c>
      <c r="B750" s="9" t="s">
        <v>356</v>
      </c>
      <c r="C750" s="3">
        <f t="shared" si="327"/>
        <v>8361230</v>
      </c>
      <c r="D750" s="4">
        <f t="shared" si="359"/>
        <v>2013180</v>
      </c>
      <c r="E750" s="4">
        <f>350*1032.4</f>
        <v>361340.00000000006</v>
      </c>
      <c r="F750" s="4">
        <f>1050*1032.4</f>
        <v>1084020</v>
      </c>
      <c r="G750" s="4">
        <f>300*1032.4</f>
        <v>309720</v>
      </c>
      <c r="H750" s="4">
        <f>400*0</f>
        <v>0</v>
      </c>
      <c r="I750" s="4">
        <f>250*1032.4</f>
        <v>258100.00000000003</v>
      </c>
      <c r="J750" s="4">
        <v>0</v>
      </c>
      <c r="K750" s="5">
        <v>0</v>
      </c>
      <c r="L750" s="4">
        <v>0</v>
      </c>
      <c r="M750" s="4">
        <v>668.5</v>
      </c>
      <c r="N750" s="4">
        <f t="shared" si="364"/>
        <v>3676750</v>
      </c>
      <c r="O750" s="4">
        <v>0</v>
      </c>
      <c r="P750" s="4">
        <v>0</v>
      </c>
      <c r="Q750" s="4">
        <v>857.1</v>
      </c>
      <c r="R750" s="4">
        <f t="shared" si="362"/>
        <v>2571300</v>
      </c>
      <c r="S750" s="4">
        <v>0</v>
      </c>
      <c r="T750" s="4">
        <v>0</v>
      </c>
      <c r="U750" s="4">
        <v>100000</v>
      </c>
      <c r="V750" s="7">
        <f t="shared" si="363"/>
        <v>5500</v>
      </c>
    </row>
    <row r="751" spans="1:22" ht="21.95" customHeight="1" x14ac:dyDescent="0.25">
      <c r="A751" s="1" t="s">
        <v>1916</v>
      </c>
      <c r="B751" s="9" t="s">
        <v>357</v>
      </c>
      <c r="C751" s="3">
        <f t="shared" si="327"/>
        <v>14797190</v>
      </c>
      <c r="D751" s="4">
        <f t="shared" si="359"/>
        <v>4454190</v>
      </c>
      <c r="E751" s="4">
        <f>350*1895.4</f>
        <v>663390</v>
      </c>
      <c r="F751" s="4">
        <f>1050*1895.4</f>
        <v>1990170</v>
      </c>
      <c r="G751" s="4">
        <f>300*1895.4</f>
        <v>568620</v>
      </c>
      <c r="H751" s="4">
        <f>400*1895.4</f>
        <v>758160</v>
      </c>
      <c r="I751" s="4">
        <f>250*1895.4</f>
        <v>473850</v>
      </c>
      <c r="J751" s="4">
        <v>0</v>
      </c>
      <c r="K751" s="5">
        <v>0</v>
      </c>
      <c r="L751" s="4">
        <v>0</v>
      </c>
      <c r="M751" s="4">
        <v>886</v>
      </c>
      <c r="N751" s="4">
        <f t="shared" si="364"/>
        <v>4873000</v>
      </c>
      <c r="O751" s="4">
        <v>0</v>
      </c>
      <c r="P751" s="4">
        <v>0</v>
      </c>
      <c r="Q751" s="4">
        <v>1790</v>
      </c>
      <c r="R751" s="4">
        <f t="shared" si="362"/>
        <v>5370000</v>
      </c>
      <c r="S751" s="4">
        <v>0</v>
      </c>
      <c r="T751" s="4">
        <v>0</v>
      </c>
      <c r="U751" s="4">
        <v>100000</v>
      </c>
      <c r="V751" s="7">
        <f t="shared" si="363"/>
        <v>5500</v>
      </c>
    </row>
    <row r="752" spans="1:22" ht="21.95" customHeight="1" x14ac:dyDescent="0.25">
      <c r="A752" s="1" t="s">
        <v>1030</v>
      </c>
      <c r="B752" s="9" t="s">
        <v>358</v>
      </c>
      <c r="C752" s="3">
        <f t="shared" si="327"/>
        <v>4754210</v>
      </c>
      <c r="D752" s="4">
        <f t="shared" si="359"/>
        <v>1007210</v>
      </c>
      <c r="E752" s="4">
        <f>350*428.6</f>
        <v>150010</v>
      </c>
      <c r="F752" s="4">
        <f>1050*428.6</f>
        <v>450030</v>
      </c>
      <c r="G752" s="4">
        <f>300*428.6</f>
        <v>128580</v>
      </c>
      <c r="H752" s="4">
        <f>400*428.6</f>
        <v>171440</v>
      </c>
      <c r="I752" s="4">
        <f>250*428.6</f>
        <v>107150</v>
      </c>
      <c r="J752" s="4">
        <v>0</v>
      </c>
      <c r="K752" s="5">
        <v>0</v>
      </c>
      <c r="L752" s="4">
        <v>0</v>
      </c>
      <c r="M752" s="4">
        <v>377.6</v>
      </c>
      <c r="N752" s="4">
        <f t="shared" si="364"/>
        <v>2076800.0000000002</v>
      </c>
      <c r="O752" s="4">
        <v>0</v>
      </c>
      <c r="P752" s="4">
        <v>0</v>
      </c>
      <c r="Q752" s="4">
        <v>523.4</v>
      </c>
      <c r="R752" s="4">
        <f t="shared" si="362"/>
        <v>1570200</v>
      </c>
      <c r="S752" s="4">
        <v>0</v>
      </c>
      <c r="T752" s="4">
        <v>0</v>
      </c>
      <c r="U752" s="4">
        <v>100000</v>
      </c>
      <c r="V752" s="7">
        <f t="shared" si="363"/>
        <v>5500</v>
      </c>
    </row>
    <row r="753" spans="1:22" ht="21.95" customHeight="1" x14ac:dyDescent="0.25">
      <c r="A753" s="1" t="s">
        <v>1613</v>
      </c>
      <c r="B753" s="9" t="s">
        <v>359</v>
      </c>
      <c r="C753" s="3">
        <f t="shared" si="327"/>
        <v>12305515</v>
      </c>
      <c r="D753" s="4">
        <f t="shared" si="359"/>
        <v>3640065</v>
      </c>
      <c r="E753" s="4">
        <f>350*1866.7</f>
        <v>653345</v>
      </c>
      <c r="F753" s="4">
        <f>1050*1866.7</f>
        <v>1960035</v>
      </c>
      <c r="G753" s="4">
        <f>300*1866.7</f>
        <v>560010</v>
      </c>
      <c r="H753" s="4">
        <f>400*0</f>
        <v>0</v>
      </c>
      <c r="I753" s="4">
        <f>250*1866.7</f>
        <v>466675</v>
      </c>
      <c r="J753" s="4">
        <v>0</v>
      </c>
      <c r="K753" s="5">
        <v>0</v>
      </c>
      <c r="L753" s="4">
        <v>0</v>
      </c>
      <c r="M753" s="4">
        <v>791.7</v>
      </c>
      <c r="N753" s="4">
        <f t="shared" si="364"/>
        <v>4354350</v>
      </c>
      <c r="O753" s="4">
        <v>0</v>
      </c>
      <c r="P753" s="4">
        <v>0</v>
      </c>
      <c r="Q753" s="4">
        <v>1403.7</v>
      </c>
      <c r="R753" s="4">
        <f t="shared" si="362"/>
        <v>4211100</v>
      </c>
      <c r="S753" s="4">
        <v>0</v>
      </c>
      <c r="T753" s="4">
        <v>0</v>
      </c>
      <c r="U753" s="4">
        <v>100000</v>
      </c>
      <c r="V753" s="7">
        <f t="shared" si="363"/>
        <v>5500</v>
      </c>
    </row>
    <row r="754" spans="1:22" ht="45" customHeight="1" x14ac:dyDescent="0.25">
      <c r="A754" s="55" t="s">
        <v>377</v>
      </c>
      <c r="B754" s="55"/>
      <c r="C754" s="3">
        <f>SUM(C755:C756)</f>
        <v>3834311.8</v>
      </c>
      <c r="D754" s="3">
        <f t="shared" ref="D754:U754" si="365">SUM(D755:D756)</f>
        <v>90125</v>
      </c>
      <c r="E754" s="3">
        <f t="shared" si="365"/>
        <v>90125</v>
      </c>
      <c r="F754" s="3">
        <f t="shared" si="365"/>
        <v>0</v>
      </c>
      <c r="G754" s="3">
        <f t="shared" si="365"/>
        <v>0</v>
      </c>
      <c r="H754" s="3">
        <f t="shared" si="365"/>
        <v>0</v>
      </c>
      <c r="I754" s="3">
        <f t="shared" si="365"/>
        <v>0</v>
      </c>
      <c r="J754" s="3">
        <f t="shared" si="365"/>
        <v>0</v>
      </c>
      <c r="K754" s="15">
        <f t="shared" si="365"/>
        <v>0</v>
      </c>
      <c r="L754" s="3">
        <f t="shared" si="365"/>
        <v>0</v>
      </c>
      <c r="M754" s="3">
        <f t="shared" si="365"/>
        <v>588.79999999999995</v>
      </c>
      <c r="N754" s="3">
        <f t="shared" si="365"/>
        <v>2632886.7999999998</v>
      </c>
      <c r="O754" s="3">
        <f t="shared" si="365"/>
        <v>0</v>
      </c>
      <c r="P754" s="3">
        <f t="shared" si="365"/>
        <v>0</v>
      </c>
      <c r="Q754" s="3">
        <f t="shared" si="365"/>
        <v>296.5</v>
      </c>
      <c r="R754" s="3">
        <f t="shared" si="365"/>
        <v>889500</v>
      </c>
      <c r="S754" s="3">
        <f t="shared" si="365"/>
        <v>121800</v>
      </c>
      <c r="T754" s="3">
        <f t="shared" si="365"/>
        <v>0</v>
      </c>
      <c r="U754" s="3">
        <f t="shared" si="365"/>
        <v>100000</v>
      </c>
      <c r="V754" s="21">
        <f>C754</f>
        <v>3834311.8</v>
      </c>
    </row>
    <row r="755" spans="1:22" ht="21.95" customHeight="1" x14ac:dyDescent="0.25">
      <c r="A755" s="1" t="s">
        <v>1031</v>
      </c>
      <c r="B755" s="9" t="s">
        <v>374</v>
      </c>
      <c r="C755" s="3">
        <f t="shared" si="327"/>
        <v>2603925</v>
      </c>
      <c r="D755" s="4">
        <f t="shared" ref="D755:D756" si="366">SUM(E755:J755)</f>
        <v>90125</v>
      </c>
      <c r="E755" s="4">
        <f>350*257.5</f>
        <v>90125</v>
      </c>
      <c r="F755" s="4">
        <f>1050*0</f>
        <v>0</v>
      </c>
      <c r="G755" s="4">
        <f>350*0</f>
        <v>0</v>
      </c>
      <c r="H755" s="4">
        <f>400*0</f>
        <v>0</v>
      </c>
      <c r="I755" s="4">
        <f>250*0</f>
        <v>0</v>
      </c>
      <c r="J755" s="4">
        <v>0</v>
      </c>
      <c r="K755" s="5">
        <v>0</v>
      </c>
      <c r="L755" s="4">
        <v>0</v>
      </c>
      <c r="M755" s="4">
        <v>255</v>
      </c>
      <c r="N755" s="4">
        <f t="shared" ref="N755" si="367">M755*5500</f>
        <v>1402500</v>
      </c>
      <c r="O755" s="4">
        <v>0</v>
      </c>
      <c r="P755" s="4">
        <v>0</v>
      </c>
      <c r="Q755" s="4">
        <v>296.5</v>
      </c>
      <c r="R755" s="4">
        <f>Q755*3000</f>
        <v>889500</v>
      </c>
      <c r="S755" s="4">
        <v>121800</v>
      </c>
      <c r="T755" s="4">
        <v>0</v>
      </c>
      <c r="U755" s="4">
        <v>100000</v>
      </c>
      <c r="V755" s="7">
        <f t="shared" ref="V755:V756" si="368">N755/M755</f>
        <v>5500</v>
      </c>
    </row>
    <row r="756" spans="1:22" ht="21.95" customHeight="1" x14ac:dyDescent="0.25">
      <c r="A756" s="1" t="s">
        <v>1032</v>
      </c>
      <c r="B756" s="9" t="s">
        <v>1616</v>
      </c>
      <c r="C756" s="3">
        <f t="shared" si="327"/>
        <v>1230386.8</v>
      </c>
      <c r="D756" s="4">
        <f t="shared" si="366"/>
        <v>0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5">
        <v>0</v>
      </c>
      <c r="L756" s="4">
        <v>0</v>
      </c>
      <c r="M756" s="4">
        <v>333.8</v>
      </c>
      <c r="N756" s="4">
        <f>M756*3686</f>
        <v>1230386.8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7">
        <f t="shared" si="368"/>
        <v>3686</v>
      </c>
    </row>
    <row r="757" spans="1:22" ht="45" customHeight="1" x14ac:dyDescent="0.25">
      <c r="A757" s="55" t="s">
        <v>376</v>
      </c>
      <c r="B757" s="55"/>
      <c r="C757" s="3">
        <f>SUM(C758)</f>
        <v>3354260</v>
      </c>
      <c r="D757" s="3">
        <f t="shared" ref="D757:U757" si="369">SUM(D758)</f>
        <v>0</v>
      </c>
      <c r="E757" s="3">
        <f t="shared" si="369"/>
        <v>0</v>
      </c>
      <c r="F757" s="3">
        <f t="shared" si="369"/>
        <v>0</v>
      </c>
      <c r="G757" s="3">
        <f t="shared" si="369"/>
        <v>0</v>
      </c>
      <c r="H757" s="3">
        <f t="shared" si="369"/>
        <v>0</v>
      </c>
      <c r="I757" s="3">
        <f t="shared" si="369"/>
        <v>0</v>
      </c>
      <c r="J757" s="3">
        <f t="shared" si="369"/>
        <v>0</v>
      </c>
      <c r="K757" s="15">
        <f t="shared" si="369"/>
        <v>0</v>
      </c>
      <c r="L757" s="3">
        <f t="shared" si="369"/>
        <v>0</v>
      </c>
      <c r="M757" s="3">
        <f t="shared" si="369"/>
        <v>910</v>
      </c>
      <c r="N757" s="3">
        <f t="shared" si="369"/>
        <v>3354260</v>
      </c>
      <c r="O757" s="3">
        <f t="shared" si="369"/>
        <v>0</v>
      </c>
      <c r="P757" s="3">
        <f t="shared" si="369"/>
        <v>0</v>
      </c>
      <c r="Q757" s="3">
        <f t="shared" si="369"/>
        <v>0</v>
      </c>
      <c r="R757" s="3">
        <f t="shared" si="369"/>
        <v>0</v>
      </c>
      <c r="S757" s="3">
        <f t="shared" si="369"/>
        <v>0</v>
      </c>
      <c r="T757" s="3">
        <f t="shared" si="369"/>
        <v>0</v>
      </c>
      <c r="U757" s="3">
        <f t="shared" si="369"/>
        <v>0</v>
      </c>
      <c r="V757" s="21">
        <f>C757</f>
        <v>3354260</v>
      </c>
    </row>
    <row r="758" spans="1:22" ht="21.95" customHeight="1" x14ac:dyDescent="0.25">
      <c r="A758" s="1" t="s">
        <v>1033</v>
      </c>
      <c r="B758" s="36" t="s">
        <v>1617</v>
      </c>
      <c r="C758" s="3">
        <f t="shared" si="327"/>
        <v>3354260</v>
      </c>
      <c r="D758" s="4">
        <f t="shared" ref="D758" si="370">SUM(E758:J758)</f>
        <v>0</v>
      </c>
      <c r="E758" s="4">
        <v>0</v>
      </c>
      <c r="F758" s="4">
        <f>1050*0</f>
        <v>0</v>
      </c>
      <c r="G758" s="4">
        <f>350*0</f>
        <v>0</v>
      </c>
      <c r="H758" s="4">
        <f>400*0</f>
        <v>0</v>
      </c>
      <c r="I758" s="4">
        <f>250*0</f>
        <v>0</v>
      </c>
      <c r="J758" s="4">
        <v>0</v>
      </c>
      <c r="K758" s="5">
        <v>0</v>
      </c>
      <c r="L758" s="4">
        <v>0</v>
      </c>
      <c r="M758" s="4">
        <v>910</v>
      </c>
      <c r="N758" s="4">
        <f>M758*3686</f>
        <v>3354260</v>
      </c>
      <c r="O758" s="4">
        <v>0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4">
        <v>0</v>
      </c>
      <c r="V758" s="7">
        <f t="shared" ref="V758" si="371">N758/M758</f>
        <v>3686</v>
      </c>
    </row>
    <row r="759" spans="1:22" s="17" customFormat="1" ht="24.95" customHeight="1" x14ac:dyDescent="0.25">
      <c r="A759" s="57" t="s">
        <v>211</v>
      </c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16"/>
    </row>
    <row r="760" spans="1:22" ht="24.95" customHeight="1" x14ac:dyDescent="0.25">
      <c r="A760" s="56" t="s">
        <v>212</v>
      </c>
      <c r="B760" s="56"/>
      <c r="C760" s="3">
        <f>C761+C764+C784+C787+C791+C794+C797+C801+C803+C806+C811+C813+C819+C821+C825+C827+C829+C831+C833+C838+C840+C856+C861+C866+C868+C879+C882+C885+C1059+C1061+C1063+C1065+C1067+C1071+C1074+C1077+C1079+C1081+C1083+C1086+C1088+C1101+C1105</f>
        <v>1352629155.6599998</v>
      </c>
      <c r="D760" s="3">
        <f t="shared" ref="D760:U760" si="372">D761+D764+D784+D787+D791+D794+D797+D801+D803+D806+D811+D813+D819+D821+D825+D827+D829+D831+D833+D838+D840+D856+D861+D866+D868+D879+D882+D885+D1059+D1061+D1063+D1065+D1067+D1071+D1074+D1077+D1079+D1081+D1083+D1086+D1088+D1105</f>
        <v>292717022.5</v>
      </c>
      <c r="E760" s="3">
        <f t="shared" si="372"/>
        <v>49267932</v>
      </c>
      <c r="F760" s="3">
        <f t="shared" si="372"/>
        <v>138017187</v>
      </c>
      <c r="G760" s="3">
        <f t="shared" si="372"/>
        <v>39709509</v>
      </c>
      <c r="H760" s="3">
        <f t="shared" si="372"/>
        <v>32007992</v>
      </c>
      <c r="I760" s="3">
        <f t="shared" si="372"/>
        <v>33714402.5</v>
      </c>
      <c r="J760" s="3">
        <f t="shared" si="372"/>
        <v>0</v>
      </c>
      <c r="K760" s="15">
        <f t="shared" si="372"/>
        <v>6</v>
      </c>
      <c r="L760" s="3">
        <f t="shared" si="372"/>
        <v>13200000</v>
      </c>
      <c r="M760" s="3">
        <f t="shared" si="372"/>
        <v>148565.20000000001</v>
      </c>
      <c r="N760" s="3">
        <f t="shared" si="372"/>
        <v>777385679.15999997</v>
      </c>
      <c r="O760" s="3">
        <f t="shared" si="372"/>
        <v>1768.9</v>
      </c>
      <c r="P760" s="3">
        <f t="shared" si="372"/>
        <v>2525760</v>
      </c>
      <c r="Q760" s="3">
        <f t="shared" si="372"/>
        <v>82950.740000000005</v>
      </c>
      <c r="R760" s="3">
        <f t="shared" si="372"/>
        <v>248852220</v>
      </c>
      <c r="S760" s="3">
        <f t="shared" si="372"/>
        <v>2736874</v>
      </c>
      <c r="T760" s="3">
        <f t="shared" si="372"/>
        <v>0</v>
      </c>
      <c r="U760" s="3">
        <f t="shared" si="372"/>
        <v>10000000</v>
      </c>
    </row>
    <row r="761" spans="1:22" ht="45" customHeight="1" x14ac:dyDescent="0.25">
      <c r="A761" s="55" t="s">
        <v>1922</v>
      </c>
      <c r="B761" s="55"/>
      <c r="C761" s="3">
        <f>SUM(C762:C763)</f>
        <v>9839500</v>
      </c>
      <c r="D761" s="3">
        <f t="shared" ref="D761:U761" si="373">SUM(D762:D763)</f>
        <v>0</v>
      </c>
      <c r="E761" s="3">
        <f t="shared" si="373"/>
        <v>0</v>
      </c>
      <c r="F761" s="3">
        <f t="shared" si="373"/>
        <v>0</v>
      </c>
      <c r="G761" s="3">
        <f t="shared" si="373"/>
        <v>0</v>
      </c>
      <c r="H761" s="3">
        <f t="shared" si="373"/>
        <v>0</v>
      </c>
      <c r="I761" s="3">
        <f t="shared" si="373"/>
        <v>0</v>
      </c>
      <c r="J761" s="3">
        <f t="shared" si="373"/>
        <v>0</v>
      </c>
      <c r="K761" s="15">
        <f t="shared" si="373"/>
        <v>0</v>
      </c>
      <c r="L761" s="3">
        <f t="shared" si="373"/>
        <v>0</v>
      </c>
      <c r="M761" s="3">
        <f t="shared" si="373"/>
        <v>1789</v>
      </c>
      <c r="N761" s="3">
        <f t="shared" si="373"/>
        <v>9839500</v>
      </c>
      <c r="O761" s="3">
        <f t="shared" si="373"/>
        <v>0</v>
      </c>
      <c r="P761" s="3">
        <f t="shared" si="373"/>
        <v>0</v>
      </c>
      <c r="Q761" s="3">
        <f t="shared" si="373"/>
        <v>0</v>
      </c>
      <c r="R761" s="3">
        <f t="shared" si="373"/>
        <v>0</v>
      </c>
      <c r="S761" s="3">
        <f t="shared" si="373"/>
        <v>0</v>
      </c>
      <c r="T761" s="3">
        <f t="shared" si="373"/>
        <v>0</v>
      </c>
      <c r="U761" s="3">
        <f t="shared" si="373"/>
        <v>0</v>
      </c>
    </row>
    <row r="762" spans="1:22" ht="21.95" customHeight="1" x14ac:dyDescent="0.25">
      <c r="A762" s="1" t="s">
        <v>1034</v>
      </c>
      <c r="B762" s="20" t="s">
        <v>19</v>
      </c>
      <c r="C762" s="3">
        <f t="shared" ref="C762:C823" si="374">D762+L762+N762+P762+R762+S762+T762+U762</f>
        <v>5197500</v>
      </c>
      <c r="D762" s="4">
        <f t="shared" ref="D762:D763" si="375">SUM(E762:J762)</f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5">
        <v>0</v>
      </c>
      <c r="L762" s="4">
        <v>0</v>
      </c>
      <c r="M762" s="4">
        <v>945</v>
      </c>
      <c r="N762" s="4">
        <f t="shared" ref="N762:N763" si="376">M762*5500</f>
        <v>5197500</v>
      </c>
      <c r="O762" s="4">
        <v>0</v>
      </c>
      <c r="P762" s="4">
        <v>0</v>
      </c>
      <c r="Q762" s="4">
        <v>0</v>
      </c>
      <c r="R762" s="4">
        <f t="shared" ref="R762:R763" si="377">Q762*3000</f>
        <v>0</v>
      </c>
      <c r="S762" s="4">
        <v>0</v>
      </c>
      <c r="T762" s="4">
        <v>0</v>
      </c>
      <c r="U762" s="4">
        <v>0</v>
      </c>
      <c r="V762" s="7">
        <f t="shared" ref="V762:V763" si="378">N762/M762</f>
        <v>5500</v>
      </c>
    </row>
    <row r="763" spans="1:22" ht="21.95" customHeight="1" x14ac:dyDescent="0.25">
      <c r="A763" s="1" t="s">
        <v>1035</v>
      </c>
      <c r="B763" s="20" t="s">
        <v>24</v>
      </c>
      <c r="C763" s="3">
        <f t="shared" si="374"/>
        <v>4642000</v>
      </c>
      <c r="D763" s="4">
        <f t="shared" si="375"/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5">
        <v>0</v>
      </c>
      <c r="L763" s="4">
        <v>0</v>
      </c>
      <c r="M763" s="4">
        <v>844</v>
      </c>
      <c r="N763" s="4">
        <f t="shared" si="376"/>
        <v>4642000</v>
      </c>
      <c r="O763" s="4">
        <v>0</v>
      </c>
      <c r="P763" s="4">
        <v>0</v>
      </c>
      <c r="Q763" s="4">
        <v>0</v>
      </c>
      <c r="R763" s="4">
        <f t="shared" si="377"/>
        <v>0</v>
      </c>
      <c r="S763" s="4">
        <v>0</v>
      </c>
      <c r="T763" s="4">
        <v>0</v>
      </c>
      <c r="U763" s="4">
        <v>0</v>
      </c>
      <c r="V763" s="7">
        <f t="shared" si="378"/>
        <v>5500</v>
      </c>
    </row>
    <row r="764" spans="1:22" ht="45" customHeight="1" x14ac:dyDescent="0.25">
      <c r="A764" s="55" t="s">
        <v>0</v>
      </c>
      <c r="B764" s="55"/>
      <c r="C764" s="3">
        <f>SUM(C765:C783)</f>
        <v>122005701.80000001</v>
      </c>
      <c r="D764" s="3">
        <f t="shared" ref="D764:U764" si="379">SUM(D765:D783)</f>
        <v>19333351.5</v>
      </c>
      <c r="E764" s="3">
        <f t="shared" si="379"/>
        <v>3574095</v>
      </c>
      <c r="F764" s="3">
        <f t="shared" si="379"/>
        <v>10142821.5</v>
      </c>
      <c r="G764" s="3">
        <f t="shared" si="379"/>
        <v>3063510</v>
      </c>
      <c r="H764" s="3">
        <f t="shared" si="379"/>
        <v>0</v>
      </c>
      <c r="I764" s="3">
        <f t="shared" si="379"/>
        <v>2552925</v>
      </c>
      <c r="J764" s="3">
        <f t="shared" si="379"/>
        <v>0</v>
      </c>
      <c r="K764" s="15">
        <f t="shared" si="379"/>
        <v>0</v>
      </c>
      <c r="L764" s="3">
        <f t="shared" si="379"/>
        <v>0</v>
      </c>
      <c r="M764" s="3">
        <f t="shared" si="379"/>
        <v>16981.579999999998</v>
      </c>
      <c r="N764" s="3">
        <f t="shared" si="379"/>
        <v>82544530.299999997</v>
      </c>
      <c r="O764" s="3">
        <f t="shared" si="379"/>
        <v>0</v>
      </c>
      <c r="P764" s="3">
        <f t="shared" si="379"/>
        <v>0</v>
      </c>
      <c r="Q764" s="3">
        <f t="shared" si="379"/>
        <v>6575.94</v>
      </c>
      <c r="R764" s="3">
        <f t="shared" si="379"/>
        <v>19727820</v>
      </c>
      <c r="S764" s="3">
        <f t="shared" si="379"/>
        <v>0</v>
      </c>
      <c r="T764" s="3">
        <f t="shared" si="379"/>
        <v>0</v>
      </c>
      <c r="U764" s="3">
        <f t="shared" si="379"/>
        <v>400000</v>
      </c>
    </row>
    <row r="765" spans="1:22" ht="20.100000000000001" customHeight="1" x14ac:dyDescent="0.25">
      <c r="A765" s="1" t="s">
        <v>1036</v>
      </c>
      <c r="B765" s="9" t="s">
        <v>1386</v>
      </c>
      <c r="C765" s="3">
        <f t="shared" si="374"/>
        <v>12359158</v>
      </c>
      <c r="D765" s="4">
        <f t="shared" ref="D765:D783" si="380">SUM(E765:J765)</f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12">
        <v>0</v>
      </c>
      <c r="L765" s="6">
        <v>0</v>
      </c>
      <c r="M765" s="6">
        <v>3353</v>
      </c>
      <c r="N765" s="4">
        <f>M765*3686</f>
        <v>12359158</v>
      </c>
      <c r="O765" s="6">
        <v>0</v>
      </c>
      <c r="P765" s="6">
        <v>0</v>
      </c>
      <c r="Q765" s="6">
        <v>0</v>
      </c>
      <c r="R765" s="4">
        <f t="shared" ref="R765:R783" si="381">Q765*3000</f>
        <v>0</v>
      </c>
      <c r="S765" s="6">
        <v>0</v>
      </c>
      <c r="T765" s="6">
        <v>0</v>
      </c>
      <c r="U765" s="6">
        <v>0</v>
      </c>
      <c r="V765" s="7">
        <f t="shared" ref="V765:V783" si="382">N765/M765</f>
        <v>3686</v>
      </c>
    </row>
    <row r="766" spans="1:22" ht="20.100000000000001" customHeight="1" x14ac:dyDescent="0.25">
      <c r="A766" s="1" t="s">
        <v>1037</v>
      </c>
      <c r="B766" s="9" t="s">
        <v>46</v>
      </c>
      <c r="C766" s="3">
        <f t="shared" si="374"/>
        <v>2827500</v>
      </c>
      <c r="D766" s="4">
        <f t="shared" si="380"/>
        <v>0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5">
        <v>0</v>
      </c>
      <c r="L766" s="4">
        <v>0</v>
      </c>
      <c r="M766" s="4">
        <v>0</v>
      </c>
      <c r="N766" s="23">
        <v>0</v>
      </c>
      <c r="O766" s="4">
        <v>0</v>
      </c>
      <c r="P766" s="4">
        <v>0</v>
      </c>
      <c r="Q766" s="4">
        <v>942.5</v>
      </c>
      <c r="R766" s="4">
        <f t="shared" si="381"/>
        <v>2827500</v>
      </c>
      <c r="S766" s="4">
        <v>0</v>
      </c>
      <c r="T766" s="6">
        <v>0</v>
      </c>
      <c r="U766" s="4">
        <v>0</v>
      </c>
      <c r="V766" s="7" t="e">
        <f t="shared" si="382"/>
        <v>#DIV/0!</v>
      </c>
    </row>
    <row r="767" spans="1:22" ht="20.100000000000001" customHeight="1" x14ac:dyDescent="0.25">
      <c r="A767" s="1" t="s">
        <v>1038</v>
      </c>
      <c r="B767" s="9" t="s">
        <v>49</v>
      </c>
      <c r="C767" s="3">
        <f t="shared" si="374"/>
        <v>10386860</v>
      </c>
      <c r="D767" s="4">
        <f t="shared" si="380"/>
        <v>0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5">
        <v>0</v>
      </c>
      <c r="L767" s="4">
        <v>0</v>
      </c>
      <c r="M767" s="4">
        <v>946.28</v>
      </c>
      <c r="N767" s="4">
        <f t="shared" ref="N767" si="383">M767*5500</f>
        <v>5204540</v>
      </c>
      <c r="O767" s="4">
        <v>0</v>
      </c>
      <c r="P767" s="4">
        <v>0</v>
      </c>
      <c r="Q767" s="4">
        <v>1727.44</v>
      </c>
      <c r="R767" s="4">
        <f t="shared" si="381"/>
        <v>5182320</v>
      </c>
      <c r="S767" s="4">
        <v>0</v>
      </c>
      <c r="T767" s="6">
        <v>0</v>
      </c>
      <c r="U767" s="4">
        <v>0</v>
      </c>
      <c r="V767" s="7">
        <f t="shared" si="382"/>
        <v>5500</v>
      </c>
    </row>
    <row r="768" spans="1:22" ht="20.100000000000001" customHeight="1" x14ac:dyDescent="0.25">
      <c r="A768" s="1" t="s">
        <v>1039</v>
      </c>
      <c r="B768" s="9" t="s">
        <v>1387</v>
      </c>
      <c r="C768" s="3">
        <f t="shared" si="374"/>
        <v>7825276</v>
      </c>
      <c r="D768" s="4">
        <f t="shared" si="380"/>
        <v>7725276</v>
      </c>
      <c r="E768" s="4">
        <f>350*3961.68</f>
        <v>1386588</v>
      </c>
      <c r="F768" s="4">
        <f>1050*3961.68</f>
        <v>4159764</v>
      </c>
      <c r="G768" s="4">
        <f>300*3961.68</f>
        <v>1188504</v>
      </c>
      <c r="H768" s="4">
        <f>400*0</f>
        <v>0</v>
      </c>
      <c r="I768" s="4">
        <f>250*3961.68</f>
        <v>990420</v>
      </c>
      <c r="J768" s="4">
        <v>0</v>
      </c>
      <c r="K768" s="5">
        <v>0</v>
      </c>
      <c r="L768" s="4">
        <v>0</v>
      </c>
      <c r="M768" s="4">
        <v>0</v>
      </c>
      <c r="N768" s="23">
        <v>0</v>
      </c>
      <c r="O768" s="4">
        <v>0</v>
      </c>
      <c r="P768" s="4">
        <v>0</v>
      </c>
      <c r="Q768" s="4">
        <v>0</v>
      </c>
      <c r="R768" s="4">
        <f t="shared" si="381"/>
        <v>0</v>
      </c>
      <c r="S768" s="4">
        <v>0</v>
      </c>
      <c r="T768" s="6">
        <v>0</v>
      </c>
      <c r="U768" s="4">
        <v>100000</v>
      </c>
      <c r="V768" s="7" t="e">
        <f t="shared" si="382"/>
        <v>#DIV/0!</v>
      </c>
    </row>
    <row r="769" spans="1:22" ht="20.100000000000001" customHeight="1" x14ac:dyDescent="0.25">
      <c r="A769" s="1" t="s">
        <v>1040</v>
      </c>
      <c r="B769" s="9" t="s">
        <v>1390</v>
      </c>
      <c r="C769" s="3">
        <f t="shared" si="374"/>
        <v>21934000</v>
      </c>
      <c r="D769" s="4">
        <f t="shared" si="380"/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5">
        <v>0</v>
      </c>
      <c r="L769" s="4">
        <v>0</v>
      </c>
      <c r="M769" s="4">
        <v>3137.2</v>
      </c>
      <c r="N769" s="4">
        <f t="shared" ref="N769" si="384">M769*5500</f>
        <v>17254600</v>
      </c>
      <c r="O769" s="4">
        <v>0</v>
      </c>
      <c r="P769" s="4">
        <v>0</v>
      </c>
      <c r="Q769" s="4">
        <v>1559.8</v>
      </c>
      <c r="R769" s="4">
        <f t="shared" si="381"/>
        <v>4679400</v>
      </c>
      <c r="S769" s="4">
        <v>0</v>
      </c>
      <c r="T769" s="6">
        <v>0</v>
      </c>
      <c r="U769" s="4">
        <v>0</v>
      </c>
      <c r="V769" s="7">
        <f t="shared" si="382"/>
        <v>5500</v>
      </c>
    </row>
    <row r="770" spans="1:22" ht="20.100000000000001" customHeight="1" x14ac:dyDescent="0.25">
      <c r="A770" s="1" t="s">
        <v>1041</v>
      </c>
      <c r="B770" s="9" t="s">
        <v>11</v>
      </c>
      <c r="C770" s="3">
        <f t="shared" si="374"/>
        <v>2629500</v>
      </c>
      <c r="D770" s="4">
        <f t="shared" si="380"/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5">
        <v>0</v>
      </c>
      <c r="L770" s="4">
        <v>0</v>
      </c>
      <c r="M770" s="4">
        <v>0</v>
      </c>
      <c r="N770" s="23">
        <v>0</v>
      </c>
      <c r="O770" s="4">
        <v>0</v>
      </c>
      <c r="P770" s="4">
        <v>0</v>
      </c>
      <c r="Q770" s="4">
        <v>876.5</v>
      </c>
      <c r="R770" s="4">
        <f t="shared" si="381"/>
        <v>2629500</v>
      </c>
      <c r="S770" s="4">
        <v>0</v>
      </c>
      <c r="T770" s="6">
        <v>0</v>
      </c>
      <c r="U770" s="4">
        <v>0</v>
      </c>
      <c r="V770" s="7" t="e">
        <f t="shared" si="382"/>
        <v>#DIV/0!</v>
      </c>
    </row>
    <row r="771" spans="1:22" ht="20.100000000000001" customHeight="1" x14ac:dyDescent="0.25">
      <c r="A771" s="1" t="s">
        <v>1042</v>
      </c>
      <c r="B771" s="22" t="s">
        <v>59</v>
      </c>
      <c r="C771" s="3">
        <f t="shared" si="374"/>
        <v>3300444.4</v>
      </c>
      <c r="D771" s="4">
        <f t="shared" si="380"/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5">
        <v>0</v>
      </c>
      <c r="L771" s="4">
        <v>0</v>
      </c>
      <c r="M771" s="4">
        <v>895.4</v>
      </c>
      <c r="N771" s="4">
        <f>M771*3686</f>
        <v>3300444.4</v>
      </c>
      <c r="O771" s="4">
        <v>0</v>
      </c>
      <c r="P771" s="4">
        <v>0</v>
      </c>
      <c r="Q771" s="4">
        <v>0</v>
      </c>
      <c r="R771" s="4">
        <f t="shared" si="381"/>
        <v>0</v>
      </c>
      <c r="S771" s="4">
        <v>0</v>
      </c>
      <c r="T771" s="6">
        <v>0</v>
      </c>
      <c r="U771" s="4">
        <v>0</v>
      </c>
      <c r="V771" s="7">
        <f t="shared" si="382"/>
        <v>3686</v>
      </c>
    </row>
    <row r="772" spans="1:22" ht="20.100000000000001" customHeight="1" x14ac:dyDescent="0.25">
      <c r="A772" s="1" t="s">
        <v>1043</v>
      </c>
      <c r="B772" s="37" t="s">
        <v>62</v>
      </c>
      <c r="C772" s="3">
        <f t="shared" si="374"/>
        <v>5281650</v>
      </c>
      <c r="D772" s="4">
        <f t="shared" si="380"/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5">
        <v>0</v>
      </c>
      <c r="L772" s="4">
        <v>0</v>
      </c>
      <c r="M772" s="4">
        <v>960.3</v>
      </c>
      <c r="N772" s="4">
        <f t="shared" ref="N772" si="385">M772*5500</f>
        <v>5281650</v>
      </c>
      <c r="O772" s="4">
        <v>0</v>
      </c>
      <c r="P772" s="4">
        <v>0</v>
      </c>
      <c r="Q772" s="4">
        <v>0</v>
      </c>
      <c r="R772" s="4">
        <f t="shared" si="381"/>
        <v>0</v>
      </c>
      <c r="S772" s="4">
        <v>0</v>
      </c>
      <c r="T772" s="6">
        <v>0</v>
      </c>
      <c r="U772" s="4">
        <v>0</v>
      </c>
      <c r="V772" s="7">
        <f t="shared" si="382"/>
        <v>5500</v>
      </c>
    </row>
    <row r="773" spans="1:22" ht="20.100000000000001" customHeight="1" x14ac:dyDescent="0.25">
      <c r="A773" s="1" t="s">
        <v>1044</v>
      </c>
      <c r="B773" s="38" t="s">
        <v>63</v>
      </c>
      <c r="C773" s="3">
        <f t="shared" si="374"/>
        <v>3763406</v>
      </c>
      <c r="D773" s="4">
        <f t="shared" si="380"/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5">
        <v>0</v>
      </c>
      <c r="L773" s="4">
        <v>0</v>
      </c>
      <c r="M773" s="4">
        <v>1021</v>
      </c>
      <c r="N773" s="4">
        <f>M773*3686</f>
        <v>3763406</v>
      </c>
      <c r="O773" s="4">
        <v>0</v>
      </c>
      <c r="P773" s="4">
        <v>0</v>
      </c>
      <c r="Q773" s="4">
        <v>0</v>
      </c>
      <c r="R773" s="4">
        <f t="shared" si="381"/>
        <v>0</v>
      </c>
      <c r="S773" s="4">
        <v>0</v>
      </c>
      <c r="T773" s="6">
        <v>0</v>
      </c>
      <c r="U773" s="4">
        <v>0</v>
      </c>
      <c r="V773" s="7">
        <f t="shared" si="382"/>
        <v>3686</v>
      </c>
    </row>
    <row r="774" spans="1:22" ht="20.100000000000001" customHeight="1" x14ac:dyDescent="0.25">
      <c r="A774" s="1" t="s">
        <v>1045</v>
      </c>
      <c r="B774" s="9" t="s">
        <v>35</v>
      </c>
      <c r="C774" s="3">
        <f t="shared" si="374"/>
        <v>24807951</v>
      </c>
      <c r="D774" s="4">
        <f t="shared" si="380"/>
        <v>8982051</v>
      </c>
      <c r="E774" s="4">
        <f>350*4606.18</f>
        <v>1612163</v>
      </c>
      <c r="F774" s="4">
        <f>1050*4606.18</f>
        <v>4836489</v>
      </c>
      <c r="G774" s="4">
        <f>300*4606.18</f>
        <v>1381854</v>
      </c>
      <c r="H774" s="4">
        <f>400*0</f>
        <v>0</v>
      </c>
      <c r="I774" s="4">
        <f>250*4606.18</f>
        <v>1151545</v>
      </c>
      <c r="J774" s="4">
        <v>0</v>
      </c>
      <c r="K774" s="5">
        <v>0</v>
      </c>
      <c r="L774" s="4">
        <v>0</v>
      </c>
      <c r="M774" s="4">
        <v>2057.6</v>
      </c>
      <c r="N774" s="4">
        <f t="shared" ref="N774:N776" si="386">M774*5500</f>
        <v>11316800</v>
      </c>
      <c r="O774" s="4">
        <v>0</v>
      </c>
      <c r="P774" s="4">
        <v>0</v>
      </c>
      <c r="Q774" s="4">
        <v>1469.7</v>
      </c>
      <c r="R774" s="4">
        <f t="shared" si="381"/>
        <v>4409100</v>
      </c>
      <c r="S774" s="4">
        <v>0</v>
      </c>
      <c r="T774" s="6">
        <v>0</v>
      </c>
      <c r="U774" s="4">
        <v>100000</v>
      </c>
      <c r="V774" s="7">
        <f t="shared" si="382"/>
        <v>5500</v>
      </c>
    </row>
    <row r="775" spans="1:22" ht="20.100000000000001" customHeight="1" x14ac:dyDescent="0.25">
      <c r="A775" s="1" t="s">
        <v>1046</v>
      </c>
      <c r="B775" s="9" t="s">
        <v>65</v>
      </c>
      <c r="C775" s="3">
        <f t="shared" si="374"/>
        <v>3395700</v>
      </c>
      <c r="D775" s="4">
        <f t="shared" si="380"/>
        <v>0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5">
        <v>0</v>
      </c>
      <c r="L775" s="4">
        <v>0</v>
      </c>
      <c r="M775" s="4">
        <v>617.4</v>
      </c>
      <c r="N775" s="4">
        <f t="shared" si="386"/>
        <v>3395700</v>
      </c>
      <c r="O775" s="4">
        <v>0</v>
      </c>
      <c r="P775" s="4">
        <v>0</v>
      </c>
      <c r="Q775" s="4">
        <v>0</v>
      </c>
      <c r="R775" s="4">
        <f t="shared" si="381"/>
        <v>0</v>
      </c>
      <c r="S775" s="4">
        <v>0</v>
      </c>
      <c r="T775" s="6">
        <v>0</v>
      </c>
      <c r="U775" s="4">
        <v>0</v>
      </c>
      <c r="V775" s="7">
        <f t="shared" si="382"/>
        <v>5500</v>
      </c>
    </row>
    <row r="776" spans="1:22" ht="20.100000000000001" customHeight="1" x14ac:dyDescent="0.25">
      <c r="A776" s="1" t="s">
        <v>1047</v>
      </c>
      <c r="B776" s="9" t="s">
        <v>1388</v>
      </c>
      <c r="C776" s="3">
        <f t="shared" si="374"/>
        <v>4224000</v>
      </c>
      <c r="D776" s="4">
        <f t="shared" si="380"/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5">
        <v>0</v>
      </c>
      <c r="L776" s="4">
        <v>0</v>
      </c>
      <c r="M776" s="4">
        <v>768</v>
      </c>
      <c r="N776" s="4">
        <f t="shared" si="386"/>
        <v>4224000</v>
      </c>
      <c r="O776" s="4">
        <v>0</v>
      </c>
      <c r="P776" s="4">
        <v>0</v>
      </c>
      <c r="Q776" s="4">
        <v>0</v>
      </c>
      <c r="R776" s="4">
        <f t="shared" si="381"/>
        <v>0</v>
      </c>
      <c r="S776" s="4">
        <v>0</v>
      </c>
      <c r="T776" s="6">
        <v>0</v>
      </c>
      <c r="U776" s="4">
        <v>0</v>
      </c>
      <c r="V776" s="7">
        <f t="shared" si="382"/>
        <v>5500</v>
      </c>
    </row>
    <row r="777" spans="1:22" ht="20.100000000000001" customHeight="1" x14ac:dyDescent="0.25">
      <c r="A777" s="1" t="s">
        <v>1459</v>
      </c>
      <c r="B777" s="9" t="s">
        <v>66</v>
      </c>
      <c r="C777" s="3">
        <f t="shared" si="374"/>
        <v>2632356.9</v>
      </c>
      <c r="D777" s="4">
        <f t="shared" si="380"/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5">
        <v>0</v>
      </c>
      <c r="L777" s="4">
        <v>0</v>
      </c>
      <c r="M777" s="4">
        <v>714.15</v>
      </c>
      <c r="N777" s="4">
        <f>M777*3686</f>
        <v>2632356.9</v>
      </c>
      <c r="O777" s="4">
        <v>0</v>
      </c>
      <c r="P777" s="4">
        <v>0</v>
      </c>
      <c r="Q777" s="4">
        <v>0</v>
      </c>
      <c r="R777" s="4">
        <f t="shared" si="381"/>
        <v>0</v>
      </c>
      <c r="S777" s="4">
        <v>0</v>
      </c>
      <c r="T777" s="6">
        <v>0</v>
      </c>
      <c r="U777" s="4">
        <v>0</v>
      </c>
      <c r="V777" s="7">
        <f t="shared" si="382"/>
        <v>3686</v>
      </c>
    </row>
    <row r="778" spans="1:22" ht="20.100000000000001" customHeight="1" x14ac:dyDescent="0.25">
      <c r="A778" s="1" t="s">
        <v>1048</v>
      </c>
      <c r="B778" s="9" t="s">
        <v>69</v>
      </c>
      <c r="C778" s="3">
        <f>D778+L778+N778+P778+R778+S778+T778+U778</f>
        <v>1453650</v>
      </c>
      <c r="D778" s="4">
        <f>SUM(E778:J778)</f>
        <v>0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5">
        <v>0</v>
      </c>
      <c r="L778" s="4">
        <v>0</v>
      </c>
      <c r="M778" s="4">
        <v>264.3</v>
      </c>
      <c r="N778" s="4">
        <f>M778*5500</f>
        <v>1453650</v>
      </c>
      <c r="O778" s="4">
        <v>0</v>
      </c>
      <c r="P778" s="4">
        <v>0</v>
      </c>
      <c r="Q778" s="4">
        <v>0</v>
      </c>
      <c r="R778" s="4">
        <f>Q778*3000</f>
        <v>0</v>
      </c>
      <c r="S778" s="4">
        <v>0</v>
      </c>
      <c r="T778" s="6">
        <v>0</v>
      </c>
      <c r="U778" s="4">
        <v>0</v>
      </c>
      <c r="V778" s="7">
        <f>N778/M778</f>
        <v>5500</v>
      </c>
    </row>
    <row r="779" spans="1:22" ht="20.100000000000001" customHeight="1" x14ac:dyDescent="0.25">
      <c r="A779" s="1" t="s">
        <v>1917</v>
      </c>
      <c r="B779" s="9" t="s">
        <v>67</v>
      </c>
      <c r="C779" s="3">
        <f t="shared" si="374"/>
        <v>2229341.5</v>
      </c>
      <c r="D779" s="4">
        <f t="shared" si="380"/>
        <v>2129341.5</v>
      </c>
      <c r="E779" s="4">
        <f>350*1091.97</f>
        <v>382189.5</v>
      </c>
      <c r="F779" s="4">
        <f>1050*1091.97</f>
        <v>1146568.5</v>
      </c>
      <c r="G779" s="4">
        <f>300*1091.97</f>
        <v>327591</v>
      </c>
      <c r="H779" s="4">
        <f>400*0</f>
        <v>0</v>
      </c>
      <c r="I779" s="4">
        <f>250*1091.97</f>
        <v>272992.5</v>
      </c>
      <c r="J779" s="4">
        <v>0</v>
      </c>
      <c r="K779" s="5">
        <v>0</v>
      </c>
      <c r="L779" s="4">
        <v>0</v>
      </c>
      <c r="M779" s="4">
        <v>0</v>
      </c>
      <c r="N779" s="23">
        <v>0</v>
      </c>
      <c r="O779" s="4">
        <v>0</v>
      </c>
      <c r="P779" s="4">
        <v>0</v>
      </c>
      <c r="Q779" s="4">
        <v>0</v>
      </c>
      <c r="R779" s="4">
        <f t="shared" si="381"/>
        <v>0</v>
      </c>
      <c r="S779" s="4">
        <v>0</v>
      </c>
      <c r="T779" s="6">
        <v>0</v>
      </c>
      <c r="U779" s="4">
        <v>100000</v>
      </c>
      <c r="V779" s="7" t="e">
        <f t="shared" si="382"/>
        <v>#DIV/0!</v>
      </c>
    </row>
    <row r="780" spans="1:22" ht="20.100000000000001" customHeight="1" x14ac:dyDescent="0.25">
      <c r="A780" s="1" t="s">
        <v>1049</v>
      </c>
      <c r="B780" s="9" t="s">
        <v>68</v>
      </c>
      <c r="C780" s="3">
        <f t="shared" si="374"/>
        <v>3314783</v>
      </c>
      <c r="D780" s="4">
        <f t="shared" si="380"/>
        <v>496683</v>
      </c>
      <c r="E780" s="4">
        <f>350*551.87</f>
        <v>193154.5</v>
      </c>
      <c r="F780" s="4">
        <f>1050*0</f>
        <v>0</v>
      </c>
      <c r="G780" s="4">
        <f>300*551.87</f>
        <v>165561</v>
      </c>
      <c r="H780" s="4">
        <f>500*0</f>
        <v>0</v>
      </c>
      <c r="I780" s="4">
        <f>250*551.87</f>
        <v>137967.5</v>
      </c>
      <c r="J780" s="4">
        <v>0</v>
      </c>
      <c r="K780" s="5">
        <v>0</v>
      </c>
      <c r="L780" s="4">
        <v>0</v>
      </c>
      <c r="M780" s="4">
        <v>494.2</v>
      </c>
      <c r="N780" s="4">
        <f t="shared" ref="N780:N783" si="387">M780*5500</f>
        <v>2718100</v>
      </c>
      <c r="O780" s="4">
        <v>0</v>
      </c>
      <c r="P780" s="4">
        <v>0</v>
      </c>
      <c r="Q780" s="4">
        <v>0</v>
      </c>
      <c r="R780" s="4">
        <f t="shared" si="381"/>
        <v>0</v>
      </c>
      <c r="S780" s="4">
        <v>0</v>
      </c>
      <c r="T780" s="6">
        <v>0</v>
      </c>
      <c r="U780" s="4">
        <v>100000</v>
      </c>
      <c r="V780" s="7">
        <f t="shared" si="382"/>
        <v>5500</v>
      </c>
    </row>
    <row r="781" spans="1:22" ht="20.100000000000001" customHeight="1" x14ac:dyDescent="0.25">
      <c r="A781" s="1" t="s">
        <v>1050</v>
      </c>
      <c r="B781" s="9" t="s">
        <v>70</v>
      </c>
      <c r="C781" s="3">
        <f t="shared" si="374"/>
        <v>1509199.9999999998</v>
      </c>
      <c r="D781" s="4">
        <f t="shared" si="380"/>
        <v>0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5">
        <v>0</v>
      </c>
      <c r="L781" s="4">
        <v>0</v>
      </c>
      <c r="M781" s="4">
        <v>274.39999999999998</v>
      </c>
      <c r="N781" s="4">
        <f t="shared" si="387"/>
        <v>1509199.9999999998</v>
      </c>
      <c r="O781" s="4">
        <v>0</v>
      </c>
      <c r="P781" s="4">
        <v>0</v>
      </c>
      <c r="Q781" s="4">
        <v>0</v>
      </c>
      <c r="R781" s="4">
        <f t="shared" si="381"/>
        <v>0</v>
      </c>
      <c r="S781" s="4">
        <v>0</v>
      </c>
      <c r="T781" s="6">
        <v>0</v>
      </c>
      <c r="U781" s="4">
        <v>0</v>
      </c>
      <c r="V781" s="7">
        <f t="shared" si="382"/>
        <v>5500</v>
      </c>
    </row>
    <row r="782" spans="1:22" ht="20.100000000000001" customHeight="1" x14ac:dyDescent="0.25">
      <c r="A782" s="1" t="s">
        <v>1051</v>
      </c>
      <c r="B782" s="9" t="s">
        <v>71</v>
      </c>
      <c r="C782" s="3">
        <f t="shared" si="374"/>
        <v>1464265</v>
      </c>
      <c r="D782" s="4">
        <f t="shared" si="380"/>
        <v>0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5">
        <v>0</v>
      </c>
      <c r="L782" s="4">
        <v>0</v>
      </c>
      <c r="M782" s="4">
        <v>266.23</v>
      </c>
      <c r="N782" s="4">
        <f t="shared" si="387"/>
        <v>1464265</v>
      </c>
      <c r="O782" s="4">
        <v>0</v>
      </c>
      <c r="P782" s="4">
        <v>0</v>
      </c>
      <c r="Q782" s="4">
        <v>0</v>
      </c>
      <c r="R782" s="4">
        <f t="shared" si="381"/>
        <v>0</v>
      </c>
      <c r="S782" s="4">
        <v>0</v>
      </c>
      <c r="T782" s="6">
        <v>0</v>
      </c>
      <c r="U782" s="4">
        <v>0</v>
      </c>
      <c r="V782" s="7">
        <f t="shared" si="382"/>
        <v>5500</v>
      </c>
    </row>
    <row r="783" spans="1:22" ht="20.100000000000001" customHeight="1" x14ac:dyDescent="0.25">
      <c r="A783" s="1" t="s">
        <v>1052</v>
      </c>
      <c r="B783" s="9" t="s">
        <v>1217</v>
      </c>
      <c r="C783" s="3">
        <f t="shared" si="374"/>
        <v>6666659.9999999991</v>
      </c>
      <c r="D783" s="4">
        <f t="shared" si="380"/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5">
        <v>0</v>
      </c>
      <c r="L783" s="4">
        <v>0</v>
      </c>
      <c r="M783" s="4">
        <v>1212.1199999999999</v>
      </c>
      <c r="N783" s="4">
        <f t="shared" si="387"/>
        <v>6666659.9999999991</v>
      </c>
      <c r="O783" s="4">
        <v>0</v>
      </c>
      <c r="P783" s="4">
        <v>0</v>
      </c>
      <c r="Q783" s="4">
        <v>0</v>
      </c>
      <c r="R783" s="4">
        <f t="shared" si="381"/>
        <v>0</v>
      </c>
      <c r="S783" s="4">
        <v>0</v>
      </c>
      <c r="T783" s="6">
        <v>0</v>
      </c>
      <c r="U783" s="4">
        <v>0</v>
      </c>
      <c r="V783" s="7">
        <f t="shared" si="382"/>
        <v>5500</v>
      </c>
    </row>
    <row r="784" spans="1:22" ht="45" customHeight="1" x14ac:dyDescent="0.25">
      <c r="A784" s="55" t="s">
        <v>28</v>
      </c>
      <c r="B784" s="55"/>
      <c r="C784" s="3">
        <f>SUM(C785:C786)</f>
        <v>6794924</v>
      </c>
      <c r="D784" s="3">
        <f t="shared" ref="D784:U784" si="388">SUM(D785:D786)</f>
        <v>293104</v>
      </c>
      <c r="E784" s="3">
        <f t="shared" si="388"/>
        <v>293104</v>
      </c>
      <c r="F784" s="3">
        <f t="shared" si="388"/>
        <v>0</v>
      </c>
      <c r="G784" s="3">
        <f t="shared" si="388"/>
        <v>0</v>
      </c>
      <c r="H784" s="3">
        <f t="shared" si="388"/>
        <v>0</v>
      </c>
      <c r="I784" s="3">
        <f t="shared" si="388"/>
        <v>0</v>
      </c>
      <c r="J784" s="3">
        <f t="shared" si="388"/>
        <v>0</v>
      </c>
      <c r="K784" s="15">
        <f t="shared" si="388"/>
        <v>0</v>
      </c>
      <c r="L784" s="3">
        <f t="shared" si="388"/>
        <v>0</v>
      </c>
      <c r="M784" s="3">
        <f t="shared" si="388"/>
        <v>746</v>
      </c>
      <c r="N784" s="3">
        <f t="shared" si="388"/>
        <v>4103000</v>
      </c>
      <c r="O784" s="3">
        <f t="shared" si="388"/>
        <v>0</v>
      </c>
      <c r="P784" s="3">
        <f t="shared" si="388"/>
        <v>0</v>
      </c>
      <c r="Q784" s="3">
        <f t="shared" si="388"/>
        <v>506</v>
      </c>
      <c r="R784" s="3">
        <f t="shared" si="388"/>
        <v>1518000</v>
      </c>
      <c r="S784" s="3">
        <f t="shared" si="388"/>
        <v>680820</v>
      </c>
      <c r="T784" s="3">
        <f t="shared" si="388"/>
        <v>0</v>
      </c>
      <c r="U784" s="3">
        <f t="shared" si="388"/>
        <v>200000</v>
      </c>
      <c r="V784" s="21">
        <f>C784</f>
        <v>6794924</v>
      </c>
    </row>
    <row r="785" spans="1:258" ht="21.95" customHeight="1" x14ac:dyDescent="0.25">
      <c r="A785" s="1" t="s">
        <v>1053</v>
      </c>
      <c r="B785" s="9" t="s">
        <v>29</v>
      </c>
      <c r="C785" s="3">
        <f t="shared" si="374"/>
        <v>1890047.5</v>
      </c>
      <c r="D785" s="4">
        <f t="shared" ref="D785:D786" si="389">SUM(E785:J785)</f>
        <v>107047.50000000001</v>
      </c>
      <c r="E785" s="4">
        <f>350*305.85</f>
        <v>107047.50000000001</v>
      </c>
      <c r="F785" s="4">
        <f>1050*0</f>
        <v>0</v>
      </c>
      <c r="G785" s="4">
        <f>350*0</f>
        <v>0</v>
      </c>
      <c r="H785" s="4">
        <f>400*0</f>
        <v>0</v>
      </c>
      <c r="I785" s="4">
        <f>250*0</f>
        <v>0</v>
      </c>
      <c r="J785" s="4">
        <v>0</v>
      </c>
      <c r="K785" s="5">
        <v>0</v>
      </c>
      <c r="L785" s="4">
        <v>0</v>
      </c>
      <c r="M785" s="4">
        <v>306</v>
      </c>
      <c r="N785" s="4">
        <f t="shared" ref="N785:N786" si="390">M785*5500</f>
        <v>1683000</v>
      </c>
      <c r="O785" s="4">
        <v>0</v>
      </c>
      <c r="P785" s="4">
        <v>0</v>
      </c>
      <c r="Q785" s="4">
        <v>0</v>
      </c>
      <c r="R785" s="4">
        <f t="shared" ref="R785:R786" si="391">Q785*3000</f>
        <v>0</v>
      </c>
      <c r="S785" s="4">
        <v>0</v>
      </c>
      <c r="T785" s="4">
        <v>0</v>
      </c>
      <c r="U785" s="4">
        <v>100000</v>
      </c>
      <c r="V785" s="7">
        <f t="shared" ref="V785:V786" si="392">N785/M785</f>
        <v>5500</v>
      </c>
    </row>
    <row r="786" spans="1:258" ht="21.95" customHeight="1" x14ac:dyDescent="0.25">
      <c r="A786" s="1" t="s">
        <v>1054</v>
      </c>
      <c r="B786" s="9" t="s">
        <v>1391</v>
      </c>
      <c r="C786" s="3">
        <f t="shared" si="374"/>
        <v>4904876.5</v>
      </c>
      <c r="D786" s="4">
        <f t="shared" si="389"/>
        <v>186056.5</v>
      </c>
      <c r="E786" s="4">
        <f>350*531.59</f>
        <v>186056.5</v>
      </c>
      <c r="F786" s="4">
        <f>1050*0</f>
        <v>0</v>
      </c>
      <c r="G786" s="4">
        <f>350*0</f>
        <v>0</v>
      </c>
      <c r="H786" s="4">
        <f>500*0</f>
        <v>0</v>
      </c>
      <c r="I786" s="4">
        <f>250*0</f>
        <v>0</v>
      </c>
      <c r="J786" s="4">
        <v>0</v>
      </c>
      <c r="K786" s="5">
        <v>0</v>
      </c>
      <c r="L786" s="4">
        <v>0</v>
      </c>
      <c r="M786" s="4">
        <v>440</v>
      </c>
      <c r="N786" s="4">
        <f t="shared" si="390"/>
        <v>2420000</v>
      </c>
      <c r="O786" s="4">
        <v>0</v>
      </c>
      <c r="P786" s="4">
        <v>0</v>
      </c>
      <c r="Q786" s="4">
        <v>506</v>
      </c>
      <c r="R786" s="4">
        <f t="shared" si="391"/>
        <v>1518000</v>
      </c>
      <c r="S786" s="4">
        <v>680820</v>
      </c>
      <c r="T786" s="4">
        <v>0</v>
      </c>
      <c r="U786" s="4">
        <v>100000</v>
      </c>
      <c r="V786" s="7">
        <f t="shared" si="392"/>
        <v>5500</v>
      </c>
    </row>
    <row r="787" spans="1:258" ht="45" customHeight="1" x14ac:dyDescent="0.25">
      <c r="A787" s="55" t="s">
        <v>74</v>
      </c>
      <c r="B787" s="55"/>
      <c r="C787" s="3">
        <f>SUM(C788:C790)</f>
        <v>15415895</v>
      </c>
      <c r="D787" s="3">
        <f t="shared" ref="D787:U787" si="393">SUM(D788:D790)</f>
        <v>0</v>
      </c>
      <c r="E787" s="3">
        <f t="shared" si="393"/>
        <v>0</v>
      </c>
      <c r="F787" s="3">
        <f t="shared" si="393"/>
        <v>0</v>
      </c>
      <c r="G787" s="3">
        <f t="shared" si="393"/>
        <v>0</v>
      </c>
      <c r="H787" s="3">
        <f t="shared" si="393"/>
        <v>0</v>
      </c>
      <c r="I787" s="3">
        <f t="shared" si="393"/>
        <v>0</v>
      </c>
      <c r="J787" s="3">
        <f t="shared" si="393"/>
        <v>0</v>
      </c>
      <c r="K787" s="15">
        <f t="shared" si="393"/>
        <v>0</v>
      </c>
      <c r="L787" s="3">
        <f t="shared" si="393"/>
        <v>0</v>
      </c>
      <c r="M787" s="3">
        <f t="shared" si="393"/>
        <v>1091.1500000000001</v>
      </c>
      <c r="N787" s="3">
        <f t="shared" si="393"/>
        <v>6001325</v>
      </c>
      <c r="O787" s="3">
        <f t="shared" si="393"/>
        <v>0</v>
      </c>
      <c r="P787" s="3">
        <f t="shared" si="393"/>
        <v>0</v>
      </c>
      <c r="Q787" s="3">
        <f t="shared" si="393"/>
        <v>3138.19</v>
      </c>
      <c r="R787" s="3">
        <f t="shared" si="393"/>
        <v>9414570</v>
      </c>
      <c r="S787" s="3">
        <f t="shared" si="393"/>
        <v>0</v>
      </c>
      <c r="T787" s="3">
        <f t="shared" si="393"/>
        <v>0</v>
      </c>
      <c r="U787" s="3">
        <f t="shared" si="393"/>
        <v>0</v>
      </c>
    </row>
    <row r="788" spans="1:258" ht="21.95" customHeight="1" x14ac:dyDescent="0.25">
      <c r="A788" s="24" t="s">
        <v>1055</v>
      </c>
      <c r="B788" s="9" t="s">
        <v>1213</v>
      </c>
      <c r="C788" s="3">
        <f t="shared" si="374"/>
        <v>9414570</v>
      </c>
      <c r="D788" s="4">
        <f t="shared" ref="D788:D790" si="394">SUM(E788:J788)</f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12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3138.19</v>
      </c>
      <c r="R788" s="4">
        <f t="shared" ref="R788:R790" si="395">Q788*3000</f>
        <v>9414570</v>
      </c>
      <c r="S788" s="6">
        <v>0</v>
      </c>
      <c r="T788" s="6">
        <v>0</v>
      </c>
      <c r="U788" s="6">
        <v>0</v>
      </c>
      <c r="V788" s="7" t="e">
        <f t="shared" ref="V788:V790" si="396">N788/M788</f>
        <v>#DIV/0!</v>
      </c>
    </row>
    <row r="789" spans="1:258" s="7" customFormat="1" ht="21.95" customHeight="1" x14ac:dyDescent="0.25">
      <c r="A789" s="24" t="s">
        <v>1056</v>
      </c>
      <c r="B789" s="9" t="s">
        <v>72</v>
      </c>
      <c r="C789" s="3">
        <f t="shared" si="374"/>
        <v>3658325</v>
      </c>
      <c r="D789" s="4">
        <f t="shared" si="394"/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12">
        <v>0</v>
      </c>
      <c r="L789" s="6">
        <v>0</v>
      </c>
      <c r="M789" s="6">
        <v>665.15</v>
      </c>
      <c r="N789" s="4">
        <f t="shared" ref="N789:N790" si="397">M789*5500</f>
        <v>3658325</v>
      </c>
      <c r="O789" s="6">
        <v>0</v>
      </c>
      <c r="P789" s="6">
        <v>0</v>
      </c>
      <c r="Q789" s="6">
        <v>0</v>
      </c>
      <c r="R789" s="4">
        <f t="shared" si="395"/>
        <v>0</v>
      </c>
      <c r="S789" s="6">
        <v>0</v>
      </c>
      <c r="T789" s="6">
        <v>0</v>
      </c>
      <c r="U789" s="6">
        <v>0</v>
      </c>
      <c r="V789" s="7">
        <f t="shared" si="396"/>
        <v>5500</v>
      </c>
    </row>
    <row r="790" spans="1:258" s="7" customFormat="1" ht="21.95" customHeight="1" x14ac:dyDescent="0.25">
      <c r="A790" s="24" t="s">
        <v>1057</v>
      </c>
      <c r="B790" s="9" t="s">
        <v>1381</v>
      </c>
      <c r="C790" s="3">
        <f t="shared" si="374"/>
        <v>2343000</v>
      </c>
      <c r="D790" s="4">
        <f t="shared" si="394"/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12">
        <v>0</v>
      </c>
      <c r="L790" s="6">
        <v>0</v>
      </c>
      <c r="M790" s="6">
        <v>426</v>
      </c>
      <c r="N790" s="4">
        <f t="shared" si="397"/>
        <v>2343000</v>
      </c>
      <c r="O790" s="6">
        <v>0</v>
      </c>
      <c r="P790" s="6">
        <v>0</v>
      </c>
      <c r="Q790" s="6">
        <v>0</v>
      </c>
      <c r="R790" s="4">
        <f t="shared" si="395"/>
        <v>0</v>
      </c>
      <c r="S790" s="6">
        <v>0</v>
      </c>
      <c r="T790" s="6">
        <v>0</v>
      </c>
      <c r="U790" s="6">
        <v>0</v>
      </c>
      <c r="V790" s="7">
        <f t="shared" si="396"/>
        <v>5500</v>
      </c>
    </row>
    <row r="791" spans="1:258" ht="45" customHeight="1" x14ac:dyDescent="0.25">
      <c r="A791" s="55" t="s">
        <v>2</v>
      </c>
      <c r="B791" s="55"/>
      <c r="C791" s="3">
        <f>SUM(C792:C793)</f>
        <v>2465025</v>
      </c>
      <c r="D791" s="3">
        <f t="shared" ref="D791:U791" si="398">SUM(D792:D793)</f>
        <v>2265025</v>
      </c>
      <c r="E791" s="3">
        <f t="shared" si="398"/>
        <v>535010</v>
      </c>
      <c r="F791" s="3">
        <f t="shared" si="398"/>
        <v>643965</v>
      </c>
      <c r="G791" s="3">
        <f t="shared" si="398"/>
        <v>458580</v>
      </c>
      <c r="H791" s="3">
        <f t="shared" si="398"/>
        <v>245319.99999999997</v>
      </c>
      <c r="I791" s="3">
        <f t="shared" si="398"/>
        <v>382150</v>
      </c>
      <c r="J791" s="3">
        <f t="shared" si="398"/>
        <v>0</v>
      </c>
      <c r="K791" s="15">
        <f t="shared" si="398"/>
        <v>0</v>
      </c>
      <c r="L791" s="3">
        <f t="shared" si="398"/>
        <v>0</v>
      </c>
      <c r="M791" s="3">
        <f t="shared" si="398"/>
        <v>0</v>
      </c>
      <c r="N791" s="3">
        <f t="shared" si="398"/>
        <v>0</v>
      </c>
      <c r="O791" s="3">
        <f t="shared" si="398"/>
        <v>0</v>
      </c>
      <c r="P791" s="3">
        <f t="shared" si="398"/>
        <v>0</v>
      </c>
      <c r="Q791" s="3">
        <f t="shared" si="398"/>
        <v>0</v>
      </c>
      <c r="R791" s="3">
        <f t="shared" si="398"/>
        <v>0</v>
      </c>
      <c r="S791" s="3">
        <f t="shared" si="398"/>
        <v>0</v>
      </c>
      <c r="T791" s="3">
        <f t="shared" si="398"/>
        <v>0</v>
      </c>
      <c r="U791" s="3">
        <f t="shared" si="398"/>
        <v>200000</v>
      </c>
    </row>
    <row r="792" spans="1:258" s="19" customFormat="1" ht="21.95" customHeight="1" x14ac:dyDescent="0.25">
      <c r="A792" s="24" t="s">
        <v>1058</v>
      </c>
      <c r="B792" s="9" t="s">
        <v>75</v>
      </c>
      <c r="C792" s="3">
        <f t="shared" si="374"/>
        <v>923770</v>
      </c>
      <c r="D792" s="4">
        <f t="shared" ref="D792:D793" si="399">SUM(E792:J792)</f>
        <v>823770</v>
      </c>
      <c r="E792" s="4">
        <f>350*915.3</f>
        <v>320355</v>
      </c>
      <c r="F792" s="4">
        <f>1050*0</f>
        <v>0</v>
      </c>
      <c r="G792" s="4">
        <f>300*915.3</f>
        <v>274590</v>
      </c>
      <c r="H792" s="4">
        <f>400*0</f>
        <v>0</v>
      </c>
      <c r="I792" s="4">
        <f>250*915.3</f>
        <v>228825</v>
      </c>
      <c r="J792" s="4">
        <f>350*0</f>
        <v>0</v>
      </c>
      <c r="K792" s="5">
        <v>0</v>
      </c>
      <c r="L792" s="4">
        <v>0</v>
      </c>
      <c r="M792" s="6">
        <v>0</v>
      </c>
      <c r="N792" s="6">
        <v>0</v>
      </c>
      <c r="O792" s="4">
        <v>0</v>
      </c>
      <c r="P792" s="4">
        <v>0</v>
      </c>
      <c r="Q792" s="4">
        <v>0</v>
      </c>
      <c r="R792" s="4">
        <f t="shared" ref="R792:R793" si="400">Q792*3000</f>
        <v>0</v>
      </c>
      <c r="S792" s="4">
        <v>0</v>
      </c>
      <c r="T792" s="4">
        <v>0</v>
      </c>
      <c r="U792" s="4">
        <v>100000</v>
      </c>
      <c r="V792" s="7" t="e">
        <f t="shared" ref="V792:V793" si="401">N792/M792</f>
        <v>#DIV/0!</v>
      </c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/>
      <c r="CC792" s="8"/>
      <c r="CD792" s="8"/>
      <c r="CE792" s="8"/>
      <c r="CF792" s="8"/>
      <c r="CG792" s="8"/>
      <c r="CH792" s="8"/>
      <c r="CI792" s="8"/>
      <c r="CJ792" s="8"/>
      <c r="CK792" s="8"/>
      <c r="CL792" s="8"/>
      <c r="CM792" s="8"/>
      <c r="CN792" s="8"/>
      <c r="CO792" s="8"/>
      <c r="CP792" s="8"/>
      <c r="CQ792" s="8"/>
      <c r="CR792" s="8"/>
      <c r="CS792" s="8"/>
      <c r="CT792" s="8"/>
      <c r="CU792" s="8"/>
      <c r="CV792" s="8"/>
      <c r="CW792" s="8"/>
      <c r="CX792" s="8"/>
      <c r="CY792" s="8"/>
      <c r="CZ792" s="8"/>
      <c r="DA792" s="8"/>
      <c r="DB792" s="8"/>
      <c r="DC792" s="8"/>
      <c r="DD792" s="8"/>
      <c r="DE792" s="8"/>
      <c r="DF792" s="8"/>
      <c r="DG792" s="8"/>
      <c r="DH792" s="8"/>
      <c r="DI792" s="8"/>
      <c r="DJ792" s="8"/>
      <c r="DK792" s="8"/>
      <c r="DL792" s="8"/>
      <c r="DM792" s="8"/>
      <c r="DN792" s="8"/>
      <c r="DO792" s="8"/>
      <c r="DP792" s="8"/>
      <c r="DQ792" s="8"/>
      <c r="DR792" s="8"/>
      <c r="DS792" s="8"/>
      <c r="DT792" s="8"/>
      <c r="DU792" s="8"/>
      <c r="DV792" s="8"/>
      <c r="DW792" s="8"/>
      <c r="DX792" s="8"/>
      <c r="DY792" s="8"/>
      <c r="DZ792" s="8"/>
      <c r="EA792" s="8"/>
      <c r="EB792" s="8"/>
      <c r="EC792" s="8"/>
      <c r="ED792" s="8"/>
      <c r="EE792" s="8"/>
      <c r="EF792" s="8"/>
      <c r="EG792" s="8"/>
      <c r="EH792" s="8"/>
      <c r="EI792" s="8"/>
      <c r="EJ792" s="8"/>
      <c r="EK792" s="8"/>
      <c r="EL792" s="8"/>
      <c r="EM792" s="8"/>
      <c r="EN792" s="8"/>
      <c r="EO792" s="8"/>
      <c r="EP792" s="8"/>
      <c r="EQ792" s="8"/>
      <c r="ER792" s="8"/>
      <c r="ES792" s="8"/>
      <c r="ET792" s="8"/>
      <c r="EU792" s="8"/>
      <c r="EV792" s="8"/>
      <c r="EW792" s="8"/>
      <c r="EX792" s="8"/>
      <c r="EY792" s="8"/>
      <c r="EZ792" s="8"/>
      <c r="FA792" s="8"/>
      <c r="FB792" s="8"/>
      <c r="FC792" s="8"/>
      <c r="FD792" s="8"/>
      <c r="FE792" s="8"/>
      <c r="FF792" s="8"/>
      <c r="FG792" s="8"/>
      <c r="FH792" s="8"/>
      <c r="FI792" s="8"/>
      <c r="FJ792" s="8"/>
      <c r="FK792" s="8"/>
      <c r="FL792" s="8"/>
      <c r="FM792" s="8"/>
      <c r="FN792" s="8"/>
      <c r="FO792" s="8"/>
      <c r="FP792" s="8"/>
      <c r="FQ792" s="8"/>
      <c r="FR792" s="8"/>
      <c r="FS792" s="8"/>
      <c r="FT792" s="8"/>
      <c r="FU792" s="8"/>
      <c r="FV792" s="8"/>
      <c r="FW792" s="8"/>
      <c r="FX792" s="8"/>
      <c r="FY792" s="8"/>
      <c r="FZ792" s="8"/>
      <c r="GA792" s="8"/>
      <c r="GB792" s="8"/>
      <c r="GC792" s="8"/>
      <c r="GD792" s="8"/>
      <c r="GE792" s="8"/>
      <c r="GF792" s="8"/>
      <c r="GG792" s="8"/>
      <c r="GH792" s="8"/>
      <c r="GI792" s="8"/>
      <c r="GJ792" s="8"/>
      <c r="GK792" s="8"/>
      <c r="GL792" s="8"/>
      <c r="GM792" s="8"/>
      <c r="GN792" s="8"/>
      <c r="GO792" s="8"/>
      <c r="GP792" s="8"/>
      <c r="GQ792" s="8"/>
      <c r="GR792" s="8"/>
      <c r="GS792" s="8"/>
      <c r="GT792" s="8"/>
      <c r="GU792" s="8"/>
      <c r="GV792" s="8"/>
      <c r="GW792" s="8"/>
      <c r="GX792" s="8"/>
      <c r="GY792" s="8"/>
      <c r="GZ792" s="8"/>
      <c r="HA792" s="8"/>
      <c r="HB792" s="8"/>
      <c r="HC792" s="8"/>
      <c r="HD792" s="8"/>
      <c r="HE792" s="8"/>
      <c r="HF792" s="8"/>
      <c r="HG792" s="8"/>
      <c r="HH792" s="8"/>
      <c r="HI792" s="8"/>
      <c r="HJ792" s="8"/>
      <c r="HK792" s="8"/>
      <c r="HL792" s="8"/>
      <c r="HM792" s="8"/>
      <c r="HN792" s="8"/>
      <c r="HO792" s="8"/>
      <c r="HP792" s="8"/>
      <c r="HQ792" s="8"/>
      <c r="HR792" s="8"/>
      <c r="HS792" s="8"/>
      <c r="HT792" s="8"/>
      <c r="HU792" s="8"/>
      <c r="HV792" s="8"/>
      <c r="HW792" s="8"/>
      <c r="HX792" s="8"/>
      <c r="HY792" s="8"/>
      <c r="HZ792" s="8"/>
      <c r="IA792" s="8"/>
      <c r="IB792" s="8"/>
      <c r="IC792" s="8"/>
      <c r="ID792" s="8"/>
      <c r="IE792" s="8"/>
      <c r="IF792" s="8"/>
      <c r="IG792" s="8"/>
      <c r="IH792" s="8"/>
      <c r="II792" s="8"/>
      <c r="IJ792" s="8"/>
      <c r="IK792" s="8"/>
      <c r="IL792" s="8"/>
      <c r="IM792" s="8"/>
      <c r="IN792" s="8"/>
      <c r="IO792" s="8"/>
      <c r="IP792" s="8"/>
      <c r="IQ792" s="8"/>
      <c r="IR792" s="8"/>
      <c r="IS792" s="8"/>
      <c r="IT792" s="8"/>
      <c r="IU792" s="8"/>
      <c r="IV792" s="8"/>
      <c r="IW792" s="8"/>
      <c r="IX792" s="8"/>
    </row>
    <row r="793" spans="1:258" ht="21.95" customHeight="1" x14ac:dyDescent="0.25">
      <c r="A793" s="24" t="s">
        <v>1059</v>
      </c>
      <c r="B793" s="9" t="s">
        <v>76</v>
      </c>
      <c r="C793" s="3">
        <f t="shared" si="374"/>
        <v>1541255</v>
      </c>
      <c r="D793" s="4">
        <f t="shared" si="399"/>
        <v>1441255</v>
      </c>
      <c r="E793" s="4">
        <f>350*613.3</f>
        <v>214654.99999999997</v>
      </c>
      <c r="F793" s="4">
        <f>1050*613.3</f>
        <v>643965</v>
      </c>
      <c r="G793" s="4">
        <f>300*613.3</f>
        <v>183990</v>
      </c>
      <c r="H793" s="4">
        <f>400*613.3</f>
        <v>245319.99999999997</v>
      </c>
      <c r="I793" s="4">
        <f>250*613.3</f>
        <v>153325</v>
      </c>
      <c r="J793" s="4">
        <f>350*0</f>
        <v>0</v>
      </c>
      <c r="K793" s="12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4">
        <f t="shared" si="400"/>
        <v>0</v>
      </c>
      <c r="S793" s="6">
        <v>0</v>
      </c>
      <c r="T793" s="4">
        <v>0</v>
      </c>
      <c r="U793" s="6">
        <v>100000</v>
      </c>
      <c r="V793" s="7" t="e">
        <f t="shared" si="401"/>
        <v>#DIV/0!</v>
      </c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  <c r="CU793" s="7"/>
      <c r="CV793" s="7"/>
      <c r="CW793" s="7"/>
      <c r="CX793" s="7"/>
      <c r="CY793" s="7"/>
      <c r="CZ793" s="7"/>
      <c r="DA793" s="7"/>
      <c r="DB793" s="7"/>
      <c r="DC793" s="7"/>
      <c r="DD793" s="7"/>
      <c r="DE793" s="7"/>
      <c r="DF793" s="7"/>
      <c r="DG793" s="7"/>
      <c r="DH793" s="7"/>
      <c r="DI793" s="7"/>
      <c r="DJ793" s="7"/>
      <c r="DK793" s="7"/>
      <c r="DL793" s="7"/>
      <c r="DM793" s="7"/>
      <c r="DN793" s="7"/>
      <c r="DO793" s="7"/>
      <c r="DP793" s="7"/>
      <c r="DQ793" s="7"/>
      <c r="DR793" s="7"/>
      <c r="DS793" s="7"/>
      <c r="DT793" s="7"/>
      <c r="DU793" s="7"/>
      <c r="DV793" s="7"/>
      <c r="DW793" s="7"/>
      <c r="DX793" s="7"/>
      <c r="DY793" s="7"/>
      <c r="DZ793" s="7"/>
      <c r="EA793" s="7"/>
      <c r="EB793" s="7"/>
      <c r="EC793" s="7"/>
      <c r="ED793" s="7"/>
      <c r="EE793" s="7"/>
      <c r="EF793" s="7"/>
      <c r="EG793" s="7"/>
      <c r="EH793" s="7"/>
      <c r="EI793" s="7"/>
      <c r="EJ793" s="7"/>
      <c r="EK793" s="7"/>
      <c r="EL793" s="7"/>
      <c r="EM793" s="7"/>
      <c r="EN793" s="7"/>
      <c r="EO793" s="7"/>
      <c r="EP793" s="7"/>
      <c r="EQ793" s="7"/>
      <c r="ER793" s="7"/>
      <c r="ES793" s="7"/>
      <c r="ET793" s="7"/>
      <c r="EU793" s="7"/>
      <c r="EV793" s="7"/>
      <c r="EW793" s="7"/>
      <c r="EX793" s="7"/>
      <c r="EY793" s="7"/>
      <c r="EZ793" s="7"/>
      <c r="FA793" s="7"/>
      <c r="FB793" s="7"/>
      <c r="FC793" s="7"/>
      <c r="FD793" s="7"/>
      <c r="FE793" s="7"/>
      <c r="FF793" s="7"/>
      <c r="FG793" s="7"/>
      <c r="FH793" s="7"/>
      <c r="FI793" s="7"/>
      <c r="FJ793" s="7"/>
      <c r="FK793" s="7"/>
      <c r="FL793" s="7"/>
      <c r="FM793" s="7"/>
      <c r="FN793" s="7"/>
      <c r="FO793" s="7"/>
      <c r="FP793" s="7"/>
      <c r="FQ793" s="7"/>
      <c r="FR793" s="7"/>
      <c r="FS793" s="7"/>
      <c r="FT793" s="7"/>
      <c r="FU793" s="7"/>
      <c r="FV793" s="7"/>
      <c r="FW793" s="7"/>
      <c r="FX793" s="7"/>
      <c r="FY793" s="7"/>
      <c r="FZ793" s="7"/>
      <c r="GA793" s="7"/>
      <c r="GB793" s="7"/>
      <c r="GC793" s="7"/>
      <c r="GD793" s="7"/>
      <c r="GE793" s="7"/>
      <c r="GF793" s="7"/>
      <c r="GG793" s="7"/>
      <c r="GH793" s="7"/>
      <c r="GI793" s="7"/>
      <c r="GJ793" s="7"/>
      <c r="GK793" s="7"/>
      <c r="GL793" s="7"/>
      <c r="GM793" s="7"/>
      <c r="GN793" s="7"/>
      <c r="GO793" s="7"/>
      <c r="GP793" s="7"/>
      <c r="GQ793" s="7"/>
      <c r="GR793" s="7"/>
      <c r="GS793" s="7"/>
      <c r="GT793" s="7"/>
      <c r="GU793" s="7"/>
      <c r="GV793" s="7"/>
      <c r="GW793" s="7"/>
      <c r="GX793" s="7"/>
      <c r="GY793" s="7"/>
      <c r="GZ793" s="7"/>
      <c r="HA793" s="7"/>
      <c r="HB793" s="7"/>
      <c r="HC793" s="7"/>
      <c r="HD793" s="7"/>
      <c r="HE793" s="7"/>
      <c r="HF793" s="7"/>
      <c r="HG793" s="7"/>
      <c r="HH793" s="7"/>
      <c r="HI793" s="7"/>
      <c r="HJ793" s="7"/>
      <c r="HK793" s="7"/>
      <c r="HL793" s="7"/>
      <c r="HM793" s="7"/>
      <c r="HN793" s="7"/>
      <c r="HO793" s="7"/>
      <c r="HP793" s="7"/>
      <c r="HQ793" s="7"/>
      <c r="HR793" s="7"/>
      <c r="HS793" s="7"/>
      <c r="HT793" s="7"/>
      <c r="HU793" s="7"/>
      <c r="HV793" s="7"/>
      <c r="HW793" s="7"/>
      <c r="HX793" s="7"/>
      <c r="HY793" s="7"/>
      <c r="HZ793" s="7"/>
      <c r="IA793" s="7"/>
      <c r="IB793" s="7"/>
      <c r="IC793" s="7"/>
      <c r="ID793" s="7"/>
      <c r="IE793" s="7"/>
      <c r="IF793" s="7"/>
      <c r="IG793" s="7"/>
      <c r="IH793" s="7"/>
      <c r="II793" s="7"/>
      <c r="IJ793" s="7"/>
      <c r="IK793" s="7"/>
      <c r="IL793" s="7"/>
      <c r="IM793" s="7"/>
      <c r="IN793" s="7"/>
      <c r="IO793" s="7"/>
      <c r="IP793" s="7"/>
      <c r="IQ793" s="7"/>
      <c r="IR793" s="7"/>
      <c r="IS793" s="7"/>
      <c r="IT793" s="7"/>
      <c r="IU793" s="7"/>
      <c r="IV793" s="7"/>
      <c r="IW793" s="7"/>
      <c r="IX793" s="7"/>
    </row>
    <row r="794" spans="1:258" ht="45" customHeight="1" x14ac:dyDescent="0.25">
      <c r="A794" s="55" t="s">
        <v>81</v>
      </c>
      <c r="B794" s="55"/>
      <c r="C794" s="3">
        <f>SUM(C795:C796)</f>
        <v>2060850</v>
      </c>
      <c r="D794" s="3">
        <f t="shared" ref="D794:U794" si="402">SUM(D795:D796)</f>
        <v>0</v>
      </c>
      <c r="E794" s="3">
        <f t="shared" si="402"/>
        <v>0</v>
      </c>
      <c r="F794" s="3">
        <f t="shared" si="402"/>
        <v>0</v>
      </c>
      <c r="G794" s="3">
        <f t="shared" si="402"/>
        <v>0</v>
      </c>
      <c r="H794" s="3">
        <f t="shared" si="402"/>
        <v>0</v>
      </c>
      <c r="I794" s="3">
        <f t="shared" si="402"/>
        <v>0</v>
      </c>
      <c r="J794" s="3">
        <f t="shared" si="402"/>
        <v>0</v>
      </c>
      <c r="K794" s="15">
        <f t="shared" si="402"/>
        <v>0</v>
      </c>
      <c r="L794" s="3">
        <f t="shared" si="402"/>
        <v>0</v>
      </c>
      <c r="M794" s="3">
        <f t="shared" si="402"/>
        <v>374.7</v>
      </c>
      <c r="N794" s="3">
        <f t="shared" si="402"/>
        <v>2060850</v>
      </c>
      <c r="O794" s="3">
        <f t="shared" si="402"/>
        <v>0</v>
      </c>
      <c r="P794" s="3">
        <f t="shared" si="402"/>
        <v>0</v>
      </c>
      <c r="Q794" s="3">
        <f t="shared" si="402"/>
        <v>0</v>
      </c>
      <c r="R794" s="3">
        <f t="shared" si="402"/>
        <v>0</v>
      </c>
      <c r="S794" s="3">
        <f t="shared" si="402"/>
        <v>0</v>
      </c>
      <c r="T794" s="3">
        <f t="shared" si="402"/>
        <v>0</v>
      </c>
      <c r="U794" s="3">
        <f t="shared" si="402"/>
        <v>0</v>
      </c>
    </row>
    <row r="795" spans="1:258" ht="21.95" customHeight="1" x14ac:dyDescent="0.25">
      <c r="A795" s="1" t="s">
        <v>1060</v>
      </c>
      <c r="B795" s="2" t="s">
        <v>82</v>
      </c>
      <c r="C795" s="3">
        <f t="shared" si="374"/>
        <v>1015849.9999999999</v>
      </c>
      <c r="D795" s="4">
        <f t="shared" ref="D795:D796" si="403">SUM(E795:J795)</f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5">
        <v>0</v>
      </c>
      <c r="L795" s="4">
        <v>0</v>
      </c>
      <c r="M795" s="4">
        <v>184.7</v>
      </c>
      <c r="N795" s="4">
        <f t="shared" ref="N795:N796" si="404">M795*5500</f>
        <v>1015849.9999999999</v>
      </c>
      <c r="O795" s="4">
        <v>0</v>
      </c>
      <c r="P795" s="4">
        <v>0</v>
      </c>
      <c r="Q795" s="4">
        <v>0</v>
      </c>
      <c r="R795" s="4">
        <f t="shared" ref="R795:R796" si="405">Q795*3000</f>
        <v>0</v>
      </c>
      <c r="S795" s="4">
        <v>0</v>
      </c>
      <c r="T795" s="4">
        <v>0</v>
      </c>
      <c r="U795" s="4">
        <v>0</v>
      </c>
      <c r="V795" s="7">
        <f t="shared" ref="V795:V796" si="406">N795/M795</f>
        <v>5500</v>
      </c>
    </row>
    <row r="796" spans="1:258" s="19" customFormat="1" ht="21.95" customHeight="1" x14ac:dyDescent="0.25">
      <c r="A796" s="1" t="s">
        <v>1061</v>
      </c>
      <c r="B796" s="2" t="s">
        <v>83</v>
      </c>
      <c r="C796" s="3">
        <f t="shared" si="374"/>
        <v>1045000</v>
      </c>
      <c r="D796" s="4">
        <f t="shared" si="403"/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5">
        <v>0</v>
      </c>
      <c r="L796" s="4">
        <v>0</v>
      </c>
      <c r="M796" s="4">
        <v>190</v>
      </c>
      <c r="N796" s="4">
        <f t="shared" si="404"/>
        <v>1045000</v>
      </c>
      <c r="O796" s="4">
        <v>0</v>
      </c>
      <c r="P796" s="4">
        <v>0</v>
      </c>
      <c r="Q796" s="4">
        <v>0</v>
      </c>
      <c r="R796" s="4">
        <f t="shared" si="405"/>
        <v>0</v>
      </c>
      <c r="S796" s="4">
        <v>0</v>
      </c>
      <c r="T796" s="4">
        <v>0</v>
      </c>
      <c r="U796" s="4">
        <v>0</v>
      </c>
      <c r="V796" s="7">
        <f t="shared" si="406"/>
        <v>5500</v>
      </c>
    </row>
    <row r="797" spans="1:258" ht="45" customHeight="1" x14ac:dyDescent="0.25">
      <c r="A797" s="55" t="s">
        <v>832</v>
      </c>
      <c r="B797" s="55"/>
      <c r="C797" s="3">
        <f>SUM(C798:C800)</f>
        <v>11442633</v>
      </c>
      <c r="D797" s="3">
        <f t="shared" ref="D797:U797" si="407">SUM(D798:D800)</f>
        <v>3267333</v>
      </c>
      <c r="E797" s="3">
        <f t="shared" si="407"/>
        <v>571193</v>
      </c>
      <c r="F797" s="3">
        <f t="shared" si="407"/>
        <v>1302399</v>
      </c>
      <c r="G797" s="3">
        <f t="shared" si="407"/>
        <v>489594</v>
      </c>
      <c r="H797" s="3">
        <f t="shared" si="407"/>
        <v>496152</v>
      </c>
      <c r="I797" s="3">
        <f t="shared" si="407"/>
        <v>407995</v>
      </c>
      <c r="J797" s="3">
        <f t="shared" si="407"/>
        <v>0</v>
      </c>
      <c r="K797" s="15">
        <f t="shared" si="407"/>
        <v>0</v>
      </c>
      <c r="L797" s="3">
        <f t="shared" si="407"/>
        <v>0</v>
      </c>
      <c r="M797" s="3">
        <f t="shared" si="407"/>
        <v>1128.5999999999999</v>
      </c>
      <c r="N797" s="3">
        <f t="shared" si="407"/>
        <v>6207300</v>
      </c>
      <c r="O797" s="3">
        <f t="shared" si="407"/>
        <v>0</v>
      </c>
      <c r="P797" s="3">
        <f t="shared" si="407"/>
        <v>0</v>
      </c>
      <c r="Q797" s="3">
        <f t="shared" si="407"/>
        <v>556</v>
      </c>
      <c r="R797" s="3">
        <f t="shared" si="407"/>
        <v>1668000</v>
      </c>
      <c r="S797" s="3">
        <f t="shared" si="407"/>
        <v>0</v>
      </c>
      <c r="T797" s="3">
        <f t="shared" si="407"/>
        <v>0</v>
      </c>
      <c r="U797" s="3">
        <f t="shared" si="407"/>
        <v>300000</v>
      </c>
    </row>
    <row r="798" spans="1:258" ht="21.95" customHeight="1" x14ac:dyDescent="0.25">
      <c r="A798" s="1" t="s">
        <v>1062</v>
      </c>
      <c r="B798" s="9" t="s">
        <v>85</v>
      </c>
      <c r="C798" s="3">
        <f t="shared" si="374"/>
        <v>2055139.9999999998</v>
      </c>
      <c r="D798" s="4">
        <f t="shared" ref="D798:D800" si="408">SUM(E798:J798)</f>
        <v>352440</v>
      </c>
      <c r="E798" s="4">
        <f>350*391.6</f>
        <v>137060</v>
      </c>
      <c r="F798" s="4">
        <v>0</v>
      </c>
      <c r="G798" s="4">
        <f>300*391.6</f>
        <v>117480</v>
      </c>
      <c r="H798" s="4">
        <v>0</v>
      </c>
      <c r="I798" s="4">
        <f>250*391.6</f>
        <v>97900</v>
      </c>
      <c r="J798" s="4">
        <f>350*0</f>
        <v>0</v>
      </c>
      <c r="K798" s="5">
        <v>0</v>
      </c>
      <c r="L798" s="4">
        <v>0</v>
      </c>
      <c r="M798" s="6">
        <v>291.39999999999998</v>
      </c>
      <c r="N798" s="4">
        <f t="shared" ref="N798:N800" si="409">M798*5500</f>
        <v>1602699.9999999998</v>
      </c>
      <c r="O798" s="4">
        <v>0</v>
      </c>
      <c r="P798" s="4">
        <v>0</v>
      </c>
      <c r="Q798" s="4">
        <v>0</v>
      </c>
      <c r="R798" s="4">
        <f t="shared" ref="R798:R800" si="410">Q798*3000</f>
        <v>0</v>
      </c>
      <c r="S798" s="4">
        <v>0</v>
      </c>
      <c r="T798" s="4">
        <v>0</v>
      </c>
      <c r="U798" s="4">
        <v>100000</v>
      </c>
      <c r="V798" s="7">
        <f t="shared" ref="V798:V800" si="411">N798/M798</f>
        <v>5500</v>
      </c>
    </row>
    <row r="799" spans="1:258" ht="21.95" customHeight="1" x14ac:dyDescent="0.25">
      <c r="A799" s="1" t="s">
        <v>1063</v>
      </c>
      <c r="B799" s="9" t="s">
        <v>1380</v>
      </c>
      <c r="C799" s="3">
        <f t="shared" si="374"/>
        <v>6294980</v>
      </c>
      <c r="D799" s="4">
        <f t="shared" si="408"/>
        <v>1754980</v>
      </c>
      <c r="E799" s="4">
        <f>350*746.8</f>
        <v>261379.99999999997</v>
      </c>
      <c r="F799" s="4">
        <f>1050*746.8</f>
        <v>784140</v>
      </c>
      <c r="G799" s="4">
        <f>300*746.8</f>
        <v>224040</v>
      </c>
      <c r="H799" s="4">
        <f>400*746.8</f>
        <v>298720</v>
      </c>
      <c r="I799" s="4">
        <f>250*746.8</f>
        <v>186700</v>
      </c>
      <c r="J799" s="4">
        <v>0</v>
      </c>
      <c r="K799" s="5">
        <v>0</v>
      </c>
      <c r="L799" s="4">
        <v>0</v>
      </c>
      <c r="M799" s="6">
        <v>504</v>
      </c>
      <c r="N799" s="4">
        <f t="shared" si="409"/>
        <v>2772000</v>
      </c>
      <c r="O799" s="4">
        <v>0</v>
      </c>
      <c r="P799" s="4">
        <v>0</v>
      </c>
      <c r="Q799" s="4">
        <v>556</v>
      </c>
      <c r="R799" s="4">
        <f t="shared" si="410"/>
        <v>1668000</v>
      </c>
      <c r="S799" s="4">
        <v>0</v>
      </c>
      <c r="T799" s="4">
        <v>0</v>
      </c>
      <c r="U799" s="4">
        <v>100000</v>
      </c>
      <c r="V799" s="7">
        <f t="shared" si="411"/>
        <v>5500</v>
      </c>
    </row>
    <row r="800" spans="1:258" ht="21.95" customHeight="1" x14ac:dyDescent="0.25">
      <c r="A800" s="1" t="s">
        <v>1064</v>
      </c>
      <c r="B800" s="9" t="s">
        <v>86</v>
      </c>
      <c r="C800" s="3">
        <f t="shared" si="374"/>
        <v>3092513</v>
      </c>
      <c r="D800" s="4">
        <f t="shared" si="408"/>
        <v>1159913</v>
      </c>
      <c r="E800" s="4">
        <f>350*493.58</f>
        <v>172753</v>
      </c>
      <c r="F800" s="4">
        <f>1050*493.58</f>
        <v>518259</v>
      </c>
      <c r="G800" s="4">
        <f>300*493.58</f>
        <v>148074</v>
      </c>
      <c r="H800" s="4">
        <f>400*493.58</f>
        <v>197432</v>
      </c>
      <c r="I800" s="4">
        <f>250*493.58</f>
        <v>123395</v>
      </c>
      <c r="J800" s="4">
        <v>0</v>
      </c>
      <c r="K800" s="5">
        <v>0</v>
      </c>
      <c r="L800" s="4">
        <v>0</v>
      </c>
      <c r="M800" s="6">
        <v>333.2</v>
      </c>
      <c r="N800" s="4">
        <f t="shared" si="409"/>
        <v>1832600</v>
      </c>
      <c r="O800" s="4">
        <v>0</v>
      </c>
      <c r="P800" s="4">
        <v>0</v>
      </c>
      <c r="Q800" s="4">
        <v>0</v>
      </c>
      <c r="R800" s="4">
        <f t="shared" si="410"/>
        <v>0</v>
      </c>
      <c r="S800" s="4">
        <v>0</v>
      </c>
      <c r="T800" s="4">
        <v>0</v>
      </c>
      <c r="U800" s="4">
        <v>100000</v>
      </c>
      <c r="V800" s="7">
        <f t="shared" si="411"/>
        <v>5500</v>
      </c>
    </row>
    <row r="801" spans="1:22" ht="45" customHeight="1" x14ac:dyDescent="0.25">
      <c r="A801" s="55" t="s">
        <v>1198</v>
      </c>
      <c r="B801" s="55"/>
      <c r="C801" s="3">
        <f>SUM(C802)</f>
        <v>3873617.4000000004</v>
      </c>
      <c r="D801" s="3">
        <f t="shared" ref="D801:U801" si="412">SUM(D802)</f>
        <v>0</v>
      </c>
      <c r="E801" s="3">
        <f t="shared" si="412"/>
        <v>0</v>
      </c>
      <c r="F801" s="3">
        <f t="shared" si="412"/>
        <v>0</v>
      </c>
      <c r="G801" s="3">
        <f t="shared" si="412"/>
        <v>0</v>
      </c>
      <c r="H801" s="3">
        <f t="shared" si="412"/>
        <v>0</v>
      </c>
      <c r="I801" s="3">
        <f t="shared" si="412"/>
        <v>0</v>
      </c>
      <c r="J801" s="3">
        <f t="shared" si="412"/>
        <v>0</v>
      </c>
      <c r="K801" s="15">
        <f t="shared" si="412"/>
        <v>0</v>
      </c>
      <c r="L801" s="3">
        <f t="shared" si="412"/>
        <v>0</v>
      </c>
      <c r="M801" s="3">
        <f t="shared" si="412"/>
        <v>1050.9000000000001</v>
      </c>
      <c r="N801" s="3">
        <f t="shared" si="412"/>
        <v>3873617.4000000004</v>
      </c>
      <c r="O801" s="3">
        <f t="shared" si="412"/>
        <v>0</v>
      </c>
      <c r="P801" s="3">
        <f t="shared" si="412"/>
        <v>0</v>
      </c>
      <c r="Q801" s="3">
        <f t="shared" si="412"/>
        <v>0</v>
      </c>
      <c r="R801" s="3">
        <f t="shared" si="412"/>
        <v>0</v>
      </c>
      <c r="S801" s="3">
        <f t="shared" si="412"/>
        <v>0</v>
      </c>
      <c r="T801" s="3">
        <f t="shared" si="412"/>
        <v>0</v>
      </c>
      <c r="U801" s="3">
        <f t="shared" si="412"/>
        <v>0</v>
      </c>
      <c r="V801" s="21">
        <f>C801</f>
        <v>3873617.4000000004</v>
      </c>
    </row>
    <row r="802" spans="1:22" ht="21.95" customHeight="1" x14ac:dyDescent="0.25">
      <c r="A802" s="1" t="s">
        <v>1065</v>
      </c>
      <c r="B802" s="9" t="s">
        <v>1199</v>
      </c>
      <c r="C802" s="3">
        <f t="shared" si="374"/>
        <v>3873617.4000000004</v>
      </c>
      <c r="D802" s="4">
        <f t="shared" ref="D802" si="413">SUM(E802:J802)</f>
        <v>0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5">
        <v>0</v>
      </c>
      <c r="L802" s="4">
        <v>0</v>
      </c>
      <c r="M802" s="6">
        <v>1050.9000000000001</v>
      </c>
      <c r="N802" s="4">
        <f>M802*3686</f>
        <v>3873617.4000000004</v>
      </c>
      <c r="O802" s="4">
        <v>0</v>
      </c>
      <c r="P802" s="4">
        <v>0</v>
      </c>
      <c r="Q802" s="4">
        <v>0</v>
      </c>
      <c r="R802" s="4">
        <f>Q802*3000</f>
        <v>0</v>
      </c>
      <c r="S802" s="4">
        <v>0</v>
      </c>
      <c r="T802" s="4">
        <v>0</v>
      </c>
      <c r="U802" s="4">
        <v>0</v>
      </c>
      <c r="V802" s="7">
        <f t="shared" ref="V802" si="414">N802/M802</f>
        <v>3686</v>
      </c>
    </row>
    <row r="803" spans="1:22" ht="45" customHeight="1" x14ac:dyDescent="0.25">
      <c r="A803" s="55" t="s">
        <v>93</v>
      </c>
      <c r="B803" s="55"/>
      <c r="C803" s="3">
        <f>SUM(C804:C805)</f>
        <v>5000000</v>
      </c>
      <c r="D803" s="3">
        <f t="shared" ref="D803:U803" si="415">SUM(D804:D805)</f>
        <v>0</v>
      </c>
      <c r="E803" s="3">
        <f t="shared" si="415"/>
        <v>0</v>
      </c>
      <c r="F803" s="3">
        <f t="shared" si="415"/>
        <v>0</v>
      </c>
      <c r="G803" s="3">
        <f t="shared" si="415"/>
        <v>0</v>
      </c>
      <c r="H803" s="3">
        <f t="shared" si="415"/>
        <v>0</v>
      </c>
      <c r="I803" s="3">
        <f t="shared" si="415"/>
        <v>0</v>
      </c>
      <c r="J803" s="3">
        <f t="shared" si="415"/>
        <v>0</v>
      </c>
      <c r="K803" s="15">
        <f t="shared" si="415"/>
        <v>2</v>
      </c>
      <c r="L803" s="3">
        <f t="shared" si="415"/>
        <v>4600000</v>
      </c>
      <c r="M803" s="3">
        <f t="shared" si="415"/>
        <v>0</v>
      </c>
      <c r="N803" s="3">
        <f t="shared" si="415"/>
        <v>0</v>
      </c>
      <c r="O803" s="3">
        <f t="shared" si="415"/>
        <v>0</v>
      </c>
      <c r="P803" s="3">
        <f t="shared" si="415"/>
        <v>0</v>
      </c>
      <c r="Q803" s="3">
        <f t="shared" si="415"/>
        <v>0</v>
      </c>
      <c r="R803" s="3">
        <f t="shared" si="415"/>
        <v>0</v>
      </c>
      <c r="S803" s="3">
        <f t="shared" si="415"/>
        <v>0</v>
      </c>
      <c r="T803" s="3">
        <f t="shared" si="415"/>
        <v>0</v>
      </c>
      <c r="U803" s="3">
        <f t="shared" si="415"/>
        <v>400000</v>
      </c>
    </row>
    <row r="804" spans="1:22" ht="21.95" customHeight="1" x14ac:dyDescent="0.25">
      <c r="A804" s="1" t="s">
        <v>1066</v>
      </c>
      <c r="B804" s="9" t="s">
        <v>97</v>
      </c>
      <c r="C804" s="3">
        <f t="shared" si="374"/>
        <v>2500000</v>
      </c>
      <c r="D804" s="4">
        <f t="shared" ref="D804:D805" si="416">SUM(E804:J804)</f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5">
        <v>1</v>
      </c>
      <c r="L804" s="4">
        <v>2300000</v>
      </c>
      <c r="M804" s="6">
        <v>0</v>
      </c>
      <c r="N804" s="6">
        <v>0</v>
      </c>
      <c r="O804" s="4">
        <v>0</v>
      </c>
      <c r="P804" s="4">
        <v>0</v>
      </c>
      <c r="Q804" s="4">
        <v>0</v>
      </c>
      <c r="R804" s="4">
        <f t="shared" ref="R804:R805" si="417">Q804*3000</f>
        <v>0</v>
      </c>
      <c r="S804" s="4">
        <v>0</v>
      </c>
      <c r="T804" s="4">
        <v>0</v>
      </c>
      <c r="U804" s="4">
        <v>200000</v>
      </c>
      <c r="V804" s="7" t="e">
        <f t="shared" ref="V804:V805" si="418">N804/M804</f>
        <v>#DIV/0!</v>
      </c>
    </row>
    <row r="805" spans="1:22" ht="21.95" customHeight="1" x14ac:dyDescent="0.25">
      <c r="A805" s="1" t="s">
        <v>1067</v>
      </c>
      <c r="B805" s="9" t="s">
        <v>101</v>
      </c>
      <c r="C805" s="3">
        <f t="shared" si="374"/>
        <v>2500000</v>
      </c>
      <c r="D805" s="4">
        <f t="shared" si="416"/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5">
        <v>1</v>
      </c>
      <c r="L805" s="4">
        <v>2300000</v>
      </c>
      <c r="M805" s="6">
        <v>0</v>
      </c>
      <c r="N805" s="6">
        <v>0</v>
      </c>
      <c r="O805" s="4">
        <v>0</v>
      </c>
      <c r="P805" s="4">
        <v>0</v>
      </c>
      <c r="Q805" s="4">
        <v>0</v>
      </c>
      <c r="R805" s="4">
        <f t="shared" si="417"/>
        <v>0</v>
      </c>
      <c r="S805" s="4">
        <v>0</v>
      </c>
      <c r="T805" s="4">
        <v>0</v>
      </c>
      <c r="U805" s="4">
        <v>200000</v>
      </c>
      <c r="V805" s="7" t="e">
        <f t="shared" si="418"/>
        <v>#DIV/0!</v>
      </c>
    </row>
    <row r="806" spans="1:22" ht="45" customHeight="1" x14ac:dyDescent="0.25">
      <c r="A806" s="55" t="s">
        <v>102</v>
      </c>
      <c r="B806" s="55"/>
      <c r="C806" s="3">
        <f>SUM(C807:C810)</f>
        <v>11245600</v>
      </c>
      <c r="D806" s="3">
        <f t="shared" ref="D806:U806" si="419">SUM(D807:D810)</f>
        <v>0</v>
      </c>
      <c r="E806" s="3">
        <f t="shared" si="419"/>
        <v>0</v>
      </c>
      <c r="F806" s="3">
        <f t="shared" si="419"/>
        <v>0</v>
      </c>
      <c r="G806" s="3">
        <f t="shared" si="419"/>
        <v>0</v>
      </c>
      <c r="H806" s="3">
        <f t="shared" si="419"/>
        <v>0</v>
      </c>
      <c r="I806" s="3">
        <f t="shared" si="419"/>
        <v>0</v>
      </c>
      <c r="J806" s="3">
        <f t="shared" si="419"/>
        <v>0</v>
      </c>
      <c r="K806" s="15">
        <f t="shared" si="419"/>
        <v>0</v>
      </c>
      <c r="L806" s="3">
        <f t="shared" si="419"/>
        <v>0</v>
      </c>
      <c r="M806" s="3">
        <f t="shared" si="419"/>
        <v>2325</v>
      </c>
      <c r="N806" s="3">
        <f t="shared" si="419"/>
        <v>11245600</v>
      </c>
      <c r="O806" s="3">
        <f t="shared" si="419"/>
        <v>0</v>
      </c>
      <c r="P806" s="3">
        <f t="shared" si="419"/>
        <v>0</v>
      </c>
      <c r="Q806" s="3">
        <f t="shared" si="419"/>
        <v>0</v>
      </c>
      <c r="R806" s="3">
        <f t="shared" si="419"/>
        <v>0</v>
      </c>
      <c r="S806" s="3">
        <f t="shared" si="419"/>
        <v>0</v>
      </c>
      <c r="T806" s="3">
        <f t="shared" si="419"/>
        <v>0</v>
      </c>
      <c r="U806" s="3">
        <f t="shared" si="419"/>
        <v>0</v>
      </c>
    </row>
    <row r="807" spans="1:22" ht="21" customHeight="1" x14ac:dyDescent="0.25">
      <c r="A807" s="1" t="s">
        <v>1068</v>
      </c>
      <c r="B807" s="9" t="s">
        <v>104</v>
      </c>
      <c r="C807" s="3">
        <f t="shared" si="374"/>
        <v>2480500</v>
      </c>
      <c r="D807" s="4">
        <f t="shared" ref="D807:D810" si="420">SUM(E807:J807)</f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5">
        <v>0</v>
      </c>
      <c r="L807" s="4">
        <v>0</v>
      </c>
      <c r="M807" s="6">
        <v>451</v>
      </c>
      <c r="N807" s="4">
        <f t="shared" ref="N807:N808" si="421">M807*5500</f>
        <v>2480500</v>
      </c>
      <c r="O807" s="4">
        <v>0</v>
      </c>
      <c r="P807" s="4">
        <v>0</v>
      </c>
      <c r="Q807" s="4">
        <v>0</v>
      </c>
      <c r="R807" s="4">
        <f t="shared" ref="R807:R810" si="422">Q807*3000</f>
        <v>0</v>
      </c>
      <c r="S807" s="4">
        <v>0</v>
      </c>
      <c r="T807" s="4">
        <v>0</v>
      </c>
      <c r="U807" s="4">
        <v>0</v>
      </c>
      <c r="V807" s="7">
        <f t="shared" ref="V807:V810" si="423">N807/M807</f>
        <v>5500</v>
      </c>
    </row>
    <row r="808" spans="1:22" ht="21" customHeight="1" x14ac:dyDescent="0.25">
      <c r="A808" s="1" t="s">
        <v>1069</v>
      </c>
      <c r="B808" s="9" t="s">
        <v>106</v>
      </c>
      <c r="C808" s="3">
        <f t="shared" si="374"/>
        <v>3250500</v>
      </c>
      <c r="D808" s="4">
        <f t="shared" si="420"/>
        <v>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5">
        <v>0</v>
      </c>
      <c r="L808" s="4">
        <v>0</v>
      </c>
      <c r="M808" s="6">
        <v>591</v>
      </c>
      <c r="N808" s="4">
        <f t="shared" si="421"/>
        <v>3250500</v>
      </c>
      <c r="O808" s="4">
        <v>0</v>
      </c>
      <c r="P808" s="4">
        <v>0</v>
      </c>
      <c r="Q808" s="4">
        <v>0</v>
      </c>
      <c r="R808" s="4">
        <f t="shared" si="422"/>
        <v>0</v>
      </c>
      <c r="S808" s="4">
        <v>0</v>
      </c>
      <c r="T808" s="4">
        <v>0</v>
      </c>
      <c r="U808" s="4">
        <v>0</v>
      </c>
      <c r="V808" s="7">
        <f t="shared" si="423"/>
        <v>5500</v>
      </c>
    </row>
    <row r="809" spans="1:22" ht="21" customHeight="1" x14ac:dyDescent="0.25">
      <c r="A809" s="1" t="s">
        <v>1602</v>
      </c>
      <c r="B809" s="9" t="s">
        <v>107</v>
      </c>
      <c r="C809" s="3">
        <f t="shared" si="374"/>
        <v>3133100</v>
      </c>
      <c r="D809" s="4">
        <f t="shared" si="420"/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5">
        <v>0</v>
      </c>
      <c r="L809" s="4">
        <v>0</v>
      </c>
      <c r="M809" s="6">
        <v>850</v>
      </c>
      <c r="N809" s="4">
        <f>M809*3686</f>
        <v>3133100</v>
      </c>
      <c r="O809" s="4">
        <v>0</v>
      </c>
      <c r="P809" s="4">
        <v>0</v>
      </c>
      <c r="Q809" s="4">
        <v>0</v>
      </c>
      <c r="R809" s="4">
        <f t="shared" si="422"/>
        <v>0</v>
      </c>
      <c r="S809" s="4">
        <v>0</v>
      </c>
      <c r="T809" s="4">
        <v>0</v>
      </c>
      <c r="U809" s="4">
        <v>0</v>
      </c>
      <c r="V809" s="7">
        <f t="shared" si="423"/>
        <v>3686</v>
      </c>
    </row>
    <row r="810" spans="1:22" ht="21" customHeight="1" x14ac:dyDescent="0.25">
      <c r="A810" s="1" t="s">
        <v>1070</v>
      </c>
      <c r="B810" s="9" t="s">
        <v>109</v>
      </c>
      <c r="C810" s="3">
        <f t="shared" si="374"/>
        <v>2381500</v>
      </c>
      <c r="D810" s="4">
        <f t="shared" si="420"/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5">
        <v>0</v>
      </c>
      <c r="L810" s="4">
        <v>0</v>
      </c>
      <c r="M810" s="6">
        <v>433</v>
      </c>
      <c r="N810" s="4">
        <f t="shared" ref="N810" si="424">M810*5500</f>
        <v>2381500</v>
      </c>
      <c r="O810" s="4">
        <v>0</v>
      </c>
      <c r="P810" s="4">
        <v>0</v>
      </c>
      <c r="Q810" s="4">
        <v>0</v>
      </c>
      <c r="R810" s="4">
        <f t="shared" si="422"/>
        <v>0</v>
      </c>
      <c r="S810" s="4">
        <v>0</v>
      </c>
      <c r="T810" s="4">
        <v>0</v>
      </c>
      <c r="U810" s="4">
        <v>0</v>
      </c>
      <c r="V810" s="7">
        <f t="shared" si="423"/>
        <v>5500</v>
      </c>
    </row>
    <row r="811" spans="1:22" ht="45" customHeight="1" x14ac:dyDescent="0.25">
      <c r="A811" s="55" t="s">
        <v>116</v>
      </c>
      <c r="B811" s="55"/>
      <c r="C811" s="3">
        <f>SUM(C812)</f>
        <v>1276000</v>
      </c>
      <c r="D811" s="3">
        <f t="shared" ref="D811:U811" si="425">SUM(D812)</f>
        <v>0</v>
      </c>
      <c r="E811" s="3">
        <f t="shared" si="425"/>
        <v>0</v>
      </c>
      <c r="F811" s="3">
        <f t="shared" si="425"/>
        <v>0</v>
      </c>
      <c r="G811" s="3">
        <f t="shared" si="425"/>
        <v>0</v>
      </c>
      <c r="H811" s="3">
        <f t="shared" si="425"/>
        <v>0</v>
      </c>
      <c r="I811" s="3">
        <f t="shared" si="425"/>
        <v>0</v>
      </c>
      <c r="J811" s="3">
        <f t="shared" si="425"/>
        <v>0</v>
      </c>
      <c r="K811" s="15">
        <f t="shared" si="425"/>
        <v>0</v>
      </c>
      <c r="L811" s="3">
        <f t="shared" si="425"/>
        <v>0</v>
      </c>
      <c r="M811" s="3">
        <f t="shared" si="425"/>
        <v>232</v>
      </c>
      <c r="N811" s="3">
        <f t="shared" si="425"/>
        <v>1276000</v>
      </c>
      <c r="O811" s="3">
        <f t="shared" si="425"/>
        <v>0</v>
      </c>
      <c r="P811" s="3">
        <f t="shared" si="425"/>
        <v>0</v>
      </c>
      <c r="Q811" s="3">
        <f t="shared" si="425"/>
        <v>0</v>
      </c>
      <c r="R811" s="3">
        <f t="shared" si="425"/>
        <v>0</v>
      </c>
      <c r="S811" s="3">
        <f t="shared" si="425"/>
        <v>0</v>
      </c>
      <c r="T811" s="3">
        <f t="shared" si="425"/>
        <v>0</v>
      </c>
      <c r="U811" s="3">
        <f t="shared" si="425"/>
        <v>0</v>
      </c>
    </row>
    <row r="812" spans="1:22" ht="21.95" customHeight="1" x14ac:dyDescent="0.25">
      <c r="A812" s="24" t="s">
        <v>1071</v>
      </c>
      <c r="B812" s="9" t="s">
        <v>117</v>
      </c>
      <c r="C812" s="3">
        <f t="shared" si="374"/>
        <v>1276000</v>
      </c>
      <c r="D812" s="4">
        <f t="shared" ref="D812" si="426">SUM(E812:J812)</f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12">
        <v>0</v>
      </c>
      <c r="L812" s="6">
        <v>0</v>
      </c>
      <c r="M812" s="6">
        <v>232</v>
      </c>
      <c r="N812" s="4">
        <f t="shared" ref="N812" si="427">M812*5500</f>
        <v>1276000</v>
      </c>
      <c r="O812" s="6">
        <v>0</v>
      </c>
      <c r="P812" s="6">
        <v>0</v>
      </c>
      <c r="Q812" s="6">
        <v>0</v>
      </c>
      <c r="R812" s="4">
        <f>Q812*3000</f>
        <v>0</v>
      </c>
      <c r="S812" s="6">
        <v>0</v>
      </c>
      <c r="T812" s="6">
        <v>0</v>
      </c>
      <c r="U812" s="6">
        <v>0</v>
      </c>
      <c r="V812" s="7">
        <f t="shared" ref="V812" si="428">N812/M812</f>
        <v>5500</v>
      </c>
    </row>
    <row r="813" spans="1:22" ht="45" customHeight="1" x14ac:dyDescent="0.25">
      <c r="A813" s="55" t="s">
        <v>1580</v>
      </c>
      <c r="B813" s="55"/>
      <c r="C813" s="3">
        <f>SUM(C814:C818)</f>
        <v>20922169.800000001</v>
      </c>
      <c r="D813" s="3">
        <f t="shared" ref="D813:U813" si="429">SUM(D814:D818)</f>
        <v>2193020</v>
      </c>
      <c r="E813" s="3">
        <f t="shared" si="429"/>
        <v>326620</v>
      </c>
      <c r="F813" s="3">
        <f t="shared" si="429"/>
        <v>979860</v>
      </c>
      <c r="G813" s="3">
        <f t="shared" si="429"/>
        <v>279960</v>
      </c>
      <c r="H813" s="3">
        <f t="shared" si="429"/>
        <v>373280</v>
      </c>
      <c r="I813" s="3">
        <f t="shared" si="429"/>
        <v>233300</v>
      </c>
      <c r="J813" s="3">
        <f t="shared" si="429"/>
        <v>0</v>
      </c>
      <c r="K813" s="15">
        <f t="shared" si="429"/>
        <v>0</v>
      </c>
      <c r="L813" s="3">
        <f t="shared" si="429"/>
        <v>0</v>
      </c>
      <c r="M813" s="3">
        <f t="shared" si="429"/>
        <v>4724.3</v>
      </c>
      <c r="N813" s="3">
        <f t="shared" si="429"/>
        <v>18629149.800000001</v>
      </c>
      <c r="O813" s="3">
        <f t="shared" si="429"/>
        <v>0</v>
      </c>
      <c r="P813" s="3">
        <f t="shared" si="429"/>
        <v>0</v>
      </c>
      <c r="Q813" s="3">
        <f t="shared" si="429"/>
        <v>0</v>
      </c>
      <c r="R813" s="3">
        <f t="shared" si="429"/>
        <v>0</v>
      </c>
      <c r="S813" s="3">
        <f t="shared" si="429"/>
        <v>0</v>
      </c>
      <c r="T813" s="3">
        <f t="shared" si="429"/>
        <v>0</v>
      </c>
      <c r="U813" s="3">
        <f t="shared" si="429"/>
        <v>100000</v>
      </c>
      <c r="V813" s="21">
        <f>C813+C1246</f>
        <v>20922169.800000001</v>
      </c>
    </row>
    <row r="814" spans="1:22" ht="21.95" customHeight="1" x14ac:dyDescent="0.25">
      <c r="A814" s="1" t="s">
        <v>1072</v>
      </c>
      <c r="B814" s="9" t="s">
        <v>1581</v>
      </c>
      <c r="C814" s="3">
        <f t="shared" si="374"/>
        <v>5053506</v>
      </c>
      <c r="D814" s="4">
        <f t="shared" ref="D814:D818" si="430">SUM(E814:J814)</f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5">
        <v>0</v>
      </c>
      <c r="L814" s="4">
        <v>0</v>
      </c>
      <c r="M814" s="6">
        <v>1371</v>
      </c>
      <c r="N814" s="6">
        <f>M814*3686</f>
        <v>5053506</v>
      </c>
      <c r="O814" s="6">
        <v>0</v>
      </c>
      <c r="P814" s="6">
        <v>0</v>
      </c>
      <c r="Q814" s="6">
        <v>0</v>
      </c>
      <c r="R814" s="4">
        <f t="shared" ref="R814:R818" si="431">Q814*3000</f>
        <v>0</v>
      </c>
      <c r="S814" s="6">
        <v>0</v>
      </c>
      <c r="T814" s="6">
        <v>0</v>
      </c>
      <c r="U814" s="6">
        <v>0</v>
      </c>
      <c r="V814" s="7">
        <f t="shared" ref="V814:V818" si="432">N814/M814</f>
        <v>3686</v>
      </c>
    </row>
    <row r="815" spans="1:22" ht="21.95" customHeight="1" x14ac:dyDescent="0.25">
      <c r="A815" s="1" t="s">
        <v>1073</v>
      </c>
      <c r="B815" s="9" t="s">
        <v>1929</v>
      </c>
      <c r="C815" s="3">
        <f t="shared" ref="C815" si="433">D815+L815+N815+P815+R815+S815+T815+U815</f>
        <v>3685000</v>
      </c>
      <c r="D815" s="4">
        <f t="shared" ref="D815" si="434">SUM(E815:J815)</f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5">
        <v>0</v>
      </c>
      <c r="L815" s="4">
        <v>0</v>
      </c>
      <c r="M815" s="6">
        <v>670</v>
      </c>
      <c r="N815" s="6">
        <f>M815*5500</f>
        <v>3685000</v>
      </c>
      <c r="O815" s="6">
        <v>0</v>
      </c>
      <c r="P815" s="6">
        <v>0</v>
      </c>
      <c r="Q815" s="6">
        <v>0</v>
      </c>
      <c r="R815" s="4">
        <v>0</v>
      </c>
      <c r="S815" s="6">
        <v>0</v>
      </c>
      <c r="T815" s="6">
        <v>0</v>
      </c>
      <c r="U815" s="6">
        <v>0</v>
      </c>
    </row>
    <row r="816" spans="1:22" ht="21.95" customHeight="1" x14ac:dyDescent="0.25">
      <c r="A816" s="1" t="s">
        <v>1074</v>
      </c>
      <c r="B816" s="9" t="s">
        <v>1930</v>
      </c>
      <c r="C816" s="3">
        <f t="shared" ref="C816" si="435">D816+L816+N816+P816+R816+S816+T816+U816</f>
        <v>2293020</v>
      </c>
      <c r="D816" s="4">
        <f t="shared" ref="D816" si="436">SUM(E816:J816)</f>
        <v>2193020</v>
      </c>
      <c r="E816" s="4">
        <f>350*933.2</f>
        <v>326620</v>
      </c>
      <c r="F816" s="4">
        <f>1050*933.2</f>
        <v>979860</v>
      </c>
      <c r="G816" s="4">
        <f>300*933.2</f>
        <v>279960</v>
      </c>
      <c r="H816" s="4">
        <f>400*933.2</f>
        <v>373280</v>
      </c>
      <c r="I816" s="4">
        <f>250*933.2</f>
        <v>233300</v>
      </c>
      <c r="J816" s="4">
        <v>0</v>
      </c>
      <c r="K816" s="5">
        <v>0</v>
      </c>
      <c r="L816" s="4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4">
        <v>0</v>
      </c>
      <c r="S816" s="6">
        <v>0</v>
      </c>
      <c r="T816" s="6">
        <v>0</v>
      </c>
      <c r="U816" s="6">
        <v>100000</v>
      </c>
    </row>
    <row r="817" spans="1:22" ht="21.95" customHeight="1" x14ac:dyDescent="0.25">
      <c r="A817" s="1" t="s">
        <v>1075</v>
      </c>
      <c r="B817" s="9" t="s">
        <v>1582</v>
      </c>
      <c r="C817" s="3">
        <f t="shared" si="374"/>
        <v>4542257.8</v>
      </c>
      <c r="D817" s="4">
        <f t="shared" si="430"/>
        <v>0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5">
        <v>0</v>
      </c>
      <c r="L817" s="4">
        <v>0</v>
      </c>
      <c r="M817" s="6">
        <v>1232.3</v>
      </c>
      <c r="N817" s="6">
        <f>M817*3686</f>
        <v>4542257.8</v>
      </c>
      <c r="O817" s="6">
        <v>0</v>
      </c>
      <c r="P817" s="6">
        <v>0</v>
      </c>
      <c r="Q817" s="6">
        <v>0</v>
      </c>
      <c r="R817" s="4">
        <f t="shared" si="431"/>
        <v>0</v>
      </c>
      <c r="S817" s="6">
        <v>0</v>
      </c>
      <c r="T817" s="6">
        <v>0</v>
      </c>
      <c r="U817" s="6">
        <v>0</v>
      </c>
      <c r="V817" s="7">
        <f t="shared" si="432"/>
        <v>3686</v>
      </c>
    </row>
    <row r="818" spans="1:22" ht="21.95" customHeight="1" x14ac:dyDescent="0.25">
      <c r="A818" s="1" t="s">
        <v>1076</v>
      </c>
      <c r="B818" s="9" t="s">
        <v>1583</v>
      </c>
      <c r="C818" s="3">
        <f t="shared" si="374"/>
        <v>5348386</v>
      </c>
      <c r="D818" s="4">
        <f t="shared" si="430"/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5">
        <v>0</v>
      </c>
      <c r="L818" s="4">
        <v>0</v>
      </c>
      <c r="M818" s="6">
        <v>1451</v>
      </c>
      <c r="N818" s="6">
        <f>M818*3686</f>
        <v>5348386</v>
      </c>
      <c r="O818" s="6">
        <v>0</v>
      </c>
      <c r="P818" s="6">
        <v>0</v>
      </c>
      <c r="Q818" s="6">
        <v>0</v>
      </c>
      <c r="R818" s="4">
        <f t="shared" si="431"/>
        <v>0</v>
      </c>
      <c r="S818" s="6">
        <v>0</v>
      </c>
      <c r="T818" s="6">
        <v>0</v>
      </c>
      <c r="U818" s="6">
        <v>0</v>
      </c>
      <c r="V818" s="7">
        <f t="shared" si="432"/>
        <v>3686</v>
      </c>
    </row>
    <row r="819" spans="1:22" ht="45" customHeight="1" x14ac:dyDescent="0.25">
      <c r="A819" s="55" t="s">
        <v>1578</v>
      </c>
      <c r="B819" s="55"/>
      <c r="C819" s="3">
        <f>SUM(C820)</f>
        <v>271026</v>
      </c>
      <c r="D819" s="3">
        <f t="shared" ref="D819:U819" si="437">SUM(D820)</f>
        <v>271026</v>
      </c>
      <c r="E819" s="3">
        <f t="shared" si="437"/>
        <v>150570</v>
      </c>
      <c r="F819" s="3">
        <f t="shared" si="437"/>
        <v>0</v>
      </c>
      <c r="G819" s="3">
        <f t="shared" si="437"/>
        <v>12906</v>
      </c>
      <c r="H819" s="3">
        <f t="shared" si="437"/>
        <v>0</v>
      </c>
      <c r="I819" s="3">
        <f t="shared" si="437"/>
        <v>107550</v>
      </c>
      <c r="J819" s="3">
        <f t="shared" si="437"/>
        <v>0</v>
      </c>
      <c r="K819" s="15">
        <f t="shared" si="437"/>
        <v>0</v>
      </c>
      <c r="L819" s="3">
        <f t="shared" si="437"/>
        <v>0</v>
      </c>
      <c r="M819" s="3">
        <f t="shared" si="437"/>
        <v>0</v>
      </c>
      <c r="N819" s="3">
        <f t="shared" si="437"/>
        <v>0</v>
      </c>
      <c r="O819" s="3">
        <f t="shared" si="437"/>
        <v>0</v>
      </c>
      <c r="P819" s="3">
        <f t="shared" si="437"/>
        <v>0</v>
      </c>
      <c r="Q819" s="3">
        <f t="shared" si="437"/>
        <v>0</v>
      </c>
      <c r="R819" s="3">
        <f t="shared" si="437"/>
        <v>0</v>
      </c>
      <c r="S819" s="3">
        <f t="shared" si="437"/>
        <v>0</v>
      </c>
      <c r="T819" s="3">
        <f t="shared" si="437"/>
        <v>0</v>
      </c>
      <c r="U819" s="3">
        <f t="shared" si="437"/>
        <v>0</v>
      </c>
      <c r="V819" s="21">
        <f>C819+C1244</f>
        <v>271026</v>
      </c>
    </row>
    <row r="820" spans="1:22" ht="21.95" customHeight="1" x14ac:dyDescent="0.25">
      <c r="A820" s="1" t="s">
        <v>1077</v>
      </c>
      <c r="B820" s="9" t="s">
        <v>1579</v>
      </c>
      <c r="C820" s="3">
        <f>D820+L820+N820+P820+R820+S820+T820+U820</f>
        <v>271026</v>
      </c>
      <c r="D820" s="4">
        <f t="shared" ref="D820" si="438">SUM(E820:J820)</f>
        <v>271026</v>
      </c>
      <c r="E820" s="4">
        <f>350*430.2</f>
        <v>150570</v>
      </c>
      <c r="F820" s="4">
        <v>0</v>
      </c>
      <c r="G820" s="4">
        <f>30*430.2</f>
        <v>12906</v>
      </c>
      <c r="H820" s="4">
        <v>0</v>
      </c>
      <c r="I820" s="4">
        <f>250*430.2</f>
        <v>107550</v>
      </c>
      <c r="J820" s="4">
        <v>0</v>
      </c>
      <c r="K820" s="5">
        <v>0</v>
      </c>
      <c r="L820" s="4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7" t="e">
        <f t="shared" ref="V820" si="439">N820/M820</f>
        <v>#DIV/0!</v>
      </c>
    </row>
    <row r="821" spans="1:22" ht="45" customHeight="1" x14ac:dyDescent="0.25">
      <c r="A821" s="55" t="s">
        <v>124</v>
      </c>
      <c r="B821" s="55"/>
      <c r="C821" s="3">
        <f>SUM(C822:C824)</f>
        <v>4748950</v>
      </c>
      <c r="D821" s="3">
        <f t="shared" ref="D821:U821" si="440">SUM(D822:D824)</f>
        <v>0</v>
      </c>
      <c r="E821" s="3">
        <f t="shared" si="440"/>
        <v>0</v>
      </c>
      <c r="F821" s="3">
        <f t="shared" si="440"/>
        <v>0</v>
      </c>
      <c r="G821" s="3">
        <f t="shared" si="440"/>
        <v>0</v>
      </c>
      <c r="H821" s="3">
        <f t="shared" si="440"/>
        <v>0</v>
      </c>
      <c r="I821" s="3">
        <f t="shared" si="440"/>
        <v>0</v>
      </c>
      <c r="J821" s="3">
        <f t="shared" si="440"/>
        <v>0</v>
      </c>
      <c r="K821" s="48">
        <f t="shared" si="440"/>
        <v>0</v>
      </c>
      <c r="L821" s="3">
        <f t="shared" si="440"/>
        <v>0</v>
      </c>
      <c r="M821" s="3">
        <f t="shared" si="440"/>
        <v>808.9</v>
      </c>
      <c r="N821" s="3">
        <f t="shared" si="440"/>
        <v>4448950</v>
      </c>
      <c r="O821" s="3">
        <f t="shared" si="440"/>
        <v>0</v>
      </c>
      <c r="P821" s="3">
        <f t="shared" si="440"/>
        <v>0</v>
      </c>
      <c r="Q821" s="3">
        <f t="shared" si="440"/>
        <v>0</v>
      </c>
      <c r="R821" s="3">
        <f t="shared" si="440"/>
        <v>0</v>
      </c>
      <c r="S821" s="3">
        <f t="shared" si="440"/>
        <v>0</v>
      </c>
      <c r="T821" s="3">
        <f t="shared" si="440"/>
        <v>0</v>
      </c>
      <c r="U821" s="3">
        <f t="shared" si="440"/>
        <v>300000</v>
      </c>
    </row>
    <row r="822" spans="1:22" ht="21.95" customHeight="1" x14ac:dyDescent="0.25">
      <c r="A822" s="1" t="s">
        <v>1078</v>
      </c>
      <c r="B822" s="2" t="s">
        <v>119</v>
      </c>
      <c r="C822" s="3">
        <f t="shared" si="374"/>
        <v>3073950</v>
      </c>
      <c r="D822" s="4">
        <f t="shared" ref="D822:D823" si="441">SUM(E822:J822)</f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5">
        <v>0</v>
      </c>
      <c r="L822" s="4">
        <v>0</v>
      </c>
      <c r="M822" s="6">
        <v>558.9</v>
      </c>
      <c r="N822" s="4">
        <f t="shared" ref="N822:N823" si="442">M822*5500</f>
        <v>3073950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0</v>
      </c>
      <c r="V822" s="7">
        <f t="shared" ref="V822:V823" si="443">N822/M822</f>
        <v>5500</v>
      </c>
    </row>
    <row r="823" spans="1:22" ht="21.95" customHeight="1" x14ac:dyDescent="0.25">
      <c r="A823" s="1" t="s">
        <v>1079</v>
      </c>
      <c r="B823" s="2" t="s">
        <v>120</v>
      </c>
      <c r="C823" s="3">
        <f t="shared" si="374"/>
        <v>1375000</v>
      </c>
      <c r="D823" s="4">
        <f t="shared" si="441"/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5">
        <v>0</v>
      </c>
      <c r="L823" s="4">
        <v>0</v>
      </c>
      <c r="M823" s="6">
        <v>250</v>
      </c>
      <c r="N823" s="4">
        <f t="shared" si="442"/>
        <v>1375000</v>
      </c>
      <c r="O823" s="4">
        <v>0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7">
        <f t="shared" si="443"/>
        <v>5500</v>
      </c>
    </row>
    <row r="824" spans="1:22" ht="21.95" customHeight="1" x14ac:dyDescent="0.25">
      <c r="A824" s="1" t="s">
        <v>1080</v>
      </c>
      <c r="B824" s="2" t="s">
        <v>1933</v>
      </c>
      <c r="C824" s="3">
        <f t="shared" ref="C824" si="444">D824+L824+N824+P824+R824+S824+T824+U824</f>
        <v>300000</v>
      </c>
      <c r="D824" s="4">
        <f t="shared" ref="D824" si="445">SUM(E824:J824)</f>
        <v>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5">
        <v>0</v>
      </c>
      <c r="L824" s="4">
        <v>0</v>
      </c>
      <c r="M824" s="6">
        <v>0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300000</v>
      </c>
    </row>
    <row r="825" spans="1:22" ht="45" customHeight="1" x14ac:dyDescent="0.25">
      <c r="A825" s="55" t="s">
        <v>127</v>
      </c>
      <c r="B825" s="55"/>
      <c r="C825" s="3">
        <f>SUM(C826)</f>
        <v>1870000</v>
      </c>
      <c r="D825" s="3">
        <f t="shared" ref="D825:U825" si="446">SUM(D826)</f>
        <v>0</v>
      </c>
      <c r="E825" s="3">
        <f t="shared" si="446"/>
        <v>0</v>
      </c>
      <c r="F825" s="3">
        <f t="shared" si="446"/>
        <v>0</v>
      </c>
      <c r="G825" s="3">
        <f t="shared" si="446"/>
        <v>0</v>
      </c>
      <c r="H825" s="3">
        <f t="shared" si="446"/>
        <v>0</v>
      </c>
      <c r="I825" s="3">
        <f t="shared" si="446"/>
        <v>0</v>
      </c>
      <c r="J825" s="3">
        <f t="shared" si="446"/>
        <v>0</v>
      </c>
      <c r="K825" s="15">
        <f t="shared" si="446"/>
        <v>0</v>
      </c>
      <c r="L825" s="3">
        <f t="shared" si="446"/>
        <v>0</v>
      </c>
      <c r="M825" s="3">
        <f t="shared" si="446"/>
        <v>340</v>
      </c>
      <c r="N825" s="3">
        <f t="shared" si="446"/>
        <v>1870000</v>
      </c>
      <c r="O825" s="3">
        <f t="shared" si="446"/>
        <v>0</v>
      </c>
      <c r="P825" s="3">
        <f t="shared" si="446"/>
        <v>0</v>
      </c>
      <c r="Q825" s="3">
        <f t="shared" si="446"/>
        <v>0</v>
      </c>
      <c r="R825" s="3">
        <f t="shared" si="446"/>
        <v>0</v>
      </c>
      <c r="S825" s="3">
        <f t="shared" si="446"/>
        <v>0</v>
      </c>
      <c r="T825" s="3">
        <f t="shared" si="446"/>
        <v>0</v>
      </c>
      <c r="U825" s="3">
        <f t="shared" si="446"/>
        <v>0</v>
      </c>
    </row>
    <row r="826" spans="1:22" ht="21.95" customHeight="1" x14ac:dyDescent="0.25">
      <c r="A826" s="1" t="s">
        <v>1081</v>
      </c>
      <c r="B826" s="29" t="s">
        <v>126</v>
      </c>
      <c r="C826" s="3">
        <f t="shared" ref="C826:C888" si="447">D826+L826+N826+P826+R826+S826+T826+U826</f>
        <v>1870000</v>
      </c>
      <c r="D826" s="4">
        <f t="shared" ref="D826" si="448">SUM(E826:J826)</f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5">
        <v>0</v>
      </c>
      <c r="L826" s="4">
        <v>0</v>
      </c>
      <c r="M826" s="4">
        <v>340</v>
      </c>
      <c r="N826" s="4">
        <f t="shared" ref="N826" si="449">M826*5500</f>
        <v>1870000</v>
      </c>
      <c r="O826" s="4">
        <v>0</v>
      </c>
      <c r="P826" s="4">
        <v>0</v>
      </c>
      <c r="Q826" s="4">
        <v>0</v>
      </c>
      <c r="R826" s="6">
        <v>0</v>
      </c>
      <c r="S826" s="4">
        <v>0</v>
      </c>
      <c r="T826" s="4">
        <v>0</v>
      </c>
      <c r="U826" s="4">
        <v>0</v>
      </c>
      <c r="V826" s="7">
        <f t="shared" ref="V826" si="450">N826/M826</f>
        <v>5500</v>
      </c>
    </row>
    <row r="827" spans="1:22" ht="45" customHeight="1" x14ac:dyDescent="0.25">
      <c r="A827" s="55" t="s">
        <v>1399</v>
      </c>
      <c r="B827" s="55"/>
      <c r="C827" s="3">
        <f>SUM(C828)</f>
        <v>10265805</v>
      </c>
      <c r="D827" s="3">
        <f t="shared" ref="D827:U827" si="451">SUM(D828)</f>
        <v>2316865</v>
      </c>
      <c r="E827" s="3">
        <f t="shared" si="451"/>
        <v>345065</v>
      </c>
      <c r="F827" s="3">
        <f t="shared" si="451"/>
        <v>1035195</v>
      </c>
      <c r="G827" s="3">
        <f t="shared" si="451"/>
        <v>295770</v>
      </c>
      <c r="H827" s="3">
        <f t="shared" si="451"/>
        <v>394360</v>
      </c>
      <c r="I827" s="3">
        <f t="shared" si="451"/>
        <v>246475</v>
      </c>
      <c r="J827" s="3">
        <f t="shared" si="451"/>
        <v>0</v>
      </c>
      <c r="K827" s="15">
        <f t="shared" si="451"/>
        <v>0</v>
      </c>
      <c r="L827" s="3">
        <f t="shared" si="451"/>
        <v>0</v>
      </c>
      <c r="M827" s="3">
        <f t="shared" si="451"/>
        <v>1072</v>
      </c>
      <c r="N827" s="3">
        <f t="shared" si="451"/>
        <v>5896000</v>
      </c>
      <c r="O827" s="3">
        <f t="shared" si="451"/>
        <v>0</v>
      </c>
      <c r="P827" s="3">
        <f t="shared" si="451"/>
        <v>0</v>
      </c>
      <c r="Q827" s="3">
        <f t="shared" si="451"/>
        <v>514.5</v>
      </c>
      <c r="R827" s="3">
        <f t="shared" si="451"/>
        <v>1543500</v>
      </c>
      <c r="S827" s="3">
        <f t="shared" si="451"/>
        <v>409440</v>
      </c>
      <c r="T827" s="3">
        <f t="shared" si="451"/>
        <v>0</v>
      </c>
      <c r="U827" s="3">
        <f t="shared" si="451"/>
        <v>100000</v>
      </c>
      <c r="V827" s="21">
        <f>C827</f>
        <v>10265805</v>
      </c>
    </row>
    <row r="828" spans="1:22" ht="21" customHeight="1" x14ac:dyDescent="0.25">
      <c r="A828" s="1" t="s">
        <v>1082</v>
      </c>
      <c r="B828" s="9" t="s">
        <v>1400</v>
      </c>
      <c r="C828" s="3">
        <f t="shared" si="447"/>
        <v>10265805</v>
      </c>
      <c r="D828" s="4">
        <f t="shared" ref="D828" si="452">SUM(E828:J828)</f>
        <v>2316865</v>
      </c>
      <c r="E828" s="4">
        <f>350*985.9</f>
        <v>345065</v>
      </c>
      <c r="F828" s="4">
        <f>1050*985.9</f>
        <v>1035195</v>
      </c>
      <c r="G828" s="4">
        <f>300*985.9</f>
        <v>295770</v>
      </c>
      <c r="H828" s="4">
        <f>400*985.9</f>
        <v>394360</v>
      </c>
      <c r="I828" s="4">
        <f>250*985.9</f>
        <v>246475</v>
      </c>
      <c r="J828" s="4">
        <v>0</v>
      </c>
      <c r="K828" s="5">
        <v>0</v>
      </c>
      <c r="L828" s="4">
        <v>0</v>
      </c>
      <c r="M828" s="4">
        <v>1072</v>
      </c>
      <c r="N828" s="4">
        <f t="shared" ref="N828" si="453">M828*5500</f>
        <v>5896000</v>
      </c>
      <c r="O828" s="4">
        <v>0</v>
      </c>
      <c r="P828" s="4">
        <v>0</v>
      </c>
      <c r="Q828" s="4">
        <v>514.5</v>
      </c>
      <c r="R828" s="4">
        <f>Q828*3000</f>
        <v>1543500</v>
      </c>
      <c r="S828" s="4">
        <v>409440</v>
      </c>
      <c r="T828" s="4">
        <v>0</v>
      </c>
      <c r="U828" s="4">
        <v>100000</v>
      </c>
      <c r="V828" s="7">
        <f t="shared" ref="V828" si="454">N828/M828</f>
        <v>5500</v>
      </c>
    </row>
    <row r="829" spans="1:22" ht="45" customHeight="1" x14ac:dyDescent="0.25">
      <c r="A829" s="55" t="s">
        <v>1589</v>
      </c>
      <c r="B829" s="55"/>
      <c r="C829" s="3">
        <f>SUM(C830)</f>
        <v>2523950</v>
      </c>
      <c r="D829" s="3">
        <f t="shared" ref="D829:U829" si="455">SUM(D830)</f>
        <v>0</v>
      </c>
      <c r="E829" s="3">
        <f t="shared" si="455"/>
        <v>0</v>
      </c>
      <c r="F829" s="3">
        <f t="shared" si="455"/>
        <v>0</v>
      </c>
      <c r="G829" s="3">
        <f t="shared" si="455"/>
        <v>0</v>
      </c>
      <c r="H829" s="3">
        <f t="shared" si="455"/>
        <v>0</v>
      </c>
      <c r="I829" s="3">
        <f t="shared" si="455"/>
        <v>0</v>
      </c>
      <c r="J829" s="3">
        <f t="shared" si="455"/>
        <v>0</v>
      </c>
      <c r="K829" s="15">
        <f t="shared" si="455"/>
        <v>0</v>
      </c>
      <c r="L829" s="3">
        <f t="shared" si="455"/>
        <v>0</v>
      </c>
      <c r="M829" s="3">
        <f t="shared" si="455"/>
        <v>458.9</v>
      </c>
      <c r="N829" s="3">
        <f t="shared" si="455"/>
        <v>2523950</v>
      </c>
      <c r="O829" s="3">
        <f t="shared" si="455"/>
        <v>0</v>
      </c>
      <c r="P829" s="3">
        <f t="shared" si="455"/>
        <v>0</v>
      </c>
      <c r="Q829" s="3">
        <f t="shared" si="455"/>
        <v>0</v>
      </c>
      <c r="R829" s="3">
        <f t="shared" si="455"/>
        <v>0</v>
      </c>
      <c r="S829" s="3">
        <f t="shared" si="455"/>
        <v>0</v>
      </c>
      <c r="T829" s="3">
        <f t="shared" si="455"/>
        <v>0</v>
      </c>
      <c r="U829" s="3">
        <f t="shared" si="455"/>
        <v>0</v>
      </c>
      <c r="V829" s="21">
        <f>C829</f>
        <v>2523950</v>
      </c>
    </row>
    <row r="830" spans="1:22" ht="21" customHeight="1" x14ac:dyDescent="0.25">
      <c r="A830" s="1" t="s">
        <v>1083</v>
      </c>
      <c r="B830" s="9" t="s">
        <v>130</v>
      </c>
      <c r="C830" s="3">
        <f t="shared" si="447"/>
        <v>2523950</v>
      </c>
      <c r="D830" s="4">
        <f t="shared" ref="D830" si="456">SUM(E830:J830)</f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5">
        <v>0</v>
      </c>
      <c r="L830" s="4">
        <v>0</v>
      </c>
      <c r="M830" s="4">
        <v>458.9</v>
      </c>
      <c r="N830" s="4">
        <f t="shared" ref="N830" si="457">M830*5500</f>
        <v>2523950</v>
      </c>
      <c r="O830" s="4">
        <v>0</v>
      </c>
      <c r="P830" s="4">
        <v>0</v>
      </c>
      <c r="Q830" s="4">
        <v>0</v>
      </c>
      <c r="R830" s="6">
        <v>0</v>
      </c>
      <c r="S830" s="4">
        <v>0</v>
      </c>
      <c r="T830" s="4">
        <v>0</v>
      </c>
      <c r="U830" s="4">
        <v>0</v>
      </c>
      <c r="V830" s="7">
        <f t="shared" ref="V830" si="458">N830/M830</f>
        <v>5500</v>
      </c>
    </row>
    <row r="831" spans="1:22" ht="45" customHeight="1" x14ac:dyDescent="0.25">
      <c r="A831" s="55" t="s">
        <v>146</v>
      </c>
      <c r="B831" s="55"/>
      <c r="C831" s="3">
        <f>SUM(C832)</f>
        <v>3401179.5</v>
      </c>
      <c r="D831" s="3">
        <f t="shared" ref="D831:U831" si="459">SUM(D832)</f>
        <v>111779.5</v>
      </c>
      <c r="E831" s="3">
        <f t="shared" si="459"/>
        <v>111779.5</v>
      </c>
      <c r="F831" s="3">
        <f t="shared" si="459"/>
        <v>0</v>
      </c>
      <c r="G831" s="3">
        <f t="shared" si="459"/>
        <v>0</v>
      </c>
      <c r="H831" s="3">
        <f t="shared" si="459"/>
        <v>0</v>
      </c>
      <c r="I831" s="3">
        <f t="shared" si="459"/>
        <v>0</v>
      </c>
      <c r="J831" s="3">
        <f t="shared" si="459"/>
        <v>0</v>
      </c>
      <c r="K831" s="15">
        <f t="shared" si="459"/>
        <v>0</v>
      </c>
      <c r="L831" s="3">
        <f t="shared" si="459"/>
        <v>0</v>
      </c>
      <c r="M831" s="3">
        <f t="shared" si="459"/>
        <v>283</v>
      </c>
      <c r="N831" s="3">
        <f t="shared" si="459"/>
        <v>1556500</v>
      </c>
      <c r="O831" s="3">
        <f t="shared" si="459"/>
        <v>126.2</v>
      </c>
      <c r="P831" s="3">
        <f t="shared" si="459"/>
        <v>151440</v>
      </c>
      <c r="Q831" s="3">
        <f t="shared" si="459"/>
        <v>493.82</v>
      </c>
      <c r="R831" s="3">
        <f t="shared" si="459"/>
        <v>1481460</v>
      </c>
      <c r="S831" s="3">
        <f t="shared" si="459"/>
        <v>0</v>
      </c>
      <c r="T831" s="3">
        <f t="shared" si="459"/>
        <v>0</v>
      </c>
      <c r="U831" s="3">
        <f t="shared" si="459"/>
        <v>100000</v>
      </c>
      <c r="V831" s="21">
        <f>C831</f>
        <v>3401179.5</v>
      </c>
    </row>
    <row r="832" spans="1:22" ht="21" customHeight="1" x14ac:dyDescent="0.25">
      <c r="A832" s="1" t="s">
        <v>1084</v>
      </c>
      <c r="B832" s="36" t="s">
        <v>147</v>
      </c>
      <c r="C832" s="3">
        <f t="shared" si="447"/>
        <v>3401179.5</v>
      </c>
      <c r="D832" s="4">
        <f t="shared" ref="D832" si="460">SUM(E832:J832)</f>
        <v>111779.5</v>
      </c>
      <c r="E832" s="4">
        <f>350*319.37</f>
        <v>111779.5</v>
      </c>
      <c r="F832" s="4">
        <f>1050*0</f>
        <v>0</v>
      </c>
      <c r="G832" s="4">
        <f>300*0</f>
        <v>0</v>
      </c>
      <c r="H832" s="4">
        <f>400*0</f>
        <v>0</v>
      </c>
      <c r="I832" s="4">
        <f>250*0</f>
        <v>0</v>
      </c>
      <c r="J832" s="4">
        <v>0</v>
      </c>
      <c r="K832" s="5">
        <v>0</v>
      </c>
      <c r="L832" s="4">
        <v>0</v>
      </c>
      <c r="M832" s="4">
        <v>283</v>
      </c>
      <c r="N832" s="4">
        <f t="shared" ref="N832" si="461">M832*5500</f>
        <v>1556500</v>
      </c>
      <c r="O832" s="4">
        <v>126.2</v>
      </c>
      <c r="P832" s="4">
        <v>151440</v>
      </c>
      <c r="Q832" s="4">
        <v>493.82</v>
      </c>
      <c r="R832" s="4">
        <f>Q832*3000</f>
        <v>1481460</v>
      </c>
      <c r="S832" s="4">
        <v>0</v>
      </c>
      <c r="T832" s="4">
        <v>0</v>
      </c>
      <c r="U832" s="4">
        <v>100000</v>
      </c>
      <c r="V832" s="7">
        <f t="shared" ref="V832" si="462">N832/M832</f>
        <v>5500</v>
      </c>
    </row>
    <row r="833" spans="1:22" ht="45" customHeight="1" x14ac:dyDescent="0.25">
      <c r="A833" s="55" t="s">
        <v>148</v>
      </c>
      <c r="B833" s="55"/>
      <c r="C833" s="3">
        <f>SUM(C834:C837)</f>
        <v>11100350</v>
      </c>
      <c r="D833" s="3">
        <f t="shared" ref="D833:U833" si="463">SUM(D834:D837)</f>
        <v>1005615</v>
      </c>
      <c r="E833" s="3">
        <f t="shared" si="463"/>
        <v>180495.00000000003</v>
      </c>
      <c r="F833" s="3">
        <f t="shared" si="463"/>
        <v>541485</v>
      </c>
      <c r="G833" s="3">
        <f t="shared" si="463"/>
        <v>154710</v>
      </c>
      <c r="H833" s="3">
        <f t="shared" si="463"/>
        <v>0</v>
      </c>
      <c r="I833" s="3">
        <f t="shared" si="463"/>
        <v>128925.00000000001</v>
      </c>
      <c r="J833" s="3">
        <f t="shared" si="463"/>
        <v>0</v>
      </c>
      <c r="K833" s="15">
        <f t="shared" si="463"/>
        <v>0</v>
      </c>
      <c r="L833" s="3">
        <f t="shared" si="463"/>
        <v>0</v>
      </c>
      <c r="M833" s="3">
        <f t="shared" si="463"/>
        <v>1071.1300000000001</v>
      </c>
      <c r="N833" s="3">
        <f t="shared" si="463"/>
        <v>5891215</v>
      </c>
      <c r="O833" s="3">
        <f t="shared" si="463"/>
        <v>0</v>
      </c>
      <c r="P833" s="3">
        <f t="shared" si="463"/>
        <v>0</v>
      </c>
      <c r="Q833" s="3">
        <f t="shared" si="463"/>
        <v>1367.84</v>
      </c>
      <c r="R833" s="3">
        <f t="shared" si="463"/>
        <v>4103519.9999999995</v>
      </c>
      <c r="S833" s="3">
        <f t="shared" si="463"/>
        <v>0</v>
      </c>
      <c r="T833" s="3">
        <f t="shared" si="463"/>
        <v>0</v>
      </c>
      <c r="U833" s="3">
        <f t="shared" si="463"/>
        <v>100000</v>
      </c>
    </row>
    <row r="834" spans="1:22" ht="21" customHeight="1" x14ac:dyDescent="0.25">
      <c r="A834" s="1" t="s">
        <v>1085</v>
      </c>
      <c r="B834" s="9" t="s">
        <v>152</v>
      </c>
      <c r="C834" s="3">
        <f t="shared" si="447"/>
        <v>7289340</v>
      </c>
      <c r="D834" s="4">
        <f t="shared" ref="D834:D837" si="464">SUM(E834:J834)</f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5">
        <v>0</v>
      </c>
      <c r="L834" s="4">
        <v>0</v>
      </c>
      <c r="M834" s="4">
        <v>579.24</v>
      </c>
      <c r="N834" s="4">
        <f t="shared" ref="N834:N835" si="465">M834*5500</f>
        <v>3185820</v>
      </c>
      <c r="O834" s="4">
        <v>0</v>
      </c>
      <c r="P834" s="4">
        <v>0</v>
      </c>
      <c r="Q834" s="4">
        <v>1367.84</v>
      </c>
      <c r="R834" s="4">
        <f>Q834*3000</f>
        <v>4103519.9999999995</v>
      </c>
      <c r="S834" s="4">
        <v>0</v>
      </c>
      <c r="T834" s="4">
        <v>0</v>
      </c>
      <c r="U834" s="4">
        <v>0</v>
      </c>
      <c r="V834" s="7">
        <f t="shared" ref="V834:V837" si="466">N834/M834</f>
        <v>5500</v>
      </c>
    </row>
    <row r="835" spans="1:22" ht="21" customHeight="1" x14ac:dyDescent="0.25">
      <c r="A835" s="1" t="s">
        <v>1086</v>
      </c>
      <c r="B835" s="9" t="s">
        <v>154</v>
      </c>
      <c r="C835" s="3">
        <f t="shared" si="447"/>
        <v>1306140</v>
      </c>
      <c r="D835" s="4">
        <f t="shared" si="464"/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  <c r="K835" s="5">
        <v>0</v>
      </c>
      <c r="L835" s="4">
        <v>0</v>
      </c>
      <c r="M835" s="4">
        <v>237.48</v>
      </c>
      <c r="N835" s="4">
        <f t="shared" si="465"/>
        <v>1306140</v>
      </c>
      <c r="O835" s="4">
        <v>0</v>
      </c>
      <c r="P835" s="4">
        <v>0</v>
      </c>
      <c r="Q835" s="4">
        <v>0</v>
      </c>
      <c r="R835" s="6">
        <v>0</v>
      </c>
      <c r="S835" s="4">
        <v>0</v>
      </c>
      <c r="T835" s="4">
        <v>0</v>
      </c>
      <c r="U835" s="4">
        <v>0</v>
      </c>
      <c r="V835" s="7">
        <f t="shared" si="466"/>
        <v>5500</v>
      </c>
    </row>
    <row r="836" spans="1:22" ht="21" customHeight="1" x14ac:dyDescent="0.25">
      <c r="A836" s="1" t="s">
        <v>1087</v>
      </c>
      <c r="B836" s="9" t="s">
        <v>155</v>
      </c>
      <c r="C836" s="3">
        <f t="shared" si="447"/>
        <v>1105615</v>
      </c>
      <c r="D836" s="4">
        <f t="shared" si="464"/>
        <v>1005615</v>
      </c>
      <c r="E836" s="4">
        <f>350*515.7</f>
        <v>180495.00000000003</v>
      </c>
      <c r="F836" s="4">
        <f>1050*515.7</f>
        <v>541485</v>
      </c>
      <c r="G836" s="4">
        <f>300*515.7</f>
        <v>154710</v>
      </c>
      <c r="H836" s="4">
        <f>400*0</f>
        <v>0</v>
      </c>
      <c r="I836" s="4">
        <f>250*515.7</f>
        <v>128925.00000000001</v>
      </c>
      <c r="J836" s="4">
        <v>0</v>
      </c>
      <c r="K836" s="5">
        <v>0</v>
      </c>
      <c r="L836" s="4">
        <v>0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6">
        <v>0</v>
      </c>
      <c r="S836" s="4">
        <v>0</v>
      </c>
      <c r="T836" s="4">
        <v>0</v>
      </c>
      <c r="U836" s="4">
        <v>100000</v>
      </c>
      <c r="V836" s="7" t="e">
        <f t="shared" si="466"/>
        <v>#DIV/0!</v>
      </c>
    </row>
    <row r="837" spans="1:22" ht="21" customHeight="1" x14ac:dyDescent="0.25">
      <c r="A837" s="1" t="s">
        <v>1088</v>
      </c>
      <c r="B837" s="9" t="s">
        <v>156</v>
      </c>
      <c r="C837" s="3">
        <f t="shared" si="447"/>
        <v>1399255</v>
      </c>
      <c r="D837" s="4">
        <f t="shared" si="464"/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5">
        <v>0</v>
      </c>
      <c r="L837" s="4">
        <v>0</v>
      </c>
      <c r="M837" s="4">
        <v>254.41</v>
      </c>
      <c r="N837" s="4">
        <f t="shared" ref="N837" si="467">M837*5500</f>
        <v>1399255</v>
      </c>
      <c r="O837" s="4">
        <v>0</v>
      </c>
      <c r="P837" s="4">
        <v>0</v>
      </c>
      <c r="Q837" s="4">
        <v>0</v>
      </c>
      <c r="R837" s="6">
        <v>0</v>
      </c>
      <c r="S837" s="4">
        <v>0</v>
      </c>
      <c r="T837" s="4">
        <v>0</v>
      </c>
      <c r="U837" s="4">
        <v>0</v>
      </c>
      <c r="V837" s="7">
        <f t="shared" si="466"/>
        <v>5500</v>
      </c>
    </row>
    <row r="838" spans="1:22" ht="45" customHeight="1" x14ac:dyDescent="0.25">
      <c r="A838" s="55" t="s">
        <v>1603</v>
      </c>
      <c r="B838" s="55"/>
      <c r="C838" s="3">
        <f>SUM(C839)</f>
        <v>1315270</v>
      </c>
      <c r="D838" s="3">
        <f t="shared" ref="D838:U838" si="468">SUM(D839)</f>
        <v>0</v>
      </c>
      <c r="E838" s="3">
        <f t="shared" si="468"/>
        <v>0</v>
      </c>
      <c r="F838" s="3">
        <f t="shared" si="468"/>
        <v>0</v>
      </c>
      <c r="G838" s="3">
        <f t="shared" si="468"/>
        <v>0</v>
      </c>
      <c r="H838" s="3">
        <f t="shared" si="468"/>
        <v>0</v>
      </c>
      <c r="I838" s="3">
        <f t="shared" si="468"/>
        <v>0</v>
      </c>
      <c r="J838" s="3">
        <f t="shared" si="468"/>
        <v>0</v>
      </c>
      <c r="K838" s="15">
        <f t="shared" si="468"/>
        <v>0</v>
      </c>
      <c r="L838" s="3">
        <f t="shared" si="468"/>
        <v>0</v>
      </c>
      <c r="M838" s="3">
        <f t="shared" si="468"/>
        <v>239.14</v>
      </c>
      <c r="N838" s="3">
        <f t="shared" si="468"/>
        <v>1315270</v>
      </c>
      <c r="O838" s="3">
        <f t="shared" si="468"/>
        <v>0</v>
      </c>
      <c r="P838" s="3">
        <f t="shared" si="468"/>
        <v>0</v>
      </c>
      <c r="Q838" s="3">
        <f t="shared" si="468"/>
        <v>0</v>
      </c>
      <c r="R838" s="3">
        <f t="shared" si="468"/>
        <v>0</v>
      </c>
      <c r="S838" s="3">
        <f t="shared" si="468"/>
        <v>0</v>
      </c>
      <c r="T838" s="3">
        <f t="shared" si="468"/>
        <v>0</v>
      </c>
      <c r="U838" s="3">
        <f t="shared" si="468"/>
        <v>0</v>
      </c>
    </row>
    <row r="839" spans="1:22" ht="21.95" customHeight="1" x14ac:dyDescent="0.25">
      <c r="A839" s="1" t="s">
        <v>1089</v>
      </c>
      <c r="B839" s="9" t="s">
        <v>160</v>
      </c>
      <c r="C839" s="3">
        <f t="shared" si="447"/>
        <v>1315270</v>
      </c>
      <c r="D839" s="4">
        <f t="shared" ref="D839" si="469">SUM(E839:J839)</f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5">
        <v>0</v>
      </c>
      <c r="L839" s="4">
        <v>0</v>
      </c>
      <c r="M839" s="4">
        <v>239.14</v>
      </c>
      <c r="N839" s="4">
        <f t="shared" ref="N839" si="470">M839*5500</f>
        <v>1315270</v>
      </c>
      <c r="O839" s="4">
        <v>0</v>
      </c>
      <c r="P839" s="4">
        <v>0</v>
      </c>
      <c r="Q839" s="4">
        <v>0</v>
      </c>
      <c r="R839" s="6">
        <v>0</v>
      </c>
      <c r="S839" s="4">
        <v>0</v>
      </c>
      <c r="T839" s="4">
        <v>0</v>
      </c>
      <c r="U839" s="4">
        <v>0</v>
      </c>
      <c r="V839" s="7">
        <f t="shared" ref="V839" si="471">N839/M839</f>
        <v>5500</v>
      </c>
    </row>
    <row r="840" spans="1:22" ht="45" customHeight="1" x14ac:dyDescent="0.25">
      <c r="A840" s="55" t="s">
        <v>163</v>
      </c>
      <c r="B840" s="55"/>
      <c r="C840" s="3">
        <f>SUM(C841:C855)</f>
        <v>88036412.599999994</v>
      </c>
      <c r="D840" s="3">
        <f t="shared" ref="D840:U840" si="472">SUM(D841:D855)</f>
        <v>22923560</v>
      </c>
      <c r="E840" s="3">
        <f t="shared" si="472"/>
        <v>4633160</v>
      </c>
      <c r="F840" s="3">
        <f t="shared" si="472"/>
        <v>12003075</v>
      </c>
      <c r="G840" s="3">
        <f t="shared" si="472"/>
        <v>3429450</v>
      </c>
      <c r="H840" s="3">
        <f t="shared" si="472"/>
        <v>0</v>
      </c>
      <c r="I840" s="3">
        <f t="shared" si="472"/>
        <v>2857875</v>
      </c>
      <c r="J840" s="3">
        <f t="shared" si="472"/>
        <v>0</v>
      </c>
      <c r="K840" s="15">
        <f t="shared" si="472"/>
        <v>0</v>
      </c>
      <c r="L840" s="3">
        <f t="shared" si="472"/>
        <v>0</v>
      </c>
      <c r="M840" s="3">
        <f t="shared" si="472"/>
        <v>7297.6</v>
      </c>
      <c r="N840" s="3">
        <f t="shared" si="472"/>
        <v>38596532.600000001</v>
      </c>
      <c r="O840" s="3">
        <f t="shared" si="472"/>
        <v>507.1</v>
      </c>
      <c r="P840" s="3">
        <f t="shared" si="472"/>
        <v>608520</v>
      </c>
      <c r="Q840" s="3">
        <f t="shared" si="472"/>
        <v>8202.6</v>
      </c>
      <c r="R840" s="3">
        <f t="shared" si="472"/>
        <v>24607800</v>
      </c>
      <c r="S840" s="3">
        <f t="shared" si="472"/>
        <v>0</v>
      </c>
      <c r="T840" s="3">
        <f t="shared" si="472"/>
        <v>0</v>
      </c>
      <c r="U840" s="3">
        <f t="shared" si="472"/>
        <v>1300000</v>
      </c>
    </row>
    <row r="841" spans="1:22" ht="21.95" customHeight="1" x14ac:dyDescent="0.25">
      <c r="A841" s="1" t="s">
        <v>1090</v>
      </c>
      <c r="B841" s="2" t="s">
        <v>193</v>
      </c>
      <c r="C841" s="3">
        <f t="shared" si="447"/>
        <v>6017000</v>
      </c>
      <c r="D841" s="4">
        <f t="shared" ref="D841:D855" si="473">SUM(E841:J841)</f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5">
        <v>0</v>
      </c>
      <c r="L841" s="4">
        <v>0</v>
      </c>
      <c r="M841" s="4">
        <v>735.8</v>
      </c>
      <c r="N841" s="4">
        <f t="shared" ref="N841:N848" si="474">M841*5500</f>
        <v>4046899.9999999995</v>
      </c>
      <c r="O841" s="4">
        <v>0</v>
      </c>
      <c r="P841" s="4">
        <f>O841*410</f>
        <v>0</v>
      </c>
      <c r="Q841" s="4">
        <v>656.7</v>
      </c>
      <c r="R841" s="4">
        <f t="shared" ref="R841:R855" si="475">Q841*3000</f>
        <v>1970100.0000000002</v>
      </c>
      <c r="S841" s="4">
        <f>S884</f>
        <v>0</v>
      </c>
      <c r="T841" s="4">
        <v>0</v>
      </c>
      <c r="U841" s="4">
        <v>0</v>
      </c>
      <c r="V841" s="7">
        <f t="shared" ref="V841:V855" si="476">N841/M841</f>
        <v>5500</v>
      </c>
    </row>
    <row r="842" spans="1:22" ht="21.95" customHeight="1" x14ac:dyDescent="0.25">
      <c r="A842" s="1" t="s">
        <v>1091</v>
      </c>
      <c r="B842" s="2" t="s">
        <v>194</v>
      </c>
      <c r="C842" s="3">
        <f t="shared" si="447"/>
        <v>5666190</v>
      </c>
      <c r="D842" s="4">
        <f t="shared" si="473"/>
        <v>1798290</v>
      </c>
      <c r="E842" s="4">
        <f>350*922.2</f>
        <v>322770</v>
      </c>
      <c r="F842" s="4">
        <f>1050*922.2</f>
        <v>968310</v>
      </c>
      <c r="G842" s="4">
        <f>300*922.2</f>
        <v>276660</v>
      </c>
      <c r="H842" s="4">
        <f>400*0</f>
        <v>0</v>
      </c>
      <c r="I842" s="4">
        <f>250*922.2</f>
        <v>230550</v>
      </c>
      <c r="J842" s="4">
        <v>0</v>
      </c>
      <c r="K842" s="5">
        <v>0</v>
      </c>
      <c r="L842" s="4">
        <v>0</v>
      </c>
      <c r="M842" s="4">
        <v>306.8</v>
      </c>
      <c r="N842" s="4">
        <f t="shared" si="474"/>
        <v>1687400</v>
      </c>
      <c r="O842" s="4">
        <v>0</v>
      </c>
      <c r="P842" s="4">
        <f>O842*410</f>
        <v>0</v>
      </c>
      <c r="Q842" s="4">
        <v>693.5</v>
      </c>
      <c r="R842" s="4">
        <f t="shared" si="475"/>
        <v>2080500</v>
      </c>
      <c r="S842" s="4">
        <f>S886</f>
        <v>0</v>
      </c>
      <c r="T842" s="4">
        <v>0</v>
      </c>
      <c r="U842" s="4">
        <v>100000</v>
      </c>
      <c r="V842" s="7">
        <f t="shared" si="476"/>
        <v>5500</v>
      </c>
    </row>
    <row r="843" spans="1:22" ht="21.95" customHeight="1" x14ac:dyDescent="0.25">
      <c r="A843" s="1" t="s">
        <v>1092</v>
      </c>
      <c r="B843" s="2" t="s">
        <v>195</v>
      </c>
      <c r="C843" s="3">
        <f t="shared" si="447"/>
        <v>6601640</v>
      </c>
      <c r="D843" s="4">
        <f t="shared" si="473"/>
        <v>519540.00000000006</v>
      </c>
      <c r="E843" s="4">
        <f>350*1484.4</f>
        <v>519540.00000000006</v>
      </c>
      <c r="F843" s="4">
        <f>1050*0</f>
        <v>0</v>
      </c>
      <c r="G843" s="4">
        <f>300*0</f>
        <v>0</v>
      </c>
      <c r="H843" s="4">
        <f>400*0</f>
        <v>0</v>
      </c>
      <c r="I843" s="4">
        <f>250*0</f>
        <v>0</v>
      </c>
      <c r="J843" s="4">
        <v>0</v>
      </c>
      <c r="K843" s="5">
        <v>0</v>
      </c>
      <c r="L843" s="4">
        <v>0</v>
      </c>
      <c r="M843" s="4">
        <v>688.6</v>
      </c>
      <c r="N843" s="4">
        <f t="shared" si="474"/>
        <v>3787300</v>
      </c>
      <c r="O843" s="4">
        <v>0</v>
      </c>
      <c r="P843" s="4">
        <f>O843*410</f>
        <v>0</v>
      </c>
      <c r="Q843" s="4">
        <v>731.6</v>
      </c>
      <c r="R843" s="4">
        <f t="shared" si="475"/>
        <v>2194800</v>
      </c>
      <c r="S843" s="4">
        <f t="shared" ref="S843:S847" si="477">S888</f>
        <v>0</v>
      </c>
      <c r="T843" s="4">
        <v>0</v>
      </c>
      <c r="U843" s="4">
        <v>100000</v>
      </c>
      <c r="V843" s="7">
        <f t="shared" si="476"/>
        <v>5500</v>
      </c>
    </row>
    <row r="844" spans="1:22" ht="21.95" customHeight="1" x14ac:dyDescent="0.25">
      <c r="A844" s="1" t="s">
        <v>1918</v>
      </c>
      <c r="B844" s="2" t="s">
        <v>196</v>
      </c>
      <c r="C844" s="3">
        <f t="shared" si="447"/>
        <v>6106100</v>
      </c>
      <c r="D844" s="4">
        <f t="shared" si="473"/>
        <v>2414100</v>
      </c>
      <c r="E844" s="4">
        <f>350*1238</f>
        <v>433300</v>
      </c>
      <c r="F844" s="4">
        <f>1050*1238</f>
        <v>1299900</v>
      </c>
      <c r="G844" s="4">
        <f>300*1238</f>
        <v>371400</v>
      </c>
      <c r="H844" s="4">
        <v>0</v>
      </c>
      <c r="I844" s="4">
        <f>250*1238</f>
        <v>309500</v>
      </c>
      <c r="J844" s="4">
        <f>350*0</f>
        <v>0</v>
      </c>
      <c r="K844" s="5">
        <v>0</v>
      </c>
      <c r="L844" s="4">
        <v>0</v>
      </c>
      <c r="M844" s="4">
        <v>476.2</v>
      </c>
      <c r="N844" s="4">
        <f t="shared" si="474"/>
        <v>2619100</v>
      </c>
      <c r="O844" s="4">
        <v>0</v>
      </c>
      <c r="P844" s="4">
        <f>O844*410</f>
        <v>0</v>
      </c>
      <c r="Q844" s="4">
        <v>324.3</v>
      </c>
      <c r="R844" s="4">
        <f t="shared" si="475"/>
        <v>972900</v>
      </c>
      <c r="S844" s="4">
        <f t="shared" si="477"/>
        <v>0</v>
      </c>
      <c r="T844" s="4">
        <v>0</v>
      </c>
      <c r="U844" s="4">
        <v>100000</v>
      </c>
      <c r="V844" s="7">
        <f t="shared" si="476"/>
        <v>5500</v>
      </c>
    </row>
    <row r="845" spans="1:22" ht="21.95" customHeight="1" x14ac:dyDescent="0.25">
      <c r="A845" s="1" t="s">
        <v>1093</v>
      </c>
      <c r="B845" s="2" t="s">
        <v>197</v>
      </c>
      <c r="C845" s="3">
        <f t="shared" si="447"/>
        <v>6597900</v>
      </c>
      <c r="D845" s="4">
        <f t="shared" si="473"/>
        <v>2554500</v>
      </c>
      <c r="E845" s="4">
        <f>350*1310</f>
        <v>458500</v>
      </c>
      <c r="F845" s="4">
        <f>1050*1310</f>
        <v>1375500</v>
      </c>
      <c r="G845" s="4">
        <f>300*1310</f>
        <v>393000</v>
      </c>
      <c r="H845" s="4">
        <v>0</v>
      </c>
      <c r="I845" s="4">
        <f>250*1310</f>
        <v>327500</v>
      </c>
      <c r="J845" s="4">
        <f>350*0</f>
        <v>0</v>
      </c>
      <c r="K845" s="5">
        <v>0</v>
      </c>
      <c r="L845" s="4">
        <v>0</v>
      </c>
      <c r="M845" s="4">
        <v>582.79999999999995</v>
      </c>
      <c r="N845" s="4">
        <f t="shared" si="474"/>
        <v>3205399.9999999995</v>
      </c>
      <c r="O845" s="4">
        <v>0</v>
      </c>
      <c r="P845" s="4">
        <f>O845*410</f>
        <v>0</v>
      </c>
      <c r="Q845" s="4">
        <v>246</v>
      </c>
      <c r="R845" s="4">
        <f t="shared" si="475"/>
        <v>738000</v>
      </c>
      <c r="S845" s="4">
        <f t="shared" si="477"/>
        <v>0</v>
      </c>
      <c r="T845" s="4">
        <v>0</v>
      </c>
      <c r="U845" s="4">
        <v>100000</v>
      </c>
      <c r="V845" s="7">
        <f t="shared" si="476"/>
        <v>5500</v>
      </c>
    </row>
    <row r="846" spans="1:22" ht="21.95" customHeight="1" x14ac:dyDescent="0.25">
      <c r="A846" s="1" t="s">
        <v>1919</v>
      </c>
      <c r="B846" s="2" t="s">
        <v>198</v>
      </c>
      <c r="C846" s="3">
        <f t="shared" si="447"/>
        <v>2099245</v>
      </c>
      <c r="D846" s="4">
        <f t="shared" si="473"/>
        <v>112595</v>
      </c>
      <c r="E846" s="4">
        <f>350*321.7</f>
        <v>112595</v>
      </c>
      <c r="F846" s="4">
        <f>1050*0</f>
        <v>0</v>
      </c>
      <c r="G846" s="4">
        <f>300*0</f>
        <v>0</v>
      </c>
      <c r="H846" s="4">
        <f>400*0</f>
        <v>0</v>
      </c>
      <c r="I846" s="4">
        <f>250*0</f>
        <v>0</v>
      </c>
      <c r="J846" s="4">
        <v>0</v>
      </c>
      <c r="K846" s="5">
        <v>0</v>
      </c>
      <c r="L846" s="4">
        <v>0</v>
      </c>
      <c r="M846" s="4">
        <v>176.5</v>
      </c>
      <c r="N846" s="4">
        <f t="shared" si="474"/>
        <v>970750</v>
      </c>
      <c r="O846" s="4">
        <v>0</v>
      </c>
      <c r="P846" s="4">
        <v>0</v>
      </c>
      <c r="Q846" s="4">
        <v>305.3</v>
      </c>
      <c r="R846" s="4">
        <f t="shared" si="475"/>
        <v>915900</v>
      </c>
      <c r="S846" s="4">
        <f t="shared" si="477"/>
        <v>0</v>
      </c>
      <c r="T846" s="4">
        <v>0</v>
      </c>
      <c r="U846" s="4">
        <v>100000</v>
      </c>
      <c r="V846" s="7">
        <f t="shared" si="476"/>
        <v>5500</v>
      </c>
    </row>
    <row r="847" spans="1:22" ht="21.95" customHeight="1" x14ac:dyDescent="0.25">
      <c r="A847" s="1" t="s">
        <v>1094</v>
      </c>
      <c r="B847" s="2" t="s">
        <v>199</v>
      </c>
      <c r="C847" s="3">
        <f t="shared" si="447"/>
        <v>11319415</v>
      </c>
      <c r="D847" s="4">
        <f t="shared" si="473"/>
        <v>4260165</v>
      </c>
      <c r="E847" s="4">
        <f>350*2184.7</f>
        <v>764644.99999999988</v>
      </c>
      <c r="F847" s="4">
        <f>1050*2184.7</f>
        <v>2293935</v>
      </c>
      <c r="G847" s="4">
        <f>300*2184.7</f>
        <v>655410</v>
      </c>
      <c r="H847" s="4">
        <f>400*0</f>
        <v>0</v>
      </c>
      <c r="I847" s="4">
        <f>250*2184.7</f>
        <v>546175</v>
      </c>
      <c r="J847" s="4">
        <v>0</v>
      </c>
      <c r="K847" s="5">
        <v>0</v>
      </c>
      <c r="L847" s="4">
        <v>0</v>
      </c>
      <c r="M847" s="4">
        <v>657.9</v>
      </c>
      <c r="N847" s="4">
        <f t="shared" si="474"/>
        <v>3618450</v>
      </c>
      <c r="O847" s="4">
        <v>0</v>
      </c>
      <c r="P847" s="4">
        <v>0</v>
      </c>
      <c r="Q847" s="4">
        <v>1113.5999999999999</v>
      </c>
      <c r="R847" s="4">
        <f t="shared" si="475"/>
        <v>3340799.9999999995</v>
      </c>
      <c r="S847" s="4">
        <f t="shared" si="477"/>
        <v>0</v>
      </c>
      <c r="T847" s="4">
        <v>0</v>
      </c>
      <c r="U847" s="4">
        <v>100000</v>
      </c>
      <c r="V847" s="7">
        <f t="shared" si="476"/>
        <v>5500</v>
      </c>
    </row>
    <row r="848" spans="1:22" ht="21.95" customHeight="1" x14ac:dyDescent="0.25">
      <c r="A848" s="1" t="s">
        <v>1095</v>
      </c>
      <c r="B848" s="2" t="s">
        <v>200</v>
      </c>
      <c r="C848" s="3">
        <f t="shared" si="447"/>
        <v>7035445</v>
      </c>
      <c r="D848" s="4">
        <f t="shared" si="473"/>
        <v>1896375</v>
      </c>
      <c r="E848" s="4">
        <f>350*972.5</f>
        <v>340375</v>
      </c>
      <c r="F848" s="4">
        <f>1050*972.5</f>
        <v>1021125</v>
      </c>
      <c r="G848" s="4">
        <f>300*972.5</f>
        <v>291750</v>
      </c>
      <c r="H848" s="4">
        <f>400*0</f>
        <v>0</v>
      </c>
      <c r="I848" s="4">
        <f>250*972.5</f>
        <v>243125</v>
      </c>
      <c r="J848" s="4">
        <v>0</v>
      </c>
      <c r="K848" s="5">
        <v>0</v>
      </c>
      <c r="L848" s="4">
        <v>0</v>
      </c>
      <c r="M848" s="4">
        <v>620.70000000000005</v>
      </c>
      <c r="N848" s="4">
        <f t="shared" si="474"/>
        <v>3413850.0000000005</v>
      </c>
      <c r="O848" s="4">
        <v>507.1</v>
      </c>
      <c r="P848" s="4">
        <f>O848*1200</f>
        <v>608520</v>
      </c>
      <c r="Q848" s="4">
        <v>338.9</v>
      </c>
      <c r="R848" s="4">
        <f t="shared" si="475"/>
        <v>1016699.9999999999</v>
      </c>
      <c r="S848" s="4">
        <v>0</v>
      </c>
      <c r="T848" s="4">
        <v>0</v>
      </c>
      <c r="U848" s="4">
        <v>100000</v>
      </c>
      <c r="V848" s="7">
        <f t="shared" si="476"/>
        <v>5500</v>
      </c>
    </row>
    <row r="849" spans="1:22" ht="21.95" customHeight="1" x14ac:dyDescent="0.25">
      <c r="A849" s="1" t="s">
        <v>1096</v>
      </c>
      <c r="B849" s="2" t="s">
        <v>201</v>
      </c>
      <c r="C849" s="3">
        <f t="shared" si="447"/>
        <v>200000</v>
      </c>
      <c r="D849" s="4">
        <f t="shared" si="473"/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5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f t="shared" si="475"/>
        <v>0</v>
      </c>
      <c r="S849" s="4">
        <v>0</v>
      </c>
      <c r="T849" s="4">
        <v>0</v>
      </c>
      <c r="U849" s="4">
        <v>200000</v>
      </c>
      <c r="V849" s="7" t="e">
        <f t="shared" si="476"/>
        <v>#DIV/0!</v>
      </c>
    </row>
    <row r="850" spans="1:22" ht="21.95" customHeight="1" x14ac:dyDescent="0.25">
      <c r="A850" s="1" t="s">
        <v>1097</v>
      </c>
      <c r="B850" s="2" t="s">
        <v>202</v>
      </c>
      <c r="C850" s="3">
        <f t="shared" si="447"/>
        <v>3129782.6</v>
      </c>
      <c r="D850" s="4">
        <f t="shared" si="473"/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5">
        <v>0</v>
      </c>
      <c r="L850" s="4">
        <v>0</v>
      </c>
      <c r="M850" s="4">
        <v>849.1</v>
      </c>
      <c r="N850" s="4">
        <f>M850*3686</f>
        <v>3129782.6</v>
      </c>
      <c r="O850" s="4">
        <v>0</v>
      </c>
      <c r="P850" s="4">
        <v>0</v>
      </c>
      <c r="Q850" s="4">
        <v>0</v>
      </c>
      <c r="R850" s="4">
        <f t="shared" si="475"/>
        <v>0</v>
      </c>
      <c r="S850" s="4">
        <v>0</v>
      </c>
      <c r="T850" s="4">
        <v>0</v>
      </c>
      <c r="U850" s="4">
        <v>0</v>
      </c>
      <c r="V850" s="7">
        <f t="shared" si="476"/>
        <v>3686</v>
      </c>
    </row>
    <row r="851" spans="1:22" ht="21.95" customHeight="1" x14ac:dyDescent="0.25">
      <c r="A851" s="1" t="s">
        <v>1098</v>
      </c>
      <c r="B851" s="26" t="s">
        <v>203</v>
      </c>
      <c r="C851" s="3">
        <f t="shared" si="447"/>
        <v>15573195</v>
      </c>
      <c r="D851" s="4">
        <f t="shared" si="473"/>
        <v>5253495</v>
      </c>
      <c r="E851" s="4">
        <f>350*2694.1</f>
        <v>942935</v>
      </c>
      <c r="F851" s="4">
        <f>1050*2694.1</f>
        <v>2828805</v>
      </c>
      <c r="G851" s="4">
        <f>300*2694.1</f>
        <v>808230</v>
      </c>
      <c r="H851" s="4">
        <f>400*0</f>
        <v>0</v>
      </c>
      <c r="I851" s="4">
        <f>250*2694.1</f>
        <v>673525</v>
      </c>
      <c r="J851" s="4">
        <v>0</v>
      </c>
      <c r="K851" s="5">
        <v>0</v>
      </c>
      <c r="L851" s="4">
        <v>0</v>
      </c>
      <c r="M851" s="4">
        <v>781.4</v>
      </c>
      <c r="N851" s="4">
        <f t="shared" ref="N851:N855" si="478">M851*5500</f>
        <v>4297700</v>
      </c>
      <c r="O851" s="4">
        <v>0</v>
      </c>
      <c r="P851" s="4">
        <v>0</v>
      </c>
      <c r="Q851" s="4">
        <v>1974</v>
      </c>
      <c r="R851" s="4">
        <f t="shared" si="475"/>
        <v>5922000</v>
      </c>
      <c r="S851" s="4">
        <f t="shared" ref="S851:S854" si="479">S894</f>
        <v>0</v>
      </c>
      <c r="T851" s="4">
        <v>0</v>
      </c>
      <c r="U851" s="4">
        <v>100000</v>
      </c>
      <c r="V851" s="7">
        <f t="shared" si="476"/>
        <v>5500</v>
      </c>
    </row>
    <row r="852" spans="1:22" ht="21.95" customHeight="1" x14ac:dyDescent="0.25">
      <c r="A852" s="1" t="s">
        <v>1099</v>
      </c>
      <c r="B852" s="2" t="s">
        <v>207</v>
      </c>
      <c r="C852" s="3">
        <f t="shared" si="447"/>
        <v>3694900</v>
      </c>
      <c r="D852" s="4">
        <f t="shared" si="473"/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5">
        <v>0</v>
      </c>
      <c r="L852" s="4">
        <v>0</v>
      </c>
      <c r="M852" s="4">
        <v>415</v>
      </c>
      <c r="N852" s="4">
        <f t="shared" si="478"/>
        <v>2282500</v>
      </c>
      <c r="O852" s="4">
        <v>0</v>
      </c>
      <c r="P852" s="4">
        <v>0</v>
      </c>
      <c r="Q852" s="4">
        <v>470.8</v>
      </c>
      <c r="R852" s="4">
        <f t="shared" si="475"/>
        <v>1412400</v>
      </c>
      <c r="S852" s="4">
        <f t="shared" si="479"/>
        <v>0</v>
      </c>
      <c r="T852" s="4">
        <v>0</v>
      </c>
      <c r="U852" s="4">
        <v>0</v>
      </c>
      <c r="V852" s="7">
        <f t="shared" si="476"/>
        <v>5500</v>
      </c>
    </row>
    <row r="853" spans="1:22" ht="21.95" customHeight="1" x14ac:dyDescent="0.25">
      <c r="A853" s="1" t="s">
        <v>1100</v>
      </c>
      <c r="B853" s="2" t="s">
        <v>204</v>
      </c>
      <c r="C853" s="3">
        <f t="shared" si="447"/>
        <v>4245065</v>
      </c>
      <c r="D853" s="4">
        <f t="shared" si="473"/>
        <v>1354665</v>
      </c>
      <c r="E853" s="4">
        <f>350*694.7</f>
        <v>243145.00000000003</v>
      </c>
      <c r="F853" s="4">
        <f>1050*694.7</f>
        <v>729435</v>
      </c>
      <c r="G853" s="4">
        <f>300*694.7</f>
        <v>208410</v>
      </c>
      <c r="H853" s="4">
        <f>400*0</f>
        <v>0</v>
      </c>
      <c r="I853" s="4">
        <f>250*694.7</f>
        <v>173675</v>
      </c>
      <c r="J853" s="4">
        <v>0</v>
      </c>
      <c r="K853" s="5">
        <v>0</v>
      </c>
      <c r="L853" s="4">
        <v>0</v>
      </c>
      <c r="M853" s="4">
        <v>254.8</v>
      </c>
      <c r="N853" s="4">
        <f t="shared" si="478"/>
        <v>1401400</v>
      </c>
      <c r="O853" s="4">
        <v>0</v>
      </c>
      <c r="P853" s="4">
        <v>0</v>
      </c>
      <c r="Q853" s="4">
        <v>463</v>
      </c>
      <c r="R853" s="4">
        <f t="shared" si="475"/>
        <v>1389000</v>
      </c>
      <c r="S853" s="4">
        <f t="shared" si="479"/>
        <v>0</v>
      </c>
      <c r="T853" s="4">
        <v>0</v>
      </c>
      <c r="U853" s="4">
        <v>100000</v>
      </c>
      <c r="V853" s="7">
        <f t="shared" si="476"/>
        <v>5500</v>
      </c>
    </row>
    <row r="854" spans="1:22" ht="21.95" customHeight="1" x14ac:dyDescent="0.25">
      <c r="A854" s="1" t="s">
        <v>1101</v>
      </c>
      <c r="B854" s="2" t="s">
        <v>205</v>
      </c>
      <c r="C854" s="3">
        <f t="shared" si="447"/>
        <v>4985375</v>
      </c>
      <c r="D854" s="4">
        <f t="shared" si="473"/>
        <v>1367925</v>
      </c>
      <c r="E854" s="4">
        <f>350*701.5</f>
        <v>245525</v>
      </c>
      <c r="F854" s="4">
        <f>1050*701.5</f>
        <v>736575</v>
      </c>
      <c r="G854" s="4">
        <f>300*701.5</f>
        <v>210450</v>
      </c>
      <c r="H854" s="4">
        <f>400*0</f>
        <v>0</v>
      </c>
      <c r="I854" s="4">
        <f>250*701.5</f>
        <v>175375</v>
      </c>
      <c r="J854" s="4">
        <v>0</v>
      </c>
      <c r="K854" s="5">
        <v>0</v>
      </c>
      <c r="L854" s="4">
        <v>0</v>
      </c>
      <c r="M854" s="4">
        <v>384.1</v>
      </c>
      <c r="N854" s="4">
        <f t="shared" si="478"/>
        <v>2112550</v>
      </c>
      <c r="O854" s="4">
        <v>0</v>
      </c>
      <c r="P854" s="4">
        <v>0</v>
      </c>
      <c r="Q854" s="4">
        <v>468.3</v>
      </c>
      <c r="R854" s="4">
        <f t="shared" si="475"/>
        <v>1404900</v>
      </c>
      <c r="S854" s="4">
        <f t="shared" si="479"/>
        <v>0</v>
      </c>
      <c r="T854" s="4">
        <v>0</v>
      </c>
      <c r="U854" s="4">
        <v>100000</v>
      </c>
      <c r="V854" s="7">
        <f t="shared" si="476"/>
        <v>5500</v>
      </c>
    </row>
    <row r="855" spans="1:22" ht="21.95" customHeight="1" x14ac:dyDescent="0.25">
      <c r="A855" s="1" t="s">
        <v>1102</v>
      </c>
      <c r="B855" s="2" t="s">
        <v>206</v>
      </c>
      <c r="C855" s="3">
        <f t="shared" si="447"/>
        <v>4765160</v>
      </c>
      <c r="D855" s="4">
        <f t="shared" si="473"/>
        <v>1391910</v>
      </c>
      <c r="E855" s="4">
        <f>350*713.8</f>
        <v>249829.99999999997</v>
      </c>
      <c r="F855" s="4">
        <f>1050*713.8</f>
        <v>749490</v>
      </c>
      <c r="G855" s="4">
        <f>300*713.8</f>
        <v>214140</v>
      </c>
      <c r="H855" s="4">
        <f>400*0</f>
        <v>0</v>
      </c>
      <c r="I855" s="4">
        <f>250*713.8</f>
        <v>178450</v>
      </c>
      <c r="J855" s="4">
        <v>0</v>
      </c>
      <c r="K855" s="5">
        <v>0</v>
      </c>
      <c r="L855" s="4">
        <v>0</v>
      </c>
      <c r="M855" s="4">
        <v>367.9</v>
      </c>
      <c r="N855" s="4">
        <f t="shared" si="478"/>
        <v>2023449.9999999998</v>
      </c>
      <c r="O855" s="4">
        <v>0</v>
      </c>
      <c r="P855" s="4">
        <v>0</v>
      </c>
      <c r="Q855" s="4">
        <v>416.6</v>
      </c>
      <c r="R855" s="4">
        <f t="shared" si="475"/>
        <v>1249800</v>
      </c>
      <c r="S855" s="4">
        <v>0</v>
      </c>
      <c r="T855" s="4">
        <v>0</v>
      </c>
      <c r="U855" s="4">
        <v>100000</v>
      </c>
      <c r="V855" s="7">
        <f t="shared" si="476"/>
        <v>5500</v>
      </c>
    </row>
    <row r="856" spans="1:22" ht="45" customHeight="1" x14ac:dyDescent="0.25">
      <c r="A856" s="55" t="s">
        <v>222</v>
      </c>
      <c r="B856" s="55"/>
      <c r="C856" s="3">
        <f>SUM(C857:C860)</f>
        <v>12297580</v>
      </c>
      <c r="D856" s="3">
        <f t="shared" ref="D856:U856" si="480">SUM(D857:D860)</f>
        <v>2532255</v>
      </c>
      <c r="E856" s="3">
        <f t="shared" si="480"/>
        <v>1273125</v>
      </c>
      <c r="F856" s="3">
        <f t="shared" si="480"/>
        <v>768600</v>
      </c>
      <c r="G856" s="3">
        <f t="shared" si="480"/>
        <v>307530</v>
      </c>
      <c r="H856" s="3">
        <f t="shared" si="480"/>
        <v>0</v>
      </c>
      <c r="I856" s="3">
        <f t="shared" si="480"/>
        <v>183000</v>
      </c>
      <c r="J856" s="3">
        <f t="shared" si="480"/>
        <v>0</v>
      </c>
      <c r="K856" s="48">
        <f t="shared" si="480"/>
        <v>0</v>
      </c>
      <c r="L856" s="3">
        <f t="shared" si="480"/>
        <v>0</v>
      </c>
      <c r="M856" s="3">
        <f t="shared" si="480"/>
        <v>987.75</v>
      </c>
      <c r="N856" s="3">
        <f t="shared" si="480"/>
        <v>5432625</v>
      </c>
      <c r="O856" s="3">
        <f t="shared" si="480"/>
        <v>0</v>
      </c>
      <c r="P856" s="3">
        <f t="shared" si="480"/>
        <v>0</v>
      </c>
      <c r="Q856" s="3">
        <f t="shared" si="480"/>
        <v>1310.9</v>
      </c>
      <c r="R856" s="3">
        <f t="shared" si="480"/>
        <v>3932700</v>
      </c>
      <c r="S856" s="3">
        <f t="shared" si="480"/>
        <v>0</v>
      </c>
      <c r="T856" s="3">
        <f t="shared" si="480"/>
        <v>0</v>
      </c>
      <c r="U856" s="3">
        <f t="shared" si="480"/>
        <v>400000</v>
      </c>
    </row>
    <row r="857" spans="1:22" ht="21.95" customHeight="1" x14ac:dyDescent="0.25">
      <c r="A857" s="1" t="s">
        <v>1103</v>
      </c>
      <c r="B857" s="9" t="s">
        <v>219</v>
      </c>
      <c r="C857" s="3">
        <f t="shared" si="447"/>
        <v>3767765</v>
      </c>
      <c r="D857" s="4">
        <f t="shared" ref="D857:D860" si="481">SUM(E857:J857)</f>
        <v>190515</v>
      </c>
      <c r="E857" s="4">
        <f>350*293.1</f>
        <v>102585.00000000001</v>
      </c>
      <c r="F857" s="4">
        <f>1050*0</f>
        <v>0</v>
      </c>
      <c r="G857" s="4">
        <f>300*293.1</f>
        <v>87930</v>
      </c>
      <c r="H857" s="4">
        <f>400*0</f>
        <v>0</v>
      </c>
      <c r="I857" s="4">
        <f>250*0</f>
        <v>0</v>
      </c>
      <c r="J857" s="4">
        <v>0</v>
      </c>
      <c r="K857" s="5">
        <v>0</v>
      </c>
      <c r="L857" s="4">
        <v>0</v>
      </c>
      <c r="M857" s="4">
        <v>371.5</v>
      </c>
      <c r="N857" s="4">
        <f t="shared" ref="N857:N860" si="482">M857*5500</f>
        <v>2043250</v>
      </c>
      <c r="O857" s="4">
        <v>0</v>
      </c>
      <c r="P857" s="4">
        <v>0</v>
      </c>
      <c r="Q857" s="4">
        <v>478</v>
      </c>
      <c r="R857" s="4">
        <f t="shared" ref="R857:R860" si="483">Q857*3000</f>
        <v>1434000</v>
      </c>
      <c r="S857" s="4">
        <v>0</v>
      </c>
      <c r="T857" s="4">
        <v>0</v>
      </c>
      <c r="U857" s="4">
        <v>100000</v>
      </c>
      <c r="V857" s="7">
        <f t="shared" ref="V857:V860" si="484">N857/M857</f>
        <v>5500</v>
      </c>
    </row>
    <row r="858" spans="1:22" ht="21.95" customHeight="1" x14ac:dyDescent="0.25">
      <c r="A858" s="1" t="s">
        <v>1104</v>
      </c>
      <c r="B858" s="9" t="s">
        <v>1931</v>
      </c>
      <c r="C858" s="3">
        <f t="shared" ref="C858" si="485">D858+L858+N858+P858+R858+S858+T858+U858</f>
        <v>1014340</v>
      </c>
      <c r="D858" s="4">
        <f t="shared" ref="D858" si="486">SUM(E858:J858)</f>
        <v>914340</v>
      </c>
      <c r="E858" s="4">
        <f>350*2612.4</f>
        <v>914340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  <c r="K858" s="5">
        <v>0</v>
      </c>
      <c r="L858" s="4">
        <v>0</v>
      </c>
      <c r="M858" s="4">
        <v>0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100000</v>
      </c>
      <c r="V858" s="7" t="e">
        <f t="shared" si="484"/>
        <v>#DIV/0!</v>
      </c>
    </row>
    <row r="859" spans="1:22" ht="21.95" customHeight="1" x14ac:dyDescent="0.25">
      <c r="A859" s="1" t="s">
        <v>1105</v>
      </c>
      <c r="B859" s="9" t="s">
        <v>220</v>
      </c>
      <c r="C859" s="3">
        <f t="shared" si="447"/>
        <v>4435205</v>
      </c>
      <c r="D859" s="4">
        <f t="shared" si="481"/>
        <v>855855</v>
      </c>
      <c r="E859" s="4">
        <f>350*438.9</f>
        <v>153615</v>
      </c>
      <c r="F859" s="4">
        <f>1050*438.9</f>
        <v>460845</v>
      </c>
      <c r="G859" s="4">
        <f>300*438.9</f>
        <v>131670</v>
      </c>
      <c r="H859" s="4">
        <f>400*0</f>
        <v>0</v>
      </c>
      <c r="I859" s="4">
        <f>250*438.9</f>
        <v>109725</v>
      </c>
      <c r="J859" s="4">
        <v>0</v>
      </c>
      <c r="K859" s="5">
        <v>0</v>
      </c>
      <c r="L859" s="4">
        <v>0</v>
      </c>
      <c r="M859" s="4">
        <v>371.5</v>
      </c>
      <c r="N859" s="4">
        <f t="shared" si="482"/>
        <v>2043250</v>
      </c>
      <c r="O859" s="4">
        <v>0</v>
      </c>
      <c r="P859" s="4">
        <v>0</v>
      </c>
      <c r="Q859" s="4">
        <v>478.7</v>
      </c>
      <c r="R859" s="4">
        <f t="shared" si="483"/>
        <v>1436100</v>
      </c>
      <c r="S859" s="4">
        <v>0</v>
      </c>
      <c r="T859" s="4">
        <v>0</v>
      </c>
      <c r="U859" s="4">
        <v>100000</v>
      </c>
      <c r="V859" s="7">
        <f t="shared" si="484"/>
        <v>5500</v>
      </c>
    </row>
    <row r="860" spans="1:22" ht="21.95" customHeight="1" x14ac:dyDescent="0.25">
      <c r="A860" s="1" t="s">
        <v>1106</v>
      </c>
      <c r="B860" s="9" t="s">
        <v>221</v>
      </c>
      <c r="C860" s="3">
        <f t="shared" si="447"/>
        <v>3080270</v>
      </c>
      <c r="D860" s="4">
        <f t="shared" si="481"/>
        <v>571545</v>
      </c>
      <c r="E860" s="4">
        <f>350*293.1</f>
        <v>102585.00000000001</v>
      </c>
      <c r="F860" s="4">
        <f>1050*293.1</f>
        <v>307755</v>
      </c>
      <c r="G860" s="4">
        <f>300*293.1</f>
        <v>87930</v>
      </c>
      <c r="H860" s="4">
        <f>400*0</f>
        <v>0</v>
      </c>
      <c r="I860" s="4">
        <f>250*293.1</f>
        <v>73275</v>
      </c>
      <c r="J860" s="4">
        <v>0</v>
      </c>
      <c r="K860" s="5">
        <v>0</v>
      </c>
      <c r="L860" s="4">
        <v>0</v>
      </c>
      <c r="M860" s="4">
        <v>244.75</v>
      </c>
      <c r="N860" s="4">
        <f t="shared" si="482"/>
        <v>1346125</v>
      </c>
      <c r="O860" s="4">
        <v>0</v>
      </c>
      <c r="P860" s="4">
        <v>0</v>
      </c>
      <c r="Q860" s="4">
        <v>354.2</v>
      </c>
      <c r="R860" s="4">
        <f t="shared" si="483"/>
        <v>1062600</v>
      </c>
      <c r="S860" s="4">
        <v>0</v>
      </c>
      <c r="T860" s="4">
        <v>0</v>
      </c>
      <c r="U860" s="4">
        <v>100000</v>
      </c>
      <c r="V860" s="7">
        <f t="shared" si="484"/>
        <v>5500</v>
      </c>
    </row>
    <row r="861" spans="1:22" ht="45" customHeight="1" x14ac:dyDescent="0.25">
      <c r="A861" s="55" t="s">
        <v>226</v>
      </c>
      <c r="B861" s="55"/>
      <c r="C861" s="3">
        <f t="shared" ref="C861:U861" si="487">SUM(C862:C865)</f>
        <v>12515689</v>
      </c>
      <c r="D861" s="3">
        <f t="shared" si="487"/>
        <v>988705</v>
      </c>
      <c r="E861" s="3">
        <f t="shared" si="487"/>
        <v>429520</v>
      </c>
      <c r="F861" s="3">
        <f t="shared" si="487"/>
        <v>0</v>
      </c>
      <c r="G861" s="3">
        <f t="shared" si="487"/>
        <v>305010</v>
      </c>
      <c r="H861" s="3">
        <f t="shared" si="487"/>
        <v>0</v>
      </c>
      <c r="I861" s="3">
        <f t="shared" si="487"/>
        <v>254175</v>
      </c>
      <c r="J861" s="3">
        <f t="shared" si="487"/>
        <v>0</v>
      </c>
      <c r="K861" s="15">
        <f t="shared" si="487"/>
        <v>0</v>
      </c>
      <c r="L861" s="3">
        <f t="shared" si="487"/>
        <v>0</v>
      </c>
      <c r="M861" s="3">
        <f t="shared" si="487"/>
        <v>1110.56</v>
      </c>
      <c r="N861" s="3">
        <f t="shared" si="487"/>
        <v>6108080</v>
      </c>
      <c r="O861" s="3">
        <f t="shared" si="487"/>
        <v>0</v>
      </c>
      <c r="P861" s="3">
        <f t="shared" si="487"/>
        <v>0</v>
      </c>
      <c r="Q861" s="3">
        <f t="shared" si="487"/>
        <v>1502.8400000000001</v>
      </c>
      <c r="R861" s="3">
        <f t="shared" si="487"/>
        <v>4508520</v>
      </c>
      <c r="S861" s="3">
        <f t="shared" si="487"/>
        <v>510384</v>
      </c>
      <c r="T861" s="3">
        <f t="shared" si="487"/>
        <v>0</v>
      </c>
      <c r="U861" s="3">
        <f t="shared" si="487"/>
        <v>400000</v>
      </c>
    </row>
    <row r="862" spans="1:22" ht="21.95" customHeight="1" x14ac:dyDescent="0.25">
      <c r="A862" s="1" t="s">
        <v>1107</v>
      </c>
      <c r="B862" s="9" t="s">
        <v>233</v>
      </c>
      <c r="C862" s="3">
        <f t="shared" si="447"/>
        <v>3870580</v>
      </c>
      <c r="D862" s="4">
        <f t="shared" ref="D862:D865" si="488">SUM(E862:J862)</f>
        <v>375300</v>
      </c>
      <c r="E862" s="4">
        <f>350*417</f>
        <v>145950</v>
      </c>
      <c r="F862" s="4">
        <v>0</v>
      </c>
      <c r="G862" s="4">
        <f>300*417</f>
        <v>125100</v>
      </c>
      <c r="H862" s="4">
        <f>400*0</f>
        <v>0</v>
      </c>
      <c r="I862" s="4">
        <f>250*417</f>
        <v>104250</v>
      </c>
      <c r="J862" s="4">
        <f>350*0</f>
        <v>0</v>
      </c>
      <c r="K862" s="5">
        <v>0</v>
      </c>
      <c r="L862" s="4">
        <v>0</v>
      </c>
      <c r="M862" s="4">
        <v>347.64</v>
      </c>
      <c r="N862" s="4">
        <f t="shared" ref="N862:N865" si="489">M862*5500</f>
        <v>1912020</v>
      </c>
      <c r="O862" s="4">
        <v>0</v>
      </c>
      <c r="P862" s="4">
        <v>0</v>
      </c>
      <c r="Q862" s="4">
        <v>442.2</v>
      </c>
      <c r="R862" s="4">
        <f t="shared" ref="R862:R865" si="490">Q862*3000</f>
        <v>1326600</v>
      </c>
      <c r="S862" s="4">
        <v>156660</v>
      </c>
      <c r="T862" s="4">
        <v>0</v>
      </c>
      <c r="U862" s="4">
        <v>100000</v>
      </c>
      <c r="V862" s="7">
        <f t="shared" ref="V862:V865" si="491">N862/M862</f>
        <v>5500</v>
      </c>
    </row>
    <row r="863" spans="1:22" ht="21.95" customHeight="1" x14ac:dyDescent="0.25">
      <c r="A863" s="1" t="s">
        <v>1108</v>
      </c>
      <c r="B863" s="9" t="s">
        <v>236</v>
      </c>
      <c r="C863" s="3">
        <f>D863+L863+N863+P863+R863+S863+T863+U863</f>
        <v>2852140</v>
      </c>
      <c r="D863" s="4">
        <f>SUM(E863:J863)</f>
        <v>269910</v>
      </c>
      <c r="E863" s="4">
        <f>350*299.9</f>
        <v>104964.99999999999</v>
      </c>
      <c r="F863" s="4">
        <v>0</v>
      </c>
      <c r="G863" s="4">
        <f>300*299.9</f>
        <v>89970</v>
      </c>
      <c r="H863" s="4">
        <f>400*0</f>
        <v>0</v>
      </c>
      <c r="I863" s="4">
        <f>250*299.9</f>
        <v>74975</v>
      </c>
      <c r="J863" s="4">
        <f>350*0</f>
        <v>0</v>
      </c>
      <c r="K863" s="5">
        <v>0</v>
      </c>
      <c r="L863" s="4">
        <v>0</v>
      </c>
      <c r="M863" s="4">
        <v>238.62</v>
      </c>
      <c r="N863" s="4">
        <f>M863*5500</f>
        <v>1312410</v>
      </c>
      <c r="O863" s="4">
        <v>0</v>
      </c>
      <c r="P863" s="4">
        <v>0</v>
      </c>
      <c r="Q863" s="4">
        <v>349.2</v>
      </c>
      <c r="R863" s="4">
        <f>Q863*3000</f>
        <v>1047600</v>
      </c>
      <c r="S863" s="4">
        <v>122220</v>
      </c>
      <c r="T863" s="4">
        <v>0</v>
      </c>
      <c r="U863" s="4">
        <v>100000</v>
      </c>
      <c r="V863" s="7">
        <f>N863/M863</f>
        <v>5500</v>
      </c>
    </row>
    <row r="864" spans="1:22" ht="21.95" customHeight="1" x14ac:dyDescent="0.25">
      <c r="A864" s="1" t="s">
        <v>1109</v>
      </c>
      <c r="B864" s="9" t="s">
        <v>234</v>
      </c>
      <c r="C864" s="3">
        <f t="shared" si="447"/>
        <v>2949273</v>
      </c>
      <c r="D864" s="4">
        <f t="shared" si="488"/>
        <v>269820</v>
      </c>
      <c r="E864" s="4">
        <f>350*299.8</f>
        <v>104930</v>
      </c>
      <c r="F864" s="4">
        <v>0</v>
      </c>
      <c r="G864" s="4">
        <f>300*299.8</f>
        <v>89940</v>
      </c>
      <c r="H864" s="4">
        <f>400*0</f>
        <v>0</v>
      </c>
      <c r="I864" s="4">
        <f>250*299.8</f>
        <v>74950</v>
      </c>
      <c r="J864" s="4">
        <f>350*0</f>
        <v>0</v>
      </c>
      <c r="K864" s="5">
        <v>0</v>
      </c>
      <c r="L864" s="4">
        <v>0</v>
      </c>
      <c r="M864" s="4">
        <v>255.83</v>
      </c>
      <c r="N864" s="4">
        <f t="shared" si="489"/>
        <v>1407065</v>
      </c>
      <c r="O864" s="4">
        <v>0</v>
      </c>
      <c r="P864" s="4">
        <v>0</v>
      </c>
      <c r="Q864" s="4">
        <v>350</v>
      </c>
      <c r="R864" s="4">
        <f t="shared" si="490"/>
        <v>1050000</v>
      </c>
      <c r="S864" s="4">
        <v>122388</v>
      </c>
      <c r="T864" s="4">
        <v>0</v>
      </c>
      <c r="U864" s="4">
        <v>100000</v>
      </c>
      <c r="V864" s="7">
        <f t="shared" si="491"/>
        <v>5500</v>
      </c>
    </row>
    <row r="865" spans="1:22" ht="21.95" customHeight="1" x14ac:dyDescent="0.25">
      <c r="A865" s="1" t="s">
        <v>1110</v>
      </c>
      <c r="B865" s="9" t="s">
        <v>237</v>
      </c>
      <c r="C865" s="3">
        <f t="shared" si="447"/>
        <v>2843696</v>
      </c>
      <c r="D865" s="4">
        <f t="shared" si="488"/>
        <v>73675</v>
      </c>
      <c r="E865" s="4">
        <f>350*210.5</f>
        <v>73675</v>
      </c>
      <c r="F865" s="4">
        <v>0</v>
      </c>
      <c r="G865" s="4">
        <v>0</v>
      </c>
      <c r="H865" s="4">
        <f>400*0</f>
        <v>0</v>
      </c>
      <c r="I865" s="4">
        <v>0</v>
      </c>
      <c r="J865" s="4">
        <f>350*0</f>
        <v>0</v>
      </c>
      <c r="K865" s="5">
        <v>0</v>
      </c>
      <c r="L865" s="4">
        <v>0</v>
      </c>
      <c r="M865" s="4">
        <v>268.47000000000003</v>
      </c>
      <c r="N865" s="4">
        <f t="shared" si="489"/>
        <v>1476585.0000000002</v>
      </c>
      <c r="O865" s="4">
        <v>0</v>
      </c>
      <c r="P865" s="4">
        <v>0</v>
      </c>
      <c r="Q865" s="4">
        <v>361.44</v>
      </c>
      <c r="R865" s="4">
        <f t="shared" si="490"/>
        <v>1084320</v>
      </c>
      <c r="S865" s="4">
        <v>109116</v>
      </c>
      <c r="T865" s="4">
        <v>0</v>
      </c>
      <c r="U865" s="4">
        <v>100000</v>
      </c>
      <c r="V865" s="7">
        <f t="shared" si="491"/>
        <v>5500</v>
      </c>
    </row>
    <row r="866" spans="1:22" ht="45" customHeight="1" x14ac:dyDescent="0.25">
      <c r="A866" s="55" t="s">
        <v>243</v>
      </c>
      <c r="B866" s="55"/>
      <c r="C866" s="3">
        <f>SUM(C867)</f>
        <v>3293265</v>
      </c>
      <c r="D866" s="3">
        <f t="shared" ref="D866:U866" si="492">SUM(D867)</f>
        <v>530985</v>
      </c>
      <c r="E866" s="3">
        <f t="shared" si="492"/>
        <v>95305</v>
      </c>
      <c r="F866" s="3">
        <f t="shared" si="492"/>
        <v>285915</v>
      </c>
      <c r="G866" s="3">
        <f t="shared" si="492"/>
        <v>81690</v>
      </c>
      <c r="H866" s="3">
        <f t="shared" si="492"/>
        <v>0</v>
      </c>
      <c r="I866" s="3">
        <f t="shared" si="492"/>
        <v>68075</v>
      </c>
      <c r="J866" s="3">
        <f t="shared" si="492"/>
        <v>0</v>
      </c>
      <c r="K866" s="15">
        <f t="shared" si="492"/>
        <v>0</v>
      </c>
      <c r="L866" s="3">
        <f t="shared" si="492"/>
        <v>0</v>
      </c>
      <c r="M866" s="3">
        <f t="shared" si="492"/>
        <v>272</v>
      </c>
      <c r="N866" s="3">
        <f t="shared" si="492"/>
        <v>1496000</v>
      </c>
      <c r="O866" s="3">
        <f t="shared" si="492"/>
        <v>0</v>
      </c>
      <c r="P866" s="3">
        <f t="shared" si="492"/>
        <v>0</v>
      </c>
      <c r="Q866" s="3">
        <f t="shared" si="492"/>
        <v>335</v>
      </c>
      <c r="R866" s="3">
        <f t="shared" si="492"/>
        <v>1005000</v>
      </c>
      <c r="S866" s="3">
        <f t="shared" si="492"/>
        <v>161280</v>
      </c>
      <c r="T866" s="3">
        <f t="shared" si="492"/>
        <v>0</v>
      </c>
      <c r="U866" s="3">
        <f t="shared" si="492"/>
        <v>100000</v>
      </c>
      <c r="V866" s="21">
        <f>C866</f>
        <v>3293265</v>
      </c>
    </row>
    <row r="867" spans="1:22" ht="21.95" customHeight="1" x14ac:dyDescent="0.25">
      <c r="A867" s="1" t="s">
        <v>1111</v>
      </c>
      <c r="B867" s="9" t="s">
        <v>242</v>
      </c>
      <c r="C867" s="3">
        <f t="shared" si="447"/>
        <v>3293265</v>
      </c>
      <c r="D867" s="4">
        <f t="shared" ref="D867" si="493">SUM(E867:J867)</f>
        <v>530985</v>
      </c>
      <c r="E867" s="4">
        <f>350*272.3</f>
        <v>95305</v>
      </c>
      <c r="F867" s="4">
        <f>1050*272.3</f>
        <v>285915</v>
      </c>
      <c r="G867" s="4">
        <f>300*272.3</f>
        <v>81690</v>
      </c>
      <c r="H867" s="4">
        <f>400*0</f>
        <v>0</v>
      </c>
      <c r="I867" s="4">
        <f>250*272.3</f>
        <v>68075</v>
      </c>
      <c r="J867" s="4">
        <f>350*0</f>
        <v>0</v>
      </c>
      <c r="K867" s="5">
        <v>0</v>
      </c>
      <c r="L867" s="4">
        <v>0</v>
      </c>
      <c r="M867" s="4">
        <v>272</v>
      </c>
      <c r="N867" s="4">
        <f t="shared" ref="N867" si="494">M867*5500</f>
        <v>1496000</v>
      </c>
      <c r="O867" s="4">
        <v>0</v>
      </c>
      <c r="P867" s="4">
        <v>0</v>
      </c>
      <c r="Q867" s="4">
        <v>335</v>
      </c>
      <c r="R867" s="4">
        <f>Q867*3000</f>
        <v>1005000</v>
      </c>
      <c r="S867" s="4">
        <v>161280</v>
      </c>
      <c r="T867" s="4">
        <v>0</v>
      </c>
      <c r="U867" s="4">
        <v>100000</v>
      </c>
      <c r="V867" s="7">
        <f t="shared" ref="V867" si="495">N867/M867</f>
        <v>5500</v>
      </c>
    </row>
    <row r="868" spans="1:22" ht="45" customHeight="1" x14ac:dyDescent="0.25">
      <c r="A868" s="55" t="s">
        <v>268</v>
      </c>
      <c r="B868" s="55"/>
      <c r="C868" s="3">
        <f>SUM(C869:C878)</f>
        <v>54298476.259999998</v>
      </c>
      <c r="D868" s="3">
        <f t="shared" ref="D868:U868" si="496">SUM(D869:D878)</f>
        <v>20007705</v>
      </c>
      <c r="E868" s="3">
        <f t="shared" si="496"/>
        <v>3742235</v>
      </c>
      <c r="F868" s="3">
        <f t="shared" si="496"/>
        <v>11226705</v>
      </c>
      <c r="G868" s="3">
        <f t="shared" si="496"/>
        <v>2365740</v>
      </c>
      <c r="H868" s="3">
        <f t="shared" si="496"/>
        <v>0</v>
      </c>
      <c r="I868" s="3">
        <f t="shared" si="496"/>
        <v>2673025</v>
      </c>
      <c r="J868" s="3">
        <f t="shared" si="496"/>
        <v>0</v>
      </c>
      <c r="K868" s="15">
        <f t="shared" si="496"/>
        <v>0</v>
      </c>
      <c r="L868" s="3">
        <f t="shared" si="496"/>
        <v>0</v>
      </c>
      <c r="M868" s="3">
        <f t="shared" si="496"/>
        <v>3933.8199999999997</v>
      </c>
      <c r="N868" s="3">
        <f t="shared" si="496"/>
        <v>19045781.259999998</v>
      </c>
      <c r="O868" s="3">
        <f t="shared" si="496"/>
        <v>315.59999999999997</v>
      </c>
      <c r="P868" s="3">
        <f t="shared" si="496"/>
        <v>781800</v>
      </c>
      <c r="Q868" s="3">
        <f t="shared" si="496"/>
        <v>4587.7300000000005</v>
      </c>
      <c r="R868" s="3">
        <f t="shared" si="496"/>
        <v>13763190</v>
      </c>
      <c r="S868" s="3">
        <f t="shared" si="496"/>
        <v>0</v>
      </c>
      <c r="T868" s="3">
        <f t="shared" si="496"/>
        <v>0</v>
      </c>
      <c r="U868" s="3">
        <f t="shared" si="496"/>
        <v>700000</v>
      </c>
    </row>
    <row r="869" spans="1:22" ht="24" customHeight="1" x14ac:dyDescent="0.25">
      <c r="A869" s="1" t="s">
        <v>1112</v>
      </c>
      <c r="B869" s="9" t="s">
        <v>1587</v>
      </c>
      <c r="C869" s="3">
        <f t="shared" si="447"/>
        <v>3243435</v>
      </c>
      <c r="D869" s="4">
        <f t="shared" ref="D869:D878" si="497">SUM(E869:J869)</f>
        <v>3243435</v>
      </c>
      <c r="E869" s="4">
        <f>350*1663.3</f>
        <v>582155</v>
      </c>
      <c r="F869" s="4">
        <f>1050*1663.3</f>
        <v>1746465</v>
      </c>
      <c r="G869" s="4">
        <f>300*1663.3</f>
        <v>498990</v>
      </c>
      <c r="H869" s="4">
        <v>0</v>
      </c>
      <c r="I869" s="4">
        <f>250*1663.3</f>
        <v>415825</v>
      </c>
      <c r="J869" s="4">
        <v>0</v>
      </c>
      <c r="K869" s="12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4">
        <f t="shared" ref="R869:R878" si="498">Q869*3000</f>
        <v>0</v>
      </c>
      <c r="S869" s="6">
        <v>0</v>
      </c>
      <c r="T869" s="6">
        <v>0</v>
      </c>
      <c r="U869" s="6">
        <v>0</v>
      </c>
      <c r="V869" s="7" t="e">
        <f t="shared" ref="V869:V878" si="499">N869/M869</f>
        <v>#DIV/0!</v>
      </c>
    </row>
    <row r="870" spans="1:22" ht="21.95" customHeight="1" x14ac:dyDescent="0.25">
      <c r="A870" s="1" t="s">
        <v>1113</v>
      </c>
      <c r="B870" s="9" t="s">
        <v>1574</v>
      </c>
      <c r="C870" s="3">
        <f t="shared" si="447"/>
        <v>1718750</v>
      </c>
      <c r="D870" s="4">
        <f t="shared" si="497"/>
        <v>0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12">
        <v>0</v>
      </c>
      <c r="L870" s="6">
        <v>0</v>
      </c>
      <c r="M870" s="6">
        <v>312.5</v>
      </c>
      <c r="N870" s="6">
        <f>M870*5500</f>
        <v>1718750</v>
      </c>
      <c r="O870" s="6">
        <v>0</v>
      </c>
      <c r="P870" s="6">
        <v>0</v>
      </c>
      <c r="Q870" s="6">
        <v>0</v>
      </c>
      <c r="R870" s="4">
        <f t="shared" si="498"/>
        <v>0</v>
      </c>
      <c r="S870" s="6">
        <v>0</v>
      </c>
      <c r="T870" s="6">
        <v>0</v>
      </c>
      <c r="U870" s="6">
        <v>0</v>
      </c>
      <c r="V870" s="7">
        <f t="shared" si="499"/>
        <v>5500</v>
      </c>
    </row>
    <row r="871" spans="1:22" ht="21.95" customHeight="1" x14ac:dyDescent="0.25">
      <c r="A871" s="1" t="s">
        <v>1114</v>
      </c>
      <c r="B871" s="27" t="s">
        <v>248</v>
      </c>
      <c r="C871" s="3">
        <f t="shared" si="447"/>
        <v>6398290</v>
      </c>
      <c r="D871" s="4">
        <f t="shared" si="497"/>
        <v>5948010</v>
      </c>
      <c r="E871" s="4">
        <f>350*3482</f>
        <v>1218700</v>
      </c>
      <c r="F871" s="4">
        <f>1050*3482</f>
        <v>3656100</v>
      </c>
      <c r="G871" s="4">
        <f>300*675.7</f>
        <v>202710</v>
      </c>
      <c r="H871" s="4">
        <f>400*0</f>
        <v>0</v>
      </c>
      <c r="I871" s="4">
        <f>250*3482</f>
        <v>870500</v>
      </c>
      <c r="J871" s="4">
        <f>350*0</f>
        <v>0</v>
      </c>
      <c r="K871" s="5">
        <v>0</v>
      </c>
      <c r="L871" s="4">
        <v>0</v>
      </c>
      <c r="M871" s="4">
        <v>0</v>
      </c>
      <c r="N871" s="4">
        <v>0</v>
      </c>
      <c r="O871" s="4">
        <v>166.8</v>
      </c>
      <c r="P871" s="4">
        <v>350280</v>
      </c>
      <c r="Q871" s="4">
        <v>0</v>
      </c>
      <c r="R871" s="4">
        <f t="shared" si="498"/>
        <v>0</v>
      </c>
      <c r="S871" s="4">
        <v>0</v>
      </c>
      <c r="T871" s="4">
        <v>0</v>
      </c>
      <c r="U871" s="4">
        <v>100000</v>
      </c>
      <c r="V871" s="7" t="e">
        <f t="shared" si="499"/>
        <v>#DIV/0!</v>
      </c>
    </row>
    <row r="872" spans="1:22" ht="21.95" customHeight="1" x14ac:dyDescent="0.25">
      <c r="A872" s="1" t="s">
        <v>1115</v>
      </c>
      <c r="B872" s="27" t="s">
        <v>256</v>
      </c>
      <c r="C872" s="3">
        <f t="shared" si="447"/>
        <v>6420035</v>
      </c>
      <c r="D872" s="4">
        <f t="shared" si="497"/>
        <v>1317615</v>
      </c>
      <c r="E872" s="4">
        <f>350*675.7</f>
        <v>236495.00000000003</v>
      </c>
      <c r="F872" s="4">
        <f>1050*675.7</f>
        <v>709485</v>
      </c>
      <c r="G872" s="4">
        <f>300*675.7</f>
        <v>202710</v>
      </c>
      <c r="H872" s="4">
        <f>400*0</f>
        <v>0</v>
      </c>
      <c r="I872" s="4">
        <f>250*675.7</f>
        <v>168925</v>
      </c>
      <c r="J872" s="4">
        <f>350*0</f>
        <v>0</v>
      </c>
      <c r="K872" s="5">
        <v>0</v>
      </c>
      <c r="L872" s="4">
        <v>0</v>
      </c>
      <c r="M872" s="4">
        <v>555.79999999999995</v>
      </c>
      <c r="N872" s="4">
        <f t="shared" ref="N872" si="500">M872*5500</f>
        <v>3056899.9999999995</v>
      </c>
      <c r="O872" s="4">
        <v>42.7</v>
      </c>
      <c r="P872" s="4">
        <v>123830</v>
      </c>
      <c r="Q872" s="4">
        <v>607.23</v>
      </c>
      <c r="R872" s="4">
        <f t="shared" si="498"/>
        <v>1821690</v>
      </c>
      <c r="S872" s="4">
        <v>0</v>
      </c>
      <c r="T872" s="4">
        <v>0</v>
      </c>
      <c r="U872" s="4">
        <v>100000</v>
      </c>
      <c r="V872" s="7">
        <f t="shared" si="499"/>
        <v>5500</v>
      </c>
    </row>
    <row r="873" spans="1:22" ht="21.95" customHeight="1" x14ac:dyDescent="0.25">
      <c r="A873" s="1" t="s">
        <v>1116</v>
      </c>
      <c r="B873" s="27" t="s">
        <v>261</v>
      </c>
      <c r="C873" s="3">
        <f t="shared" si="447"/>
        <v>3117399.9999999995</v>
      </c>
      <c r="D873" s="4">
        <f t="shared" si="497"/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5">
        <v>0</v>
      </c>
      <c r="L873" s="4">
        <v>0</v>
      </c>
      <c r="M873" s="4">
        <v>566.79999999999995</v>
      </c>
      <c r="N873" s="4">
        <f t="shared" ref="N873" si="501">M873*5500</f>
        <v>3117399.9999999995</v>
      </c>
      <c r="O873" s="4">
        <v>0</v>
      </c>
      <c r="P873" s="4">
        <v>0</v>
      </c>
      <c r="Q873" s="4">
        <v>0</v>
      </c>
      <c r="R873" s="4">
        <f t="shared" si="498"/>
        <v>0</v>
      </c>
      <c r="S873" s="4">
        <v>0</v>
      </c>
      <c r="T873" s="4">
        <v>0</v>
      </c>
      <c r="U873" s="4">
        <v>0</v>
      </c>
      <c r="V873" s="7">
        <f t="shared" si="499"/>
        <v>5500</v>
      </c>
    </row>
    <row r="874" spans="1:22" ht="21.95" customHeight="1" x14ac:dyDescent="0.25">
      <c r="A874" s="1" t="s">
        <v>1117</v>
      </c>
      <c r="B874" s="27" t="s">
        <v>263</v>
      </c>
      <c r="C874" s="3">
        <f t="shared" si="447"/>
        <v>9500334.7599999998</v>
      </c>
      <c r="D874" s="4">
        <f t="shared" si="497"/>
        <v>3103620</v>
      </c>
      <c r="E874" s="4">
        <f>350*1591.6</f>
        <v>557060</v>
      </c>
      <c r="F874" s="4">
        <f>1050*1591.6</f>
        <v>1671180</v>
      </c>
      <c r="G874" s="4">
        <f>300*1591.6</f>
        <v>477480</v>
      </c>
      <c r="H874" s="4">
        <f>400*0</f>
        <v>0</v>
      </c>
      <c r="I874" s="4">
        <f>250*1591.6</f>
        <v>397900</v>
      </c>
      <c r="J874" s="4">
        <f>350*0</f>
        <v>0</v>
      </c>
      <c r="K874" s="5">
        <v>0</v>
      </c>
      <c r="L874" s="4">
        <v>0</v>
      </c>
      <c r="M874" s="4">
        <v>682.66</v>
      </c>
      <c r="N874" s="4">
        <f t="shared" ref="N874:N875" si="502">M874*3686</f>
        <v>2516284.7599999998</v>
      </c>
      <c r="O874" s="4">
        <v>52.7</v>
      </c>
      <c r="P874" s="4">
        <v>152830</v>
      </c>
      <c r="Q874" s="4">
        <v>1209.2</v>
      </c>
      <c r="R874" s="4">
        <f t="shared" si="498"/>
        <v>3627600</v>
      </c>
      <c r="S874" s="4">
        <v>0</v>
      </c>
      <c r="T874" s="4">
        <v>0</v>
      </c>
      <c r="U874" s="4">
        <v>100000</v>
      </c>
      <c r="V874" s="7">
        <f t="shared" si="499"/>
        <v>3686</v>
      </c>
    </row>
    <row r="875" spans="1:22" ht="21.95" customHeight="1" x14ac:dyDescent="0.25">
      <c r="A875" s="1" t="s">
        <v>1118</v>
      </c>
      <c r="B875" s="27" t="s">
        <v>264</v>
      </c>
      <c r="C875" s="3">
        <f t="shared" si="447"/>
        <v>9736161.5</v>
      </c>
      <c r="D875" s="4">
        <f t="shared" si="497"/>
        <v>3135210</v>
      </c>
      <c r="E875" s="4">
        <f>350*1607.8</f>
        <v>562730</v>
      </c>
      <c r="F875" s="4">
        <f>1050*1607.8</f>
        <v>1688190</v>
      </c>
      <c r="G875" s="4">
        <f>300*1607.8</f>
        <v>482340</v>
      </c>
      <c r="H875" s="4">
        <f>400*0</f>
        <v>0</v>
      </c>
      <c r="I875" s="4">
        <f>250*1607.8</f>
        <v>401950</v>
      </c>
      <c r="J875" s="4">
        <f t="shared" ref="J875:J878" si="503">350*0</f>
        <v>0</v>
      </c>
      <c r="K875" s="5">
        <v>0</v>
      </c>
      <c r="L875" s="4">
        <v>0</v>
      </c>
      <c r="M875" s="4">
        <v>745.25</v>
      </c>
      <c r="N875" s="4">
        <f t="shared" si="502"/>
        <v>2746991.5</v>
      </c>
      <c r="O875" s="4">
        <v>53.4</v>
      </c>
      <c r="P875" s="4">
        <v>154860</v>
      </c>
      <c r="Q875" s="4">
        <v>1199.7</v>
      </c>
      <c r="R875" s="4">
        <f t="shared" si="498"/>
        <v>3599100</v>
      </c>
      <c r="S875" s="4">
        <v>0</v>
      </c>
      <c r="T875" s="4">
        <v>0</v>
      </c>
      <c r="U875" s="4">
        <v>100000</v>
      </c>
      <c r="V875" s="7">
        <f t="shared" si="499"/>
        <v>3686</v>
      </c>
    </row>
    <row r="876" spans="1:22" ht="21.95" customHeight="1" x14ac:dyDescent="0.25">
      <c r="A876" s="1" t="s">
        <v>1119</v>
      </c>
      <c r="B876" s="27" t="s">
        <v>265</v>
      </c>
      <c r="C876" s="3">
        <f t="shared" si="447"/>
        <v>6146780</v>
      </c>
      <c r="D876" s="4">
        <f t="shared" si="497"/>
        <v>1319370</v>
      </c>
      <c r="E876" s="4">
        <f>350*676.6</f>
        <v>236810</v>
      </c>
      <c r="F876" s="4">
        <f>1050*676.6</f>
        <v>710430</v>
      </c>
      <c r="G876" s="4">
        <f>300*676.6</f>
        <v>202980</v>
      </c>
      <c r="H876" s="4">
        <f>400*0</f>
        <v>0</v>
      </c>
      <c r="I876" s="4">
        <f>250*676.6</f>
        <v>169150</v>
      </c>
      <c r="J876" s="4">
        <f t="shared" si="503"/>
        <v>0</v>
      </c>
      <c r="K876" s="5">
        <v>0</v>
      </c>
      <c r="L876" s="4">
        <v>0</v>
      </c>
      <c r="M876" s="4">
        <v>562.9</v>
      </c>
      <c r="N876" s="4">
        <f t="shared" ref="N876:N877" si="504">M876*5500</f>
        <v>3095950</v>
      </c>
      <c r="O876" s="4">
        <v>0</v>
      </c>
      <c r="P876" s="4">
        <v>0</v>
      </c>
      <c r="Q876" s="4">
        <v>543.82000000000005</v>
      </c>
      <c r="R876" s="4">
        <f t="shared" si="498"/>
        <v>1631460.0000000002</v>
      </c>
      <c r="S876" s="4">
        <v>0</v>
      </c>
      <c r="T876" s="4">
        <v>0</v>
      </c>
      <c r="U876" s="4">
        <v>100000</v>
      </c>
      <c r="V876" s="7">
        <f t="shared" si="499"/>
        <v>5500</v>
      </c>
    </row>
    <row r="877" spans="1:22" ht="21.95" customHeight="1" x14ac:dyDescent="0.25">
      <c r="A877" s="1" t="s">
        <v>1120</v>
      </c>
      <c r="B877" s="27" t="s">
        <v>266</v>
      </c>
      <c r="C877" s="3">
        <f t="shared" si="447"/>
        <v>6168335</v>
      </c>
      <c r="D877" s="4">
        <f t="shared" si="497"/>
        <v>1303770</v>
      </c>
      <c r="E877" s="4">
        <f>350*668.6</f>
        <v>234010</v>
      </c>
      <c r="F877" s="4">
        <f>1050*668.6</f>
        <v>702030</v>
      </c>
      <c r="G877" s="4">
        <f>300*668.6</f>
        <v>200580</v>
      </c>
      <c r="H877" s="4">
        <f>400*0</f>
        <v>0</v>
      </c>
      <c r="I877" s="4">
        <f>250*668.6</f>
        <v>167150</v>
      </c>
      <c r="J877" s="4">
        <f t="shared" si="503"/>
        <v>0</v>
      </c>
      <c r="K877" s="5">
        <v>0</v>
      </c>
      <c r="L877" s="4">
        <v>0</v>
      </c>
      <c r="M877" s="4">
        <v>507.91</v>
      </c>
      <c r="N877" s="4">
        <f t="shared" si="504"/>
        <v>2793505</v>
      </c>
      <c r="O877" s="4">
        <v>0</v>
      </c>
      <c r="P877" s="4">
        <v>0</v>
      </c>
      <c r="Q877" s="4">
        <v>657.02</v>
      </c>
      <c r="R877" s="4">
        <f t="shared" si="498"/>
        <v>1971060</v>
      </c>
      <c r="S877" s="4">
        <v>0</v>
      </c>
      <c r="T877" s="4">
        <v>0</v>
      </c>
      <c r="U877" s="4">
        <v>100000</v>
      </c>
      <c r="V877" s="7">
        <f t="shared" si="499"/>
        <v>5500</v>
      </c>
    </row>
    <row r="878" spans="1:22" ht="21.95" customHeight="1" x14ac:dyDescent="0.25">
      <c r="A878" s="1" t="s">
        <v>1121</v>
      </c>
      <c r="B878" s="27" t="s">
        <v>267</v>
      </c>
      <c r="C878" s="3">
        <f t="shared" si="447"/>
        <v>1848955</v>
      </c>
      <c r="D878" s="4">
        <f t="shared" si="497"/>
        <v>636675</v>
      </c>
      <c r="E878" s="4">
        <f>350*326.5</f>
        <v>114275</v>
      </c>
      <c r="F878" s="4">
        <f>1050*326.5</f>
        <v>342825</v>
      </c>
      <c r="G878" s="4">
        <f>300*326.5</f>
        <v>97950</v>
      </c>
      <c r="H878" s="4">
        <f>400*0</f>
        <v>0</v>
      </c>
      <c r="I878" s="4">
        <f>250*326.5</f>
        <v>81625</v>
      </c>
      <c r="J878" s="4">
        <f t="shared" si="503"/>
        <v>0</v>
      </c>
      <c r="K878" s="5">
        <v>0</v>
      </c>
      <c r="L878" s="4">
        <v>0</v>
      </c>
      <c r="M878" s="4">
        <v>0</v>
      </c>
      <c r="N878" s="4">
        <v>0</v>
      </c>
      <c r="O878" s="4">
        <v>0</v>
      </c>
      <c r="P878" s="4">
        <v>0</v>
      </c>
      <c r="Q878" s="4">
        <v>370.76</v>
      </c>
      <c r="R878" s="4">
        <f t="shared" si="498"/>
        <v>1112280</v>
      </c>
      <c r="S878" s="4">
        <v>0</v>
      </c>
      <c r="T878" s="4">
        <v>0</v>
      </c>
      <c r="U878" s="4">
        <v>100000</v>
      </c>
      <c r="V878" s="7" t="e">
        <f t="shared" si="499"/>
        <v>#DIV/0!</v>
      </c>
    </row>
    <row r="879" spans="1:22" ht="45" customHeight="1" x14ac:dyDescent="0.25">
      <c r="A879" s="55" t="s">
        <v>271</v>
      </c>
      <c r="B879" s="55"/>
      <c r="C879" s="3">
        <f>SUM(C880:C881)</f>
        <v>7971620</v>
      </c>
      <c r="D879" s="3">
        <f t="shared" ref="D879:U879" si="505">SUM(D880:D881)</f>
        <v>838020</v>
      </c>
      <c r="E879" s="3">
        <f t="shared" si="505"/>
        <v>287490</v>
      </c>
      <c r="F879" s="3">
        <f t="shared" si="505"/>
        <v>428190</v>
      </c>
      <c r="G879" s="3">
        <f t="shared" si="505"/>
        <v>122340</v>
      </c>
      <c r="H879" s="3">
        <f t="shared" si="505"/>
        <v>0</v>
      </c>
      <c r="I879" s="3">
        <f t="shared" si="505"/>
        <v>0</v>
      </c>
      <c r="J879" s="3">
        <f t="shared" si="505"/>
        <v>0</v>
      </c>
      <c r="K879" s="15">
        <f t="shared" si="505"/>
        <v>0</v>
      </c>
      <c r="L879" s="3">
        <f t="shared" si="505"/>
        <v>0</v>
      </c>
      <c r="M879" s="3">
        <f t="shared" si="505"/>
        <v>864</v>
      </c>
      <c r="N879" s="3">
        <f t="shared" si="505"/>
        <v>4752000</v>
      </c>
      <c r="O879" s="3">
        <f t="shared" si="505"/>
        <v>0</v>
      </c>
      <c r="P879" s="3">
        <f t="shared" si="505"/>
        <v>0</v>
      </c>
      <c r="Q879" s="3">
        <f t="shared" si="505"/>
        <v>727.2</v>
      </c>
      <c r="R879" s="3">
        <f t="shared" si="505"/>
        <v>2181600</v>
      </c>
      <c r="S879" s="3">
        <f t="shared" si="505"/>
        <v>0</v>
      </c>
      <c r="T879" s="3">
        <f t="shared" si="505"/>
        <v>0</v>
      </c>
      <c r="U879" s="3">
        <f t="shared" si="505"/>
        <v>200000</v>
      </c>
      <c r="V879" s="21">
        <f>C879</f>
        <v>7971620</v>
      </c>
    </row>
    <row r="880" spans="1:22" ht="21.95" customHeight="1" x14ac:dyDescent="0.25">
      <c r="A880" s="1" t="s">
        <v>1122</v>
      </c>
      <c r="B880" s="27" t="s">
        <v>272</v>
      </c>
      <c r="C880" s="3">
        <f t="shared" si="447"/>
        <v>4260060</v>
      </c>
      <c r="D880" s="4">
        <f t="shared" ref="D880:D881" si="506">SUM(E880:J880)</f>
        <v>693260</v>
      </c>
      <c r="E880" s="4">
        <f>350*407.8</f>
        <v>142730</v>
      </c>
      <c r="F880" s="4">
        <f>1050*407.8</f>
        <v>428190</v>
      </c>
      <c r="G880" s="4">
        <f>300*407.8</f>
        <v>122340</v>
      </c>
      <c r="H880" s="4">
        <f>400*0</f>
        <v>0</v>
      </c>
      <c r="I880" s="4">
        <f>250*0</f>
        <v>0</v>
      </c>
      <c r="J880" s="4">
        <f t="shared" ref="J880:J881" si="507">350*0</f>
        <v>0</v>
      </c>
      <c r="K880" s="5">
        <v>0</v>
      </c>
      <c r="L880" s="4">
        <v>0</v>
      </c>
      <c r="M880" s="4">
        <v>432</v>
      </c>
      <c r="N880" s="4">
        <f t="shared" ref="N880:N881" si="508">M880*5500</f>
        <v>2376000</v>
      </c>
      <c r="O880" s="4">
        <v>0</v>
      </c>
      <c r="P880" s="4">
        <v>0</v>
      </c>
      <c r="Q880" s="4">
        <v>363.6</v>
      </c>
      <c r="R880" s="4">
        <f t="shared" ref="R880:R881" si="509">Q880*3000</f>
        <v>1090800</v>
      </c>
      <c r="S880" s="4">
        <v>0</v>
      </c>
      <c r="T880" s="4">
        <v>0</v>
      </c>
      <c r="U880" s="4">
        <v>100000</v>
      </c>
      <c r="V880" s="7">
        <f t="shared" ref="V880:V881" si="510">N880/M880</f>
        <v>5500</v>
      </c>
    </row>
    <row r="881" spans="1:258" ht="21.95" customHeight="1" x14ac:dyDescent="0.25">
      <c r="A881" s="1" t="s">
        <v>1123</v>
      </c>
      <c r="B881" s="27" t="s">
        <v>1615</v>
      </c>
      <c r="C881" s="3">
        <f t="shared" si="447"/>
        <v>3711560</v>
      </c>
      <c r="D881" s="4">
        <f t="shared" si="506"/>
        <v>144760</v>
      </c>
      <c r="E881" s="4">
        <f>350*413.6</f>
        <v>144760</v>
      </c>
      <c r="F881" s="4">
        <f>1050*0</f>
        <v>0</v>
      </c>
      <c r="G881" s="4">
        <f>300*0</f>
        <v>0</v>
      </c>
      <c r="H881" s="4">
        <f>400*0</f>
        <v>0</v>
      </c>
      <c r="I881" s="4">
        <f>250*0</f>
        <v>0</v>
      </c>
      <c r="J881" s="4">
        <f t="shared" si="507"/>
        <v>0</v>
      </c>
      <c r="K881" s="5">
        <v>0</v>
      </c>
      <c r="L881" s="4">
        <v>0</v>
      </c>
      <c r="M881" s="4">
        <v>432</v>
      </c>
      <c r="N881" s="4">
        <f t="shared" si="508"/>
        <v>2376000</v>
      </c>
      <c r="O881" s="4">
        <v>0</v>
      </c>
      <c r="P881" s="4">
        <v>0</v>
      </c>
      <c r="Q881" s="4">
        <v>363.6</v>
      </c>
      <c r="R881" s="4">
        <f t="shared" si="509"/>
        <v>1090800</v>
      </c>
      <c r="S881" s="4">
        <v>0</v>
      </c>
      <c r="T881" s="4">
        <v>0</v>
      </c>
      <c r="U881" s="4">
        <v>100000</v>
      </c>
      <c r="V881" s="7">
        <f t="shared" si="510"/>
        <v>5500</v>
      </c>
    </row>
    <row r="882" spans="1:258" ht="45" customHeight="1" x14ac:dyDescent="0.25">
      <c r="A882" s="55" t="s">
        <v>278</v>
      </c>
      <c r="B882" s="55"/>
      <c r="C882" s="3">
        <f>SUM(C883:C884)</f>
        <v>7485000</v>
      </c>
      <c r="D882" s="3">
        <f t="shared" ref="D882:U882" si="511">SUM(D883:D884)</f>
        <v>351400</v>
      </c>
      <c r="E882" s="3">
        <f t="shared" si="511"/>
        <v>351400</v>
      </c>
      <c r="F882" s="3">
        <f t="shared" si="511"/>
        <v>0</v>
      </c>
      <c r="G882" s="3">
        <f t="shared" si="511"/>
        <v>0</v>
      </c>
      <c r="H882" s="3">
        <f t="shared" si="511"/>
        <v>0</v>
      </c>
      <c r="I882" s="3">
        <f t="shared" si="511"/>
        <v>0</v>
      </c>
      <c r="J882" s="3">
        <f t="shared" si="511"/>
        <v>0</v>
      </c>
      <c r="K882" s="15">
        <f t="shared" si="511"/>
        <v>0</v>
      </c>
      <c r="L882" s="3">
        <f t="shared" si="511"/>
        <v>0</v>
      </c>
      <c r="M882" s="3">
        <f t="shared" si="511"/>
        <v>864</v>
      </c>
      <c r="N882" s="3">
        <f t="shared" si="511"/>
        <v>4752000</v>
      </c>
      <c r="O882" s="3">
        <f t="shared" si="511"/>
        <v>0</v>
      </c>
      <c r="P882" s="3">
        <f t="shared" si="511"/>
        <v>0</v>
      </c>
      <c r="Q882" s="3">
        <f t="shared" si="511"/>
        <v>727.2</v>
      </c>
      <c r="R882" s="3">
        <f t="shared" si="511"/>
        <v>2181600</v>
      </c>
      <c r="S882" s="3">
        <f t="shared" si="511"/>
        <v>0</v>
      </c>
      <c r="T882" s="3">
        <f t="shared" si="511"/>
        <v>0</v>
      </c>
      <c r="U882" s="3">
        <f t="shared" si="511"/>
        <v>200000</v>
      </c>
      <c r="V882" s="21">
        <f>C882</f>
        <v>7485000</v>
      </c>
    </row>
    <row r="883" spans="1:258" ht="21.95" customHeight="1" x14ac:dyDescent="0.25">
      <c r="A883" s="1" t="s">
        <v>1124</v>
      </c>
      <c r="B883" s="27" t="s">
        <v>279</v>
      </c>
      <c r="C883" s="3">
        <f t="shared" si="447"/>
        <v>3742500</v>
      </c>
      <c r="D883" s="4">
        <f t="shared" ref="D883:D884" si="512">SUM(E883:J883)</f>
        <v>175700</v>
      </c>
      <c r="E883" s="4">
        <f>350*502</f>
        <v>175700</v>
      </c>
      <c r="F883" s="4">
        <f>1050*0</f>
        <v>0</v>
      </c>
      <c r="G883" s="4">
        <f>300*0</f>
        <v>0</v>
      </c>
      <c r="H883" s="4">
        <f>400*0</f>
        <v>0</v>
      </c>
      <c r="I883" s="4">
        <f>250*0</f>
        <v>0</v>
      </c>
      <c r="J883" s="4">
        <v>0</v>
      </c>
      <c r="K883" s="5">
        <v>0</v>
      </c>
      <c r="L883" s="4">
        <v>0</v>
      </c>
      <c r="M883" s="4">
        <v>432</v>
      </c>
      <c r="N883" s="4">
        <f t="shared" ref="N883:N884" si="513">M883*5500</f>
        <v>2376000</v>
      </c>
      <c r="O883" s="4">
        <v>0</v>
      </c>
      <c r="P883" s="4">
        <v>0</v>
      </c>
      <c r="Q883" s="4">
        <v>363.6</v>
      </c>
      <c r="R883" s="4">
        <f t="shared" ref="R883:R884" si="514">Q883*3000</f>
        <v>1090800</v>
      </c>
      <c r="S883" s="4">
        <v>0</v>
      </c>
      <c r="T883" s="4">
        <v>0</v>
      </c>
      <c r="U883" s="4">
        <v>100000</v>
      </c>
      <c r="V883" s="7">
        <f t="shared" ref="V883:V884" si="515">N883/M883</f>
        <v>5500</v>
      </c>
    </row>
    <row r="884" spans="1:258" ht="21.95" customHeight="1" x14ac:dyDescent="0.25">
      <c r="A884" s="24" t="s">
        <v>1125</v>
      </c>
      <c r="B884" s="27" t="s">
        <v>280</v>
      </c>
      <c r="C884" s="3">
        <f t="shared" si="447"/>
        <v>3742500</v>
      </c>
      <c r="D884" s="4">
        <f t="shared" si="512"/>
        <v>175700</v>
      </c>
      <c r="E884" s="4">
        <f>350*502</f>
        <v>175700</v>
      </c>
      <c r="F884" s="4">
        <f>1050*0</f>
        <v>0</v>
      </c>
      <c r="G884" s="4">
        <f>300*0</f>
        <v>0</v>
      </c>
      <c r="H884" s="4">
        <f>400*0</f>
        <v>0</v>
      </c>
      <c r="I884" s="4">
        <f>250*0</f>
        <v>0</v>
      </c>
      <c r="J884" s="4">
        <v>0</v>
      </c>
      <c r="K884" s="5">
        <v>0</v>
      </c>
      <c r="L884" s="4">
        <v>0</v>
      </c>
      <c r="M884" s="4">
        <v>432</v>
      </c>
      <c r="N884" s="4">
        <f t="shared" si="513"/>
        <v>2376000</v>
      </c>
      <c r="O884" s="4">
        <v>0</v>
      </c>
      <c r="P884" s="4">
        <v>0</v>
      </c>
      <c r="Q884" s="4">
        <v>363.6</v>
      </c>
      <c r="R884" s="4">
        <f t="shared" si="514"/>
        <v>1090800</v>
      </c>
      <c r="S884" s="4">
        <v>0</v>
      </c>
      <c r="T884" s="4">
        <v>0</v>
      </c>
      <c r="U884" s="4">
        <v>100000</v>
      </c>
      <c r="V884" s="7">
        <f t="shared" si="515"/>
        <v>5500</v>
      </c>
    </row>
    <row r="885" spans="1:258" ht="45" customHeight="1" x14ac:dyDescent="0.25">
      <c r="A885" s="55" t="s">
        <v>381</v>
      </c>
      <c r="B885" s="55"/>
      <c r="C885" s="3">
        <f>SUM(C886:C1058)</f>
        <v>733374091.29999995</v>
      </c>
      <c r="D885" s="3">
        <f t="shared" ref="D885:U885" si="516">SUM(D886:D1058)</f>
        <v>165030138.5</v>
      </c>
      <c r="E885" s="3">
        <f t="shared" si="516"/>
        <v>24725690.5</v>
      </c>
      <c r="F885" s="3">
        <f t="shared" si="516"/>
        <v>74177071.5</v>
      </c>
      <c r="G885" s="3">
        <f t="shared" si="516"/>
        <v>21193449</v>
      </c>
      <c r="H885" s="3">
        <f t="shared" si="516"/>
        <v>27272720</v>
      </c>
      <c r="I885" s="3">
        <f t="shared" si="516"/>
        <v>17661207.5</v>
      </c>
      <c r="J885" s="3">
        <f t="shared" si="516"/>
        <v>0</v>
      </c>
      <c r="K885" s="15">
        <f t="shared" si="516"/>
        <v>4</v>
      </c>
      <c r="L885" s="3">
        <f t="shared" si="516"/>
        <v>8600000</v>
      </c>
      <c r="M885" s="3">
        <f t="shared" si="516"/>
        <v>86054.670000000013</v>
      </c>
      <c r="N885" s="3">
        <f t="shared" si="516"/>
        <v>459365152.80000001</v>
      </c>
      <c r="O885" s="3">
        <f t="shared" si="516"/>
        <v>438</v>
      </c>
      <c r="P885" s="3">
        <f t="shared" si="516"/>
        <v>525600</v>
      </c>
      <c r="Q885" s="3">
        <f t="shared" si="516"/>
        <v>32460.400000000001</v>
      </c>
      <c r="R885" s="3">
        <f t="shared" si="516"/>
        <v>97381200</v>
      </c>
      <c r="S885" s="3">
        <f t="shared" si="516"/>
        <v>472000</v>
      </c>
      <c r="T885" s="3">
        <f t="shared" si="516"/>
        <v>0</v>
      </c>
      <c r="U885" s="3">
        <f t="shared" si="516"/>
        <v>2000000</v>
      </c>
    </row>
    <row r="886" spans="1:258" ht="21.95" customHeight="1" x14ac:dyDescent="0.25">
      <c r="A886" s="52" t="s">
        <v>1126</v>
      </c>
      <c r="B886" s="9" t="s">
        <v>767</v>
      </c>
      <c r="C886" s="3">
        <f t="shared" si="447"/>
        <v>2695000</v>
      </c>
      <c r="D886" s="4">
        <f t="shared" ref="D886:D950" si="517">SUM(E886:J886)</f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12">
        <v>0</v>
      </c>
      <c r="L886" s="6">
        <v>0</v>
      </c>
      <c r="M886" s="6">
        <v>490</v>
      </c>
      <c r="N886" s="4">
        <f t="shared" ref="N886" si="518">M886*5500</f>
        <v>2695000</v>
      </c>
      <c r="O886" s="6">
        <v>0</v>
      </c>
      <c r="P886" s="6">
        <v>0</v>
      </c>
      <c r="Q886" s="6">
        <v>0</v>
      </c>
      <c r="R886" s="4">
        <f t="shared" ref="R886:R948" si="519">Q886*3000</f>
        <v>0</v>
      </c>
      <c r="S886" s="6">
        <v>0</v>
      </c>
      <c r="T886" s="6">
        <v>0</v>
      </c>
      <c r="U886" s="6">
        <v>0</v>
      </c>
      <c r="V886" s="7">
        <f t="shared" ref="V886:V948" si="520">N886/M886</f>
        <v>5500</v>
      </c>
    </row>
    <row r="887" spans="1:258" ht="21.95" customHeight="1" x14ac:dyDescent="0.25">
      <c r="A887" s="52" t="s">
        <v>1127</v>
      </c>
      <c r="B887" s="9" t="s">
        <v>1395</v>
      </c>
      <c r="C887" s="3">
        <f t="shared" si="447"/>
        <v>1740000</v>
      </c>
      <c r="D887" s="4">
        <f t="shared" si="517"/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12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580</v>
      </c>
      <c r="R887" s="4">
        <f t="shared" si="519"/>
        <v>1740000</v>
      </c>
      <c r="S887" s="6">
        <v>0</v>
      </c>
      <c r="T887" s="6">
        <v>0</v>
      </c>
      <c r="U887" s="6">
        <v>0</v>
      </c>
      <c r="V887" s="7" t="e">
        <f t="shared" si="520"/>
        <v>#DIV/0!</v>
      </c>
    </row>
    <row r="888" spans="1:258" ht="21.95" customHeight="1" x14ac:dyDescent="0.25">
      <c r="A888" s="52" t="s">
        <v>1128</v>
      </c>
      <c r="B888" s="28" t="s">
        <v>768</v>
      </c>
      <c r="C888" s="3">
        <f t="shared" si="447"/>
        <v>1417350</v>
      </c>
      <c r="D888" s="4">
        <f t="shared" si="517"/>
        <v>0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5">
        <v>0</v>
      </c>
      <c r="L888" s="4">
        <v>0</v>
      </c>
      <c r="M888" s="4">
        <v>257.7</v>
      </c>
      <c r="N888" s="4">
        <f t="shared" ref="N888:N892" si="521">M888*5500</f>
        <v>1417350</v>
      </c>
      <c r="O888" s="4">
        <v>0</v>
      </c>
      <c r="P888" s="4">
        <v>0</v>
      </c>
      <c r="Q888" s="4">
        <v>0</v>
      </c>
      <c r="R888" s="4">
        <f t="shared" si="519"/>
        <v>0</v>
      </c>
      <c r="S888" s="4">
        <v>0</v>
      </c>
      <c r="T888" s="4">
        <v>0</v>
      </c>
      <c r="U888" s="4">
        <v>0</v>
      </c>
      <c r="V888" s="7">
        <f t="shared" si="520"/>
        <v>5500</v>
      </c>
    </row>
    <row r="889" spans="1:258" ht="21.95" customHeight="1" x14ac:dyDescent="0.25">
      <c r="A889" s="52" t="s">
        <v>1129</v>
      </c>
      <c r="B889" s="28" t="s">
        <v>769</v>
      </c>
      <c r="C889" s="3">
        <f t="shared" ref="C889:C952" si="522">D889+L889+N889+P889+R889+S889+T889+U889</f>
        <v>2319900</v>
      </c>
      <c r="D889" s="4">
        <f t="shared" si="517"/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5">
        <v>0</v>
      </c>
      <c r="L889" s="4">
        <v>0</v>
      </c>
      <c r="M889" s="4">
        <v>421.8</v>
      </c>
      <c r="N889" s="4">
        <f t="shared" si="521"/>
        <v>2319900</v>
      </c>
      <c r="O889" s="4">
        <v>0</v>
      </c>
      <c r="P889" s="4">
        <v>0</v>
      </c>
      <c r="Q889" s="4">
        <v>0</v>
      </c>
      <c r="R889" s="4">
        <f t="shared" si="519"/>
        <v>0</v>
      </c>
      <c r="S889" s="4">
        <v>0</v>
      </c>
      <c r="T889" s="4">
        <v>0</v>
      </c>
      <c r="U889" s="4">
        <v>0</v>
      </c>
      <c r="V889" s="7">
        <f t="shared" si="520"/>
        <v>5500</v>
      </c>
    </row>
    <row r="890" spans="1:258" ht="21.95" customHeight="1" x14ac:dyDescent="0.25">
      <c r="A890" s="52" t="s">
        <v>1130</v>
      </c>
      <c r="B890" s="28" t="s">
        <v>770</v>
      </c>
      <c r="C890" s="3">
        <f t="shared" si="522"/>
        <v>1399750</v>
      </c>
      <c r="D890" s="4">
        <f t="shared" si="517"/>
        <v>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5">
        <v>0</v>
      </c>
      <c r="L890" s="4">
        <v>0</v>
      </c>
      <c r="M890" s="4">
        <v>254.5</v>
      </c>
      <c r="N890" s="4">
        <f t="shared" si="521"/>
        <v>1399750</v>
      </c>
      <c r="O890" s="4">
        <v>0</v>
      </c>
      <c r="P890" s="4">
        <v>0</v>
      </c>
      <c r="Q890" s="4">
        <v>0</v>
      </c>
      <c r="R890" s="4">
        <f t="shared" si="519"/>
        <v>0</v>
      </c>
      <c r="S890" s="4">
        <v>0</v>
      </c>
      <c r="T890" s="4">
        <v>0</v>
      </c>
      <c r="U890" s="4">
        <v>0</v>
      </c>
      <c r="V890" s="7">
        <f t="shared" si="520"/>
        <v>5500</v>
      </c>
    </row>
    <row r="891" spans="1:258" s="39" customFormat="1" ht="21.95" customHeight="1" x14ac:dyDescent="0.25">
      <c r="A891" s="52" t="s">
        <v>1131</v>
      </c>
      <c r="B891" s="9" t="s">
        <v>771</v>
      </c>
      <c r="C891" s="3">
        <f t="shared" si="522"/>
        <v>2747250</v>
      </c>
      <c r="D891" s="4">
        <f t="shared" si="517"/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5">
        <v>0</v>
      </c>
      <c r="L891" s="4">
        <v>0</v>
      </c>
      <c r="M891" s="4">
        <v>499.5</v>
      </c>
      <c r="N891" s="4">
        <f t="shared" si="521"/>
        <v>2747250</v>
      </c>
      <c r="O891" s="4">
        <v>0</v>
      </c>
      <c r="P891" s="4">
        <v>0</v>
      </c>
      <c r="Q891" s="4">
        <v>0</v>
      </c>
      <c r="R891" s="4">
        <f t="shared" si="519"/>
        <v>0</v>
      </c>
      <c r="S891" s="4">
        <v>0</v>
      </c>
      <c r="T891" s="4">
        <v>0</v>
      </c>
      <c r="U891" s="4">
        <v>0</v>
      </c>
      <c r="V891" s="7">
        <f t="shared" si="520"/>
        <v>5500</v>
      </c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  <c r="CF891" s="8"/>
      <c r="CG891" s="8"/>
      <c r="CH891" s="8"/>
      <c r="CI891" s="8"/>
      <c r="CJ891" s="8"/>
      <c r="CK891" s="8"/>
      <c r="CL891" s="8"/>
      <c r="CM891" s="8"/>
      <c r="CN891" s="8"/>
      <c r="CO891" s="8"/>
      <c r="CP891" s="8"/>
      <c r="CQ891" s="8"/>
      <c r="CR891" s="8"/>
      <c r="CS891" s="8"/>
      <c r="CT891" s="8"/>
      <c r="CU891" s="8"/>
      <c r="CV891" s="8"/>
      <c r="CW891" s="8"/>
      <c r="CX891" s="8"/>
      <c r="CY891" s="8"/>
      <c r="CZ891" s="8"/>
      <c r="DA891" s="8"/>
      <c r="DB891" s="8"/>
      <c r="DC891" s="8"/>
      <c r="DD891" s="8"/>
      <c r="DE891" s="8"/>
      <c r="DF891" s="8"/>
      <c r="DG891" s="8"/>
      <c r="DH891" s="8"/>
      <c r="DI891" s="8"/>
      <c r="DJ891" s="8"/>
      <c r="DK891" s="8"/>
      <c r="DL891" s="8"/>
      <c r="DM891" s="8"/>
      <c r="DN891" s="8"/>
      <c r="DO891" s="8"/>
      <c r="DP891" s="8"/>
      <c r="DQ891" s="8"/>
      <c r="DR891" s="8"/>
      <c r="DS891" s="8"/>
      <c r="DT891" s="8"/>
      <c r="DU891" s="8"/>
      <c r="DV891" s="8"/>
      <c r="DW891" s="8"/>
      <c r="DX891" s="8"/>
      <c r="DY891" s="8"/>
      <c r="DZ891" s="8"/>
      <c r="EA891" s="8"/>
      <c r="EB891" s="8"/>
      <c r="EC891" s="8"/>
      <c r="ED891" s="8"/>
      <c r="EE891" s="8"/>
      <c r="EF891" s="8"/>
      <c r="EG891" s="8"/>
      <c r="EH891" s="8"/>
      <c r="EI891" s="8"/>
      <c r="EJ891" s="8"/>
      <c r="EK891" s="8"/>
      <c r="EL891" s="8"/>
      <c r="EM891" s="8"/>
      <c r="EN891" s="8"/>
      <c r="EO891" s="8"/>
      <c r="EP891" s="8"/>
      <c r="EQ891" s="8"/>
      <c r="ER891" s="8"/>
      <c r="ES891" s="8"/>
      <c r="ET891" s="8"/>
      <c r="EU891" s="8"/>
      <c r="EV891" s="8"/>
      <c r="EW891" s="8"/>
      <c r="EX891" s="8"/>
      <c r="EY891" s="8"/>
      <c r="EZ891" s="8"/>
      <c r="FA891" s="8"/>
      <c r="FB891" s="8"/>
      <c r="FC891" s="8"/>
      <c r="FD891" s="8"/>
      <c r="FE891" s="8"/>
      <c r="FF891" s="8"/>
      <c r="FG891" s="8"/>
      <c r="FH891" s="8"/>
      <c r="FI891" s="8"/>
      <c r="FJ891" s="8"/>
      <c r="FK891" s="8"/>
      <c r="FL891" s="8"/>
      <c r="FM891" s="8"/>
      <c r="FN891" s="8"/>
      <c r="FO891" s="8"/>
      <c r="FP891" s="8"/>
      <c r="FQ891" s="8"/>
      <c r="FR891" s="8"/>
      <c r="FS891" s="8"/>
      <c r="FT891" s="8"/>
      <c r="FU891" s="8"/>
      <c r="FV891" s="8"/>
      <c r="FW891" s="8"/>
      <c r="FX891" s="8"/>
      <c r="FY891" s="8"/>
      <c r="FZ891" s="8"/>
      <c r="GA891" s="8"/>
      <c r="GB891" s="8"/>
      <c r="GC891" s="8"/>
      <c r="GD891" s="8"/>
      <c r="GE891" s="8"/>
      <c r="GF891" s="8"/>
      <c r="GG891" s="8"/>
      <c r="GH891" s="8"/>
      <c r="GI891" s="8"/>
      <c r="GJ891" s="8"/>
      <c r="GK891" s="8"/>
      <c r="GL891" s="8"/>
      <c r="GM891" s="8"/>
      <c r="GN891" s="8"/>
      <c r="GO891" s="8"/>
      <c r="GP891" s="8"/>
      <c r="GQ891" s="8"/>
      <c r="GR891" s="8"/>
      <c r="GS891" s="8"/>
      <c r="GT891" s="8"/>
      <c r="GU891" s="8"/>
      <c r="GV891" s="8"/>
      <c r="GW891" s="8"/>
      <c r="GX891" s="8"/>
      <c r="GY891" s="8"/>
      <c r="GZ891" s="8"/>
      <c r="HA891" s="8"/>
      <c r="HB891" s="8"/>
      <c r="HC891" s="8"/>
      <c r="HD891" s="8"/>
      <c r="HE891" s="8"/>
      <c r="HF891" s="8"/>
      <c r="HG891" s="8"/>
      <c r="HH891" s="8"/>
      <c r="HI891" s="8"/>
      <c r="HJ891" s="8"/>
      <c r="HK891" s="8"/>
      <c r="HL891" s="8"/>
      <c r="HM891" s="8"/>
      <c r="HN891" s="8"/>
      <c r="HO891" s="8"/>
      <c r="HP891" s="8"/>
      <c r="HQ891" s="8"/>
      <c r="HR891" s="8"/>
      <c r="HS891" s="8"/>
      <c r="HT891" s="8"/>
      <c r="HU891" s="8"/>
      <c r="HV891" s="8"/>
      <c r="HW891" s="8"/>
      <c r="HX891" s="8"/>
      <c r="HY891" s="8"/>
      <c r="HZ891" s="8"/>
      <c r="IA891" s="8"/>
      <c r="IB891" s="8"/>
      <c r="IC891" s="8"/>
      <c r="ID891" s="8"/>
      <c r="IE891" s="8"/>
      <c r="IF891" s="8"/>
      <c r="IG891" s="8"/>
      <c r="IH891" s="8"/>
      <c r="II891" s="8"/>
      <c r="IJ891" s="8"/>
      <c r="IK891" s="8"/>
      <c r="IL891" s="8"/>
      <c r="IM891" s="8"/>
      <c r="IN891" s="8"/>
      <c r="IO891" s="8"/>
      <c r="IP891" s="8"/>
      <c r="IQ891" s="8"/>
      <c r="IR891" s="8"/>
      <c r="IS891" s="8"/>
      <c r="IT891" s="8"/>
      <c r="IU891" s="8"/>
      <c r="IV891" s="8"/>
      <c r="IW891" s="8"/>
      <c r="IX891" s="8"/>
    </row>
    <row r="892" spans="1:258" s="19" customFormat="1" ht="21.95" customHeight="1" x14ac:dyDescent="0.25">
      <c r="A892" s="52" t="s">
        <v>1132</v>
      </c>
      <c r="B892" s="9" t="s">
        <v>680</v>
      </c>
      <c r="C892" s="3">
        <f t="shared" si="522"/>
        <v>1499300.0000000002</v>
      </c>
      <c r="D892" s="4">
        <f t="shared" si="517"/>
        <v>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5">
        <v>0</v>
      </c>
      <c r="L892" s="4">
        <v>0</v>
      </c>
      <c r="M892" s="4">
        <v>272.60000000000002</v>
      </c>
      <c r="N892" s="4">
        <f t="shared" si="521"/>
        <v>1499300.0000000002</v>
      </c>
      <c r="O892" s="4">
        <v>0</v>
      </c>
      <c r="P892" s="4">
        <v>0</v>
      </c>
      <c r="Q892" s="4">
        <v>0</v>
      </c>
      <c r="R892" s="4">
        <f t="shared" si="519"/>
        <v>0</v>
      </c>
      <c r="S892" s="4">
        <v>0</v>
      </c>
      <c r="T892" s="4">
        <v>0</v>
      </c>
      <c r="U892" s="4">
        <v>0</v>
      </c>
      <c r="V892" s="7">
        <f t="shared" si="520"/>
        <v>5500</v>
      </c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  <c r="CF892" s="8"/>
      <c r="CG892" s="8"/>
      <c r="CH892" s="8"/>
      <c r="CI892" s="8"/>
      <c r="CJ892" s="8"/>
      <c r="CK892" s="8"/>
      <c r="CL892" s="8"/>
      <c r="CM892" s="8"/>
      <c r="CN892" s="8"/>
      <c r="CO892" s="8"/>
      <c r="CP892" s="8"/>
      <c r="CQ892" s="8"/>
      <c r="CR892" s="8"/>
      <c r="CS892" s="8"/>
      <c r="CT892" s="8"/>
      <c r="CU892" s="8"/>
      <c r="CV892" s="8"/>
      <c r="CW892" s="8"/>
      <c r="CX892" s="8"/>
      <c r="CY892" s="8"/>
      <c r="CZ892" s="8"/>
      <c r="DA892" s="8"/>
      <c r="DB892" s="8"/>
      <c r="DC892" s="8"/>
      <c r="DD892" s="8"/>
      <c r="DE892" s="8"/>
      <c r="DF892" s="8"/>
      <c r="DG892" s="8"/>
      <c r="DH892" s="8"/>
      <c r="DI892" s="8"/>
      <c r="DJ892" s="8"/>
      <c r="DK892" s="8"/>
      <c r="DL892" s="8"/>
      <c r="DM892" s="8"/>
      <c r="DN892" s="8"/>
      <c r="DO892" s="8"/>
      <c r="DP892" s="8"/>
      <c r="DQ892" s="8"/>
      <c r="DR892" s="8"/>
      <c r="DS892" s="8"/>
      <c r="DT892" s="8"/>
      <c r="DU892" s="8"/>
      <c r="DV892" s="8"/>
      <c r="DW892" s="8"/>
      <c r="DX892" s="8"/>
      <c r="DY892" s="8"/>
      <c r="DZ892" s="8"/>
      <c r="EA892" s="8"/>
      <c r="EB892" s="8"/>
      <c r="EC892" s="8"/>
      <c r="ED892" s="8"/>
      <c r="EE892" s="8"/>
      <c r="EF892" s="8"/>
      <c r="EG892" s="8"/>
      <c r="EH892" s="8"/>
      <c r="EI892" s="8"/>
      <c r="EJ892" s="8"/>
      <c r="EK892" s="8"/>
      <c r="EL892" s="8"/>
      <c r="EM892" s="8"/>
      <c r="EN892" s="8"/>
      <c r="EO892" s="8"/>
      <c r="EP892" s="8"/>
      <c r="EQ892" s="8"/>
      <c r="ER892" s="8"/>
      <c r="ES892" s="8"/>
      <c r="ET892" s="8"/>
      <c r="EU892" s="8"/>
      <c r="EV892" s="8"/>
      <c r="EW892" s="8"/>
      <c r="EX892" s="8"/>
      <c r="EY892" s="8"/>
      <c r="EZ892" s="8"/>
      <c r="FA892" s="8"/>
      <c r="FB892" s="8"/>
      <c r="FC892" s="8"/>
      <c r="FD892" s="8"/>
      <c r="FE892" s="8"/>
      <c r="FF892" s="8"/>
      <c r="FG892" s="8"/>
      <c r="FH892" s="8"/>
      <c r="FI892" s="8"/>
      <c r="FJ892" s="8"/>
      <c r="FK892" s="8"/>
      <c r="FL892" s="8"/>
      <c r="FM892" s="8"/>
      <c r="FN892" s="8"/>
      <c r="FO892" s="8"/>
      <c r="FP892" s="8"/>
      <c r="FQ892" s="8"/>
      <c r="FR892" s="8"/>
      <c r="FS892" s="8"/>
      <c r="FT892" s="8"/>
      <c r="FU892" s="8"/>
      <c r="FV892" s="8"/>
      <c r="FW892" s="8"/>
      <c r="FX892" s="8"/>
      <c r="FY892" s="8"/>
      <c r="FZ892" s="8"/>
      <c r="GA892" s="8"/>
      <c r="GB892" s="8"/>
      <c r="GC892" s="8"/>
      <c r="GD892" s="8"/>
      <c r="GE892" s="8"/>
      <c r="GF892" s="8"/>
      <c r="GG892" s="8"/>
      <c r="GH892" s="8"/>
      <c r="GI892" s="8"/>
      <c r="GJ892" s="8"/>
      <c r="GK892" s="8"/>
      <c r="GL892" s="8"/>
      <c r="GM892" s="8"/>
      <c r="GN892" s="8"/>
      <c r="GO892" s="8"/>
      <c r="GP892" s="8"/>
      <c r="GQ892" s="8"/>
      <c r="GR892" s="8"/>
      <c r="GS892" s="8"/>
      <c r="GT892" s="8"/>
      <c r="GU892" s="8"/>
      <c r="GV892" s="8"/>
      <c r="GW892" s="8"/>
      <c r="GX892" s="8"/>
      <c r="GY892" s="8"/>
      <c r="GZ892" s="8"/>
      <c r="HA892" s="8"/>
      <c r="HB892" s="8"/>
      <c r="HC892" s="8"/>
      <c r="HD892" s="8"/>
      <c r="HE892" s="8"/>
      <c r="HF892" s="8"/>
      <c r="HG892" s="8"/>
      <c r="HH892" s="8"/>
      <c r="HI892" s="8"/>
      <c r="HJ892" s="8"/>
      <c r="HK892" s="8"/>
      <c r="HL892" s="8"/>
      <c r="HM892" s="8"/>
      <c r="HN892" s="8"/>
      <c r="HO892" s="8"/>
      <c r="HP892" s="8"/>
      <c r="HQ892" s="8"/>
      <c r="HR892" s="8"/>
      <c r="HS892" s="8"/>
      <c r="HT892" s="8"/>
      <c r="HU892" s="8"/>
      <c r="HV892" s="8"/>
      <c r="HW892" s="8"/>
      <c r="HX892" s="8"/>
      <c r="HY892" s="8"/>
      <c r="HZ892" s="8"/>
      <c r="IA892" s="8"/>
      <c r="IB892" s="8"/>
      <c r="IC892" s="8"/>
      <c r="ID892" s="8"/>
      <c r="IE892" s="8"/>
      <c r="IF892" s="8"/>
      <c r="IG892" s="8"/>
      <c r="IH892" s="8"/>
      <c r="II892" s="8"/>
      <c r="IJ892" s="8"/>
      <c r="IK892" s="8"/>
      <c r="IL892" s="8"/>
      <c r="IM892" s="8"/>
      <c r="IN892" s="8"/>
      <c r="IO892" s="8"/>
      <c r="IP892" s="8"/>
      <c r="IQ892" s="8"/>
      <c r="IR892" s="8"/>
      <c r="IS892" s="8"/>
      <c r="IT892" s="8"/>
      <c r="IU892" s="8"/>
      <c r="IV892" s="8"/>
      <c r="IW892" s="8"/>
      <c r="IX892" s="8"/>
    </row>
    <row r="893" spans="1:258" ht="21.95" customHeight="1" x14ac:dyDescent="0.25">
      <c r="A893" s="52" t="s">
        <v>1133</v>
      </c>
      <c r="B893" s="9" t="s">
        <v>772</v>
      </c>
      <c r="C893" s="3">
        <f t="shared" si="522"/>
        <v>10716908.5</v>
      </c>
      <c r="D893" s="4">
        <f t="shared" si="517"/>
        <v>4802908.5</v>
      </c>
      <c r="E893" s="4">
        <f>350*2463.03</f>
        <v>862060.50000000012</v>
      </c>
      <c r="F893" s="4">
        <f>1050*2463.03</f>
        <v>2586181.5</v>
      </c>
      <c r="G893" s="4">
        <f>300*2463.03</f>
        <v>738909.00000000012</v>
      </c>
      <c r="H893" s="4">
        <f>400*0</f>
        <v>0</v>
      </c>
      <c r="I893" s="4">
        <f>250*2463.03</f>
        <v>615757.5</v>
      </c>
      <c r="J893" s="4">
        <v>0</v>
      </c>
      <c r="K893" s="5">
        <v>0</v>
      </c>
      <c r="L893" s="4">
        <v>0</v>
      </c>
      <c r="M893" s="4">
        <v>0</v>
      </c>
      <c r="N893" s="4">
        <v>0</v>
      </c>
      <c r="O893" s="4">
        <v>0</v>
      </c>
      <c r="P893" s="4">
        <v>0</v>
      </c>
      <c r="Q893" s="4">
        <v>1938</v>
      </c>
      <c r="R893" s="4">
        <f t="shared" si="519"/>
        <v>5814000</v>
      </c>
      <c r="S893" s="4">
        <v>0</v>
      </c>
      <c r="T893" s="4">
        <v>0</v>
      </c>
      <c r="U893" s="4">
        <v>100000</v>
      </c>
      <c r="V893" s="7" t="e">
        <f t="shared" si="520"/>
        <v>#DIV/0!</v>
      </c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DC893" s="19"/>
      <c r="DD893" s="19"/>
      <c r="DE893" s="19"/>
      <c r="DF893" s="19"/>
      <c r="DG893" s="19"/>
      <c r="DH893" s="19"/>
      <c r="DI893" s="19"/>
      <c r="DJ893" s="19"/>
      <c r="DK893" s="19"/>
      <c r="DL893" s="19"/>
      <c r="DM893" s="19"/>
      <c r="DN893" s="19"/>
      <c r="DO893" s="19"/>
      <c r="DP893" s="19"/>
      <c r="DQ893" s="19"/>
      <c r="DR893" s="19"/>
      <c r="DS893" s="19"/>
      <c r="DT893" s="19"/>
      <c r="DU893" s="19"/>
      <c r="DV893" s="19"/>
      <c r="DW893" s="19"/>
      <c r="DX893" s="19"/>
      <c r="DY893" s="19"/>
      <c r="DZ893" s="19"/>
      <c r="EA893" s="19"/>
      <c r="EB893" s="19"/>
      <c r="EC893" s="19"/>
      <c r="ED893" s="19"/>
      <c r="EE893" s="19"/>
      <c r="EF893" s="19"/>
      <c r="EG893" s="19"/>
      <c r="EH893" s="19"/>
      <c r="EI893" s="19"/>
      <c r="EJ893" s="19"/>
      <c r="EK893" s="19"/>
      <c r="EL893" s="19"/>
      <c r="EM893" s="19"/>
      <c r="EN893" s="19"/>
      <c r="EO893" s="19"/>
      <c r="EP893" s="19"/>
      <c r="EQ893" s="19"/>
      <c r="ER893" s="19"/>
      <c r="ES893" s="19"/>
      <c r="ET893" s="19"/>
      <c r="EU893" s="19"/>
      <c r="EV893" s="19"/>
      <c r="EW893" s="19"/>
      <c r="EX893" s="19"/>
      <c r="EY893" s="19"/>
      <c r="EZ893" s="19"/>
      <c r="FA893" s="19"/>
      <c r="FB893" s="19"/>
      <c r="FC893" s="19"/>
      <c r="FD893" s="19"/>
      <c r="FE893" s="19"/>
      <c r="FF893" s="19"/>
      <c r="FG893" s="19"/>
      <c r="FH893" s="19"/>
      <c r="FI893" s="19"/>
      <c r="FJ893" s="19"/>
      <c r="FK893" s="19"/>
      <c r="FL893" s="19"/>
      <c r="FM893" s="19"/>
      <c r="FN893" s="19"/>
      <c r="FO893" s="19"/>
      <c r="FP893" s="19"/>
      <c r="FQ893" s="19"/>
      <c r="FR893" s="19"/>
      <c r="FS893" s="19"/>
      <c r="FT893" s="19"/>
      <c r="FU893" s="19"/>
      <c r="FV893" s="19"/>
      <c r="FW893" s="19"/>
      <c r="FX893" s="19"/>
      <c r="FY893" s="19"/>
      <c r="FZ893" s="19"/>
      <c r="GA893" s="19"/>
      <c r="GB893" s="19"/>
      <c r="GC893" s="19"/>
      <c r="GD893" s="19"/>
      <c r="GE893" s="19"/>
      <c r="GF893" s="19"/>
      <c r="GG893" s="19"/>
      <c r="GH893" s="19"/>
      <c r="GI893" s="19"/>
      <c r="GJ893" s="19"/>
      <c r="GK893" s="19"/>
      <c r="GL893" s="19"/>
      <c r="GM893" s="19"/>
      <c r="GN893" s="19"/>
      <c r="GO893" s="19"/>
      <c r="GP893" s="19"/>
      <c r="GQ893" s="19"/>
      <c r="GR893" s="19"/>
      <c r="GS893" s="19"/>
      <c r="GT893" s="19"/>
      <c r="GU893" s="19"/>
      <c r="GV893" s="19"/>
      <c r="GW893" s="19"/>
      <c r="GX893" s="19"/>
      <c r="GY893" s="19"/>
      <c r="GZ893" s="19"/>
      <c r="HA893" s="19"/>
      <c r="HB893" s="19"/>
      <c r="HC893" s="19"/>
      <c r="HD893" s="19"/>
      <c r="HE893" s="19"/>
      <c r="HF893" s="19"/>
      <c r="HG893" s="19"/>
      <c r="HH893" s="19"/>
      <c r="HI893" s="19"/>
      <c r="HJ893" s="19"/>
      <c r="HK893" s="19"/>
      <c r="HL893" s="19"/>
      <c r="HM893" s="19"/>
      <c r="HN893" s="19"/>
      <c r="HO893" s="19"/>
      <c r="HP893" s="19"/>
      <c r="HQ893" s="19"/>
      <c r="HR893" s="19"/>
      <c r="HS893" s="19"/>
      <c r="HT893" s="19"/>
      <c r="HU893" s="19"/>
      <c r="HV893" s="19"/>
      <c r="HW893" s="19"/>
      <c r="HX893" s="19"/>
      <c r="HY893" s="19"/>
      <c r="HZ893" s="19"/>
      <c r="IA893" s="19"/>
      <c r="IB893" s="19"/>
      <c r="IC893" s="19"/>
      <c r="ID893" s="19"/>
      <c r="IE893" s="19"/>
      <c r="IF893" s="19"/>
      <c r="IG893" s="19"/>
      <c r="IH893" s="19"/>
      <c r="II893" s="19"/>
      <c r="IJ893" s="19"/>
      <c r="IK893" s="19"/>
      <c r="IL893" s="19"/>
      <c r="IM893" s="19"/>
      <c r="IN893" s="19"/>
      <c r="IO893" s="19"/>
      <c r="IP893" s="19"/>
      <c r="IQ893" s="19"/>
      <c r="IR893" s="19"/>
      <c r="IS893" s="19"/>
      <c r="IT893" s="19"/>
      <c r="IU893" s="19"/>
      <c r="IV893" s="19"/>
      <c r="IW893" s="19"/>
      <c r="IX893" s="19"/>
    </row>
    <row r="894" spans="1:258" ht="21.95" customHeight="1" x14ac:dyDescent="0.25">
      <c r="A894" s="52" t="s">
        <v>1134</v>
      </c>
      <c r="B894" s="9" t="s">
        <v>773</v>
      </c>
      <c r="C894" s="3">
        <f t="shared" si="522"/>
        <v>4780050</v>
      </c>
      <c r="D894" s="4">
        <f t="shared" si="517"/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5">
        <v>0</v>
      </c>
      <c r="L894" s="4">
        <v>0</v>
      </c>
      <c r="M894" s="4">
        <v>869.1</v>
      </c>
      <c r="N894" s="4">
        <f t="shared" ref="N894:N897" si="523">M894*5500</f>
        <v>4780050</v>
      </c>
      <c r="O894" s="4">
        <v>0</v>
      </c>
      <c r="P894" s="4">
        <v>0</v>
      </c>
      <c r="Q894" s="4">
        <v>0</v>
      </c>
      <c r="R894" s="4">
        <f t="shared" si="519"/>
        <v>0</v>
      </c>
      <c r="S894" s="4">
        <v>0</v>
      </c>
      <c r="T894" s="4">
        <v>0</v>
      </c>
      <c r="U894" s="4">
        <v>0</v>
      </c>
      <c r="V894" s="7">
        <f t="shared" si="520"/>
        <v>5500</v>
      </c>
    </row>
    <row r="895" spans="1:258" ht="21.95" customHeight="1" x14ac:dyDescent="0.25">
      <c r="A895" s="52" t="s">
        <v>1135</v>
      </c>
      <c r="B895" s="9" t="s">
        <v>774</v>
      </c>
      <c r="C895" s="3">
        <f t="shared" si="522"/>
        <v>4862000</v>
      </c>
      <c r="D895" s="4">
        <f t="shared" si="517"/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12">
        <v>0</v>
      </c>
      <c r="L895" s="6">
        <v>0</v>
      </c>
      <c r="M895" s="6">
        <v>884</v>
      </c>
      <c r="N895" s="4">
        <f t="shared" si="523"/>
        <v>4862000</v>
      </c>
      <c r="O895" s="6">
        <v>0</v>
      </c>
      <c r="P895" s="6">
        <v>0</v>
      </c>
      <c r="Q895" s="6">
        <v>0</v>
      </c>
      <c r="R895" s="4">
        <f t="shared" si="519"/>
        <v>0</v>
      </c>
      <c r="S895" s="6">
        <v>0</v>
      </c>
      <c r="T895" s="6">
        <v>0</v>
      </c>
      <c r="U895" s="6">
        <v>0</v>
      </c>
      <c r="V895" s="7">
        <f t="shared" si="520"/>
        <v>5500</v>
      </c>
    </row>
    <row r="896" spans="1:258" ht="21.95" customHeight="1" x14ac:dyDescent="0.25">
      <c r="A896" s="52" t="s">
        <v>1136</v>
      </c>
      <c r="B896" s="9" t="s">
        <v>681</v>
      </c>
      <c r="C896" s="3">
        <f t="shared" si="522"/>
        <v>3071200</v>
      </c>
      <c r="D896" s="4">
        <f t="shared" si="517"/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5">
        <v>0</v>
      </c>
      <c r="L896" s="4">
        <v>0</v>
      </c>
      <c r="M896" s="4">
        <v>558.4</v>
      </c>
      <c r="N896" s="4">
        <f t="shared" si="523"/>
        <v>3071200</v>
      </c>
      <c r="O896" s="4">
        <v>0</v>
      </c>
      <c r="P896" s="4">
        <v>0</v>
      </c>
      <c r="Q896" s="4">
        <v>0</v>
      </c>
      <c r="R896" s="4">
        <f t="shared" si="519"/>
        <v>0</v>
      </c>
      <c r="S896" s="4">
        <v>0</v>
      </c>
      <c r="T896" s="6">
        <v>0</v>
      </c>
      <c r="U896" s="6">
        <v>0</v>
      </c>
      <c r="V896" s="7">
        <f t="shared" si="520"/>
        <v>5500</v>
      </c>
    </row>
    <row r="897" spans="1:258" ht="21.95" customHeight="1" x14ac:dyDescent="0.25">
      <c r="A897" s="52" t="s">
        <v>1137</v>
      </c>
      <c r="B897" s="9" t="s">
        <v>775</v>
      </c>
      <c r="C897" s="3">
        <f t="shared" si="522"/>
        <v>3126695</v>
      </c>
      <c r="D897" s="4">
        <f t="shared" si="517"/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5">
        <v>0</v>
      </c>
      <c r="L897" s="4">
        <v>0</v>
      </c>
      <c r="M897" s="4">
        <v>568.49</v>
      </c>
      <c r="N897" s="4">
        <f t="shared" si="523"/>
        <v>3126695</v>
      </c>
      <c r="O897" s="4">
        <v>0</v>
      </c>
      <c r="P897" s="4">
        <v>0</v>
      </c>
      <c r="Q897" s="4">
        <v>0</v>
      </c>
      <c r="R897" s="4">
        <f t="shared" si="519"/>
        <v>0</v>
      </c>
      <c r="S897" s="4">
        <v>0</v>
      </c>
      <c r="T897" s="6">
        <v>0</v>
      </c>
      <c r="U897" s="6">
        <v>0</v>
      </c>
      <c r="V897" s="7">
        <f t="shared" si="520"/>
        <v>5500</v>
      </c>
    </row>
    <row r="898" spans="1:258" ht="21.95" customHeight="1" x14ac:dyDescent="0.25">
      <c r="A898" s="52" t="s">
        <v>1928</v>
      </c>
      <c r="B898" s="9" t="s">
        <v>776</v>
      </c>
      <c r="C898" s="3">
        <f t="shared" si="522"/>
        <v>1419550.0000000002</v>
      </c>
      <c r="D898" s="4">
        <f t="shared" si="517"/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12">
        <v>0</v>
      </c>
      <c r="L898" s="6">
        <v>0</v>
      </c>
      <c r="M898" s="6">
        <v>258.10000000000002</v>
      </c>
      <c r="N898" s="4">
        <f t="shared" ref="N898:N907" si="524">M898*5500</f>
        <v>1419550.0000000002</v>
      </c>
      <c r="O898" s="6">
        <v>0</v>
      </c>
      <c r="P898" s="6">
        <v>0</v>
      </c>
      <c r="Q898" s="6">
        <v>0</v>
      </c>
      <c r="R898" s="4">
        <f t="shared" si="519"/>
        <v>0</v>
      </c>
      <c r="S898" s="6">
        <v>0</v>
      </c>
      <c r="T898" s="6">
        <v>0</v>
      </c>
      <c r="U898" s="6">
        <v>0</v>
      </c>
      <c r="V898" s="7">
        <f t="shared" si="520"/>
        <v>5500</v>
      </c>
    </row>
    <row r="899" spans="1:258" ht="21.95" customHeight="1" x14ac:dyDescent="0.25">
      <c r="A899" s="52" t="s">
        <v>1138</v>
      </c>
      <c r="B899" s="9" t="s">
        <v>682</v>
      </c>
      <c r="C899" s="3">
        <f t="shared" si="522"/>
        <v>3058000</v>
      </c>
      <c r="D899" s="4">
        <f t="shared" si="517"/>
        <v>0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12">
        <v>0</v>
      </c>
      <c r="L899" s="6">
        <v>0</v>
      </c>
      <c r="M899" s="4">
        <v>556</v>
      </c>
      <c r="N899" s="4">
        <f t="shared" si="524"/>
        <v>3058000</v>
      </c>
      <c r="O899" s="6">
        <v>0</v>
      </c>
      <c r="P899" s="6">
        <v>0</v>
      </c>
      <c r="Q899" s="6">
        <v>0</v>
      </c>
      <c r="R899" s="4">
        <f t="shared" si="519"/>
        <v>0</v>
      </c>
      <c r="S899" s="6">
        <v>0</v>
      </c>
      <c r="T899" s="6">
        <v>0</v>
      </c>
      <c r="U899" s="6">
        <v>0</v>
      </c>
      <c r="V899" s="7">
        <f t="shared" si="520"/>
        <v>5500</v>
      </c>
    </row>
    <row r="900" spans="1:258" ht="21.95" customHeight="1" x14ac:dyDescent="0.25">
      <c r="A900" s="52" t="s">
        <v>1139</v>
      </c>
      <c r="B900" s="9" t="s">
        <v>1222</v>
      </c>
      <c r="C900" s="3">
        <f t="shared" si="522"/>
        <v>2850000</v>
      </c>
      <c r="D900" s="4">
        <f t="shared" si="517"/>
        <v>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12">
        <v>0</v>
      </c>
      <c r="L900" s="6">
        <v>0</v>
      </c>
      <c r="M900" s="4">
        <v>300</v>
      </c>
      <c r="N900" s="4">
        <f t="shared" si="524"/>
        <v>1650000</v>
      </c>
      <c r="O900" s="6">
        <v>0</v>
      </c>
      <c r="P900" s="6">
        <v>0</v>
      </c>
      <c r="Q900" s="6">
        <v>400</v>
      </c>
      <c r="R900" s="4">
        <f t="shared" si="519"/>
        <v>1200000</v>
      </c>
      <c r="S900" s="6">
        <v>0</v>
      </c>
      <c r="T900" s="6">
        <v>0</v>
      </c>
      <c r="U900" s="6">
        <v>0</v>
      </c>
      <c r="V900" s="7">
        <f t="shared" si="520"/>
        <v>5500</v>
      </c>
    </row>
    <row r="901" spans="1:258" ht="21.95" customHeight="1" x14ac:dyDescent="0.25">
      <c r="A901" s="52" t="s">
        <v>1140</v>
      </c>
      <c r="B901" s="9" t="s">
        <v>777</v>
      </c>
      <c r="C901" s="3">
        <f t="shared" si="522"/>
        <v>3619000</v>
      </c>
      <c r="D901" s="4">
        <f t="shared" si="517"/>
        <v>0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  <c r="K901" s="5">
        <v>0</v>
      </c>
      <c r="L901" s="4">
        <v>0</v>
      </c>
      <c r="M901" s="4">
        <v>658</v>
      </c>
      <c r="N901" s="4">
        <f t="shared" si="524"/>
        <v>3619000</v>
      </c>
      <c r="O901" s="6">
        <v>0</v>
      </c>
      <c r="P901" s="6">
        <v>0</v>
      </c>
      <c r="Q901" s="6">
        <v>0</v>
      </c>
      <c r="R901" s="4">
        <f t="shared" si="519"/>
        <v>0</v>
      </c>
      <c r="S901" s="6">
        <v>0</v>
      </c>
      <c r="T901" s="6">
        <v>0</v>
      </c>
      <c r="U901" s="6">
        <v>0</v>
      </c>
      <c r="V901" s="7">
        <f t="shared" si="520"/>
        <v>5500</v>
      </c>
    </row>
    <row r="902" spans="1:258" ht="21.95" customHeight="1" x14ac:dyDescent="0.25">
      <c r="A902" s="52" t="s">
        <v>1141</v>
      </c>
      <c r="B902" s="9" t="s">
        <v>778</v>
      </c>
      <c r="C902" s="3">
        <f t="shared" si="522"/>
        <v>3536500</v>
      </c>
      <c r="D902" s="4">
        <f t="shared" si="517"/>
        <v>0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  <c r="K902" s="5">
        <v>0</v>
      </c>
      <c r="L902" s="4">
        <v>0</v>
      </c>
      <c r="M902" s="6">
        <v>643</v>
      </c>
      <c r="N902" s="4">
        <f t="shared" si="524"/>
        <v>3536500</v>
      </c>
      <c r="O902" s="6">
        <v>0</v>
      </c>
      <c r="P902" s="6">
        <v>0</v>
      </c>
      <c r="Q902" s="6">
        <v>0</v>
      </c>
      <c r="R902" s="4">
        <f t="shared" si="519"/>
        <v>0</v>
      </c>
      <c r="S902" s="6">
        <v>0</v>
      </c>
      <c r="T902" s="6">
        <v>0</v>
      </c>
      <c r="U902" s="6">
        <v>0</v>
      </c>
      <c r="V902" s="7">
        <f t="shared" si="520"/>
        <v>5500</v>
      </c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DC902" s="19"/>
      <c r="DD902" s="19"/>
      <c r="DE902" s="19"/>
      <c r="DF902" s="19"/>
      <c r="DG902" s="19"/>
      <c r="DH902" s="19"/>
      <c r="DI902" s="19"/>
      <c r="DJ902" s="19"/>
      <c r="DK902" s="19"/>
      <c r="DL902" s="19"/>
      <c r="DM902" s="19"/>
      <c r="DN902" s="19"/>
      <c r="DO902" s="19"/>
      <c r="DP902" s="19"/>
      <c r="DQ902" s="19"/>
      <c r="DR902" s="19"/>
      <c r="DS902" s="19"/>
      <c r="DT902" s="19"/>
      <c r="DU902" s="19"/>
      <c r="DV902" s="19"/>
      <c r="DW902" s="19"/>
      <c r="DX902" s="19"/>
      <c r="DY902" s="19"/>
      <c r="DZ902" s="19"/>
      <c r="EA902" s="19"/>
      <c r="EB902" s="19"/>
      <c r="EC902" s="19"/>
      <c r="ED902" s="19"/>
      <c r="EE902" s="19"/>
      <c r="EF902" s="19"/>
      <c r="EG902" s="19"/>
      <c r="EH902" s="19"/>
      <c r="EI902" s="19"/>
      <c r="EJ902" s="19"/>
      <c r="EK902" s="19"/>
      <c r="EL902" s="19"/>
      <c r="EM902" s="19"/>
      <c r="EN902" s="19"/>
      <c r="EO902" s="19"/>
      <c r="EP902" s="19"/>
      <c r="EQ902" s="19"/>
      <c r="ER902" s="19"/>
      <c r="ES902" s="19"/>
      <c r="ET902" s="19"/>
      <c r="EU902" s="19"/>
      <c r="EV902" s="19"/>
      <c r="EW902" s="19"/>
      <c r="EX902" s="19"/>
      <c r="EY902" s="19"/>
      <c r="EZ902" s="19"/>
      <c r="FA902" s="19"/>
      <c r="FB902" s="19"/>
      <c r="FC902" s="19"/>
      <c r="FD902" s="19"/>
      <c r="FE902" s="19"/>
      <c r="FF902" s="19"/>
      <c r="FG902" s="19"/>
      <c r="FH902" s="19"/>
      <c r="FI902" s="19"/>
      <c r="FJ902" s="19"/>
      <c r="FK902" s="19"/>
      <c r="FL902" s="19"/>
      <c r="FM902" s="19"/>
      <c r="FN902" s="19"/>
      <c r="FO902" s="19"/>
      <c r="FP902" s="19"/>
      <c r="FQ902" s="19"/>
      <c r="FR902" s="19"/>
      <c r="FS902" s="19"/>
      <c r="FT902" s="19"/>
      <c r="FU902" s="19"/>
      <c r="FV902" s="19"/>
      <c r="FW902" s="19"/>
      <c r="FX902" s="19"/>
      <c r="FY902" s="19"/>
      <c r="FZ902" s="19"/>
      <c r="GA902" s="19"/>
      <c r="GB902" s="19"/>
      <c r="GC902" s="19"/>
      <c r="GD902" s="19"/>
      <c r="GE902" s="19"/>
      <c r="GF902" s="19"/>
      <c r="GG902" s="19"/>
      <c r="GH902" s="19"/>
      <c r="GI902" s="19"/>
      <c r="GJ902" s="19"/>
      <c r="GK902" s="19"/>
      <c r="GL902" s="19"/>
      <c r="GM902" s="19"/>
      <c r="GN902" s="19"/>
      <c r="GO902" s="19"/>
      <c r="GP902" s="19"/>
      <c r="GQ902" s="19"/>
      <c r="GR902" s="19"/>
      <c r="GS902" s="19"/>
      <c r="GT902" s="19"/>
      <c r="GU902" s="19"/>
      <c r="GV902" s="19"/>
      <c r="GW902" s="19"/>
      <c r="GX902" s="19"/>
      <c r="GY902" s="19"/>
      <c r="GZ902" s="19"/>
      <c r="HA902" s="19"/>
      <c r="HB902" s="19"/>
      <c r="HC902" s="19"/>
      <c r="HD902" s="19"/>
      <c r="HE902" s="19"/>
      <c r="HF902" s="19"/>
      <c r="HG902" s="19"/>
      <c r="HH902" s="19"/>
      <c r="HI902" s="19"/>
      <c r="HJ902" s="19"/>
      <c r="HK902" s="19"/>
      <c r="HL902" s="19"/>
      <c r="HM902" s="19"/>
      <c r="HN902" s="19"/>
      <c r="HO902" s="19"/>
      <c r="HP902" s="19"/>
      <c r="HQ902" s="19"/>
      <c r="HR902" s="19"/>
      <c r="HS902" s="19"/>
      <c r="HT902" s="19"/>
      <c r="HU902" s="19"/>
      <c r="HV902" s="19"/>
      <c r="HW902" s="19"/>
      <c r="HX902" s="19"/>
      <c r="HY902" s="19"/>
      <c r="HZ902" s="19"/>
      <c r="IA902" s="19"/>
      <c r="IB902" s="19"/>
      <c r="IC902" s="19"/>
      <c r="ID902" s="19"/>
      <c r="IE902" s="19"/>
      <c r="IF902" s="19"/>
      <c r="IG902" s="19"/>
      <c r="IH902" s="19"/>
      <c r="II902" s="19"/>
      <c r="IJ902" s="19"/>
      <c r="IK902" s="19"/>
      <c r="IL902" s="19"/>
      <c r="IM902" s="19"/>
      <c r="IN902" s="19"/>
      <c r="IO902" s="19"/>
      <c r="IP902" s="19"/>
      <c r="IQ902" s="19"/>
      <c r="IR902" s="19"/>
      <c r="IS902" s="19"/>
      <c r="IT902" s="19"/>
      <c r="IU902" s="19"/>
      <c r="IV902" s="19"/>
      <c r="IW902" s="19"/>
      <c r="IX902" s="19"/>
    </row>
    <row r="903" spans="1:258" ht="21.95" customHeight="1" x14ac:dyDescent="0.25">
      <c r="A903" s="52" t="s">
        <v>1142</v>
      </c>
      <c r="B903" s="9" t="s">
        <v>779</v>
      </c>
      <c r="C903" s="3">
        <f t="shared" si="522"/>
        <v>1640100</v>
      </c>
      <c r="D903" s="4">
        <f t="shared" si="517"/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5">
        <v>0</v>
      </c>
      <c r="L903" s="4">
        <v>0</v>
      </c>
      <c r="M903" s="4">
        <v>298.2</v>
      </c>
      <c r="N903" s="4">
        <f t="shared" si="524"/>
        <v>1640100</v>
      </c>
      <c r="O903" s="6">
        <v>0</v>
      </c>
      <c r="P903" s="6">
        <v>0</v>
      </c>
      <c r="Q903" s="6">
        <v>0</v>
      </c>
      <c r="R903" s="4">
        <f t="shared" si="519"/>
        <v>0</v>
      </c>
      <c r="S903" s="6">
        <v>0</v>
      </c>
      <c r="T903" s="6">
        <v>0</v>
      </c>
      <c r="U903" s="6">
        <v>0</v>
      </c>
      <c r="V903" s="7">
        <f t="shared" si="520"/>
        <v>5500</v>
      </c>
    </row>
    <row r="904" spans="1:258" ht="21.95" customHeight="1" x14ac:dyDescent="0.25">
      <c r="A904" s="52" t="s">
        <v>1143</v>
      </c>
      <c r="B904" s="9" t="s">
        <v>780</v>
      </c>
      <c r="C904" s="3">
        <f t="shared" si="522"/>
        <v>1188000</v>
      </c>
      <c r="D904" s="4">
        <f t="shared" si="517"/>
        <v>0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5">
        <v>0</v>
      </c>
      <c r="L904" s="4">
        <v>0</v>
      </c>
      <c r="M904" s="6">
        <v>216</v>
      </c>
      <c r="N904" s="4">
        <f t="shared" si="524"/>
        <v>1188000</v>
      </c>
      <c r="O904" s="6">
        <v>0</v>
      </c>
      <c r="P904" s="6">
        <v>0</v>
      </c>
      <c r="Q904" s="6">
        <v>0</v>
      </c>
      <c r="R904" s="4">
        <f t="shared" si="519"/>
        <v>0</v>
      </c>
      <c r="S904" s="6">
        <v>0</v>
      </c>
      <c r="T904" s="6">
        <v>0</v>
      </c>
      <c r="U904" s="6">
        <v>0</v>
      </c>
      <c r="V904" s="7">
        <f t="shared" si="520"/>
        <v>5500</v>
      </c>
    </row>
    <row r="905" spans="1:258" s="7" customFormat="1" ht="21.95" customHeight="1" x14ac:dyDescent="0.25">
      <c r="A905" s="52" t="s">
        <v>1144</v>
      </c>
      <c r="B905" s="9" t="s">
        <v>683</v>
      </c>
      <c r="C905" s="3">
        <f t="shared" si="522"/>
        <v>2007500</v>
      </c>
      <c r="D905" s="4">
        <f t="shared" si="517"/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5">
        <v>0</v>
      </c>
      <c r="L905" s="4">
        <v>0</v>
      </c>
      <c r="M905" s="4">
        <v>365</v>
      </c>
      <c r="N905" s="4">
        <f t="shared" si="524"/>
        <v>2007500</v>
      </c>
      <c r="O905" s="6">
        <v>0</v>
      </c>
      <c r="P905" s="6">
        <v>0</v>
      </c>
      <c r="Q905" s="6">
        <v>0</v>
      </c>
      <c r="R905" s="4">
        <f t="shared" si="519"/>
        <v>0</v>
      </c>
      <c r="S905" s="6">
        <v>0</v>
      </c>
      <c r="T905" s="6">
        <v>0</v>
      </c>
      <c r="U905" s="6">
        <v>0</v>
      </c>
      <c r="V905" s="7">
        <f t="shared" si="520"/>
        <v>5500</v>
      </c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  <c r="CF905" s="8"/>
      <c r="CG905" s="8"/>
      <c r="CH905" s="8"/>
      <c r="CI905" s="8"/>
      <c r="CJ905" s="8"/>
      <c r="CK905" s="8"/>
      <c r="CL905" s="8"/>
      <c r="CM905" s="8"/>
      <c r="CN905" s="8"/>
      <c r="CO905" s="8"/>
      <c r="CP905" s="8"/>
      <c r="CQ905" s="8"/>
      <c r="CR905" s="8"/>
      <c r="CS905" s="8"/>
      <c r="CT905" s="8"/>
      <c r="CU905" s="8"/>
      <c r="CV905" s="8"/>
      <c r="CW905" s="8"/>
      <c r="CX905" s="8"/>
      <c r="CY905" s="8"/>
      <c r="CZ905" s="8"/>
      <c r="DA905" s="8"/>
      <c r="DB905" s="8"/>
      <c r="DC905" s="8"/>
      <c r="DD905" s="8"/>
      <c r="DE905" s="8"/>
      <c r="DF905" s="8"/>
      <c r="DG905" s="8"/>
      <c r="DH905" s="8"/>
      <c r="DI905" s="8"/>
      <c r="DJ905" s="8"/>
      <c r="DK905" s="8"/>
      <c r="DL905" s="8"/>
      <c r="DM905" s="8"/>
      <c r="DN905" s="8"/>
      <c r="DO905" s="8"/>
      <c r="DP905" s="8"/>
      <c r="DQ905" s="8"/>
      <c r="DR905" s="8"/>
      <c r="DS905" s="8"/>
      <c r="DT905" s="8"/>
      <c r="DU905" s="8"/>
      <c r="DV905" s="8"/>
      <c r="DW905" s="8"/>
      <c r="DX905" s="8"/>
      <c r="DY905" s="8"/>
      <c r="DZ905" s="8"/>
      <c r="EA905" s="8"/>
      <c r="EB905" s="8"/>
      <c r="EC905" s="8"/>
      <c r="ED905" s="8"/>
      <c r="EE905" s="8"/>
      <c r="EF905" s="8"/>
      <c r="EG905" s="8"/>
      <c r="EH905" s="8"/>
      <c r="EI905" s="8"/>
      <c r="EJ905" s="8"/>
      <c r="EK905" s="8"/>
      <c r="EL905" s="8"/>
      <c r="EM905" s="8"/>
      <c r="EN905" s="8"/>
      <c r="EO905" s="8"/>
      <c r="EP905" s="8"/>
      <c r="EQ905" s="8"/>
      <c r="ER905" s="8"/>
      <c r="ES905" s="8"/>
      <c r="ET905" s="8"/>
      <c r="EU905" s="8"/>
      <c r="EV905" s="8"/>
      <c r="EW905" s="8"/>
      <c r="EX905" s="8"/>
      <c r="EY905" s="8"/>
      <c r="EZ905" s="8"/>
      <c r="FA905" s="8"/>
      <c r="FB905" s="8"/>
      <c r="FC905" s="8"/>
      <c r="FD905" s="8"/>
      <c r="FE905" s="8"/>
      <c r="FF905" s="8"/>
      <c r="FG905" s="8"/>
      <c r="FH905" s="8"/>
      <c r="FI905" s="8"/>
      <c r="FJ905" s="8"/>
      <c r="FK905" s="8"/>
      <c r="FL905" s="8"/>
      <c r="FM905" s="8"/>
      <c r="FN905" s="8"/>
      <c r="FO905" s="8"/>
      <c r="FP905" s="8"/>
      <c r="FQ905" s="8"/>
      <c r="FR905" s="8"/>
      <c r="FS905" s="8"/>
      <c r="FT905" s="8"/>
      <c r="FU905" s="8"/>
      <c r="FV905" s="8"/>
      <c r="FW905" s="8"/>
      <c r="FX905" s="8"/>
      <c r="FY905" s="8"/>
      <c r="FZ905" s="8"/>
      <c r="GA905" s="8"/>
      <c r="GB905" s="8"/>
      <c r="GC905" s="8"/>
      <c r="GD905" s="8"/>
      <c r="GE905" s="8"/>
      <c r="GF905" s="8"/>
      <c r="GG905" s="8"/>
      <c r="GH905" s="8"/>
      <c r="GI905" s="8"/>
      <c r="GJ905" s="8"/>
      <c r="GK905" s="8"/>
      <c r="GL905" s="8"/>
      <c r="GM905" s="8"/>
      <c r="GN905" s="8"/>
      <c r="GO905" s="8"/>
      <c r="GP905" s="8"/>
      <c r="GQ905" s="8"/>
      <c r="GR905" s="8"/>
      <c r="GS905" s="8"/>
      <c r="GT905" s="8"/>
      <c r="GU905" s="8"/>
      <c r="GV905" s="8"/>
      <c r="GW905" s="8"/>
      <c r="GX905" s="8"/>
      <c r="GY905" s="8"/>
      <c r="GZ905" s="8"/>
      <c r="HA905" s="8"/>
      <c r="HB905" s="8"/>
      <c r="HC905" s="8"/>
      <c r="HD905" s="8"/>
      <c r="HE905" s="8"/>
      <c r="HF905" s="8"/>
      <c r="HG905" s="8"/>
      <c r="HH905" s="8"/>
      <c r="HI905" s="8"/>
      <c r="HJ905" s="8"/>
      <c r="HK905" s="8"/>
      <c r="HL905" s="8"/>
      <c r="HM905" s="8"/>
      <c r="HN905" s="8"/>
      <c r="HO905" s="8"/>
      <c r="HP905" s="8"/>
      <c r="HQ905" s="8"/>
      <c r="HR905" s="8"/>
      <c r="HS905" s="8"/>
      <c r="HT905" s="8"/>
      <c r="HU905" s="8"/>
      <c r="HV905" s="8"/>
      <c r="HW905" s="8"/>
      <c r="HX905" s="8"/>
      <c r="HY905" s="8"/>
      <c r="HZ905" s="8"/>
      <c r="IA905" s="8"/>
      <c r="IB905" s="8"/>
      <c r="IC905" s="8"/>
      <c r="ID905" s="8"/>
      <c r="IE905" s="8"/>
      <c r="IF905" s="8"/>
      <c r="IG905" s="8"/>
      <c r="IH905" s="8"/>
      <c r="II905" s="8"/>
      <c r="IJ905" s="8"/>
      <c r="IK905" s="8"/>
      <c r="IL905" s="8"/>
      <c r="IM905" s="8"/>
      <c r="IN905" s="8"/>
      <c r="IO905" s="8"/>
      <c r="IP905" s="8"/>
      <c r="IQ905" s="8"/>
      <c r="IR905" s="8"/>
      <c r="IS905" s="8"/>
      <c r="IT905" s="8"/>
      <c r="IU905" s="8"/>
      <c r="IV905" s="8"/>
      <c r="IW905" s="8"/>
      <c r="IX905" s="8"/>
    </row>
    <row r="906" spans="1:258" ht="21.95" customHeight="1" x14ac:dyDescent="0.25">
      <c r="A906" s="52" t="s">
        <v>1145</v>
      </c>
      <c r="B906" s="9" t="s">
        <v>685</v>
      </c>
      <c r="C906" s="3">
        <f t="shared" si="522"/>
        <v>1125300</v>
      </c>
      <c r="D906" s="4">
        <f t="shared" si="517"/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5">
        <v>0</v>
      </c>
      <c r="L906" s="4">
        <v>0</v>
      </c>
      <c r="M906" s="6">
        <v>204.6</v>
      </c>
      <c r="N906" s="4">
        <f t="shared" si="524"/>
        <v>1125300</v>
      </c>
      <c r="O906" s="4">
        <v>0</v>
      </c>
      <c r="P906" s="4">
        <v>0</v>
      </c>
      <c r="Q906" s="4">
        <v>0</v>
      </c>
      <c r="R906" s="4">
        <f t="shared" si="519"/>
        <v>0</v>
      </c>
      <c r="S906" s="4">
        <v>0</v>
      </c>
      <c r="T906" s="6">
        <v>0</v>
      </c>
      <c r="U906" s="4">
        <v>0</v>
      </c>
      <c r="V906" s="7">
        <f t="shared" si="520"/>
        <v>5500</v>
      </c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  <c r="GJ906" s="7"/>
      <c r="GK906" s="7"/>
      <c r="GL906" s="7"/>
      <c r="GM906" s="7"/>
      <c r="GN906" s="7"/>
      <c r="GO906" s="7"/>
      <c r="GP906" s="7"/>
      <c r="GQ906" s="7"/>
      <c r="GR906" s="7"/>
      <c r="GS906" s="7"/>
      <c r="GT906" s="7"/>
      <c r="GU906" s="7"/>
      <c r="GV906" s="7"/>
      <c r="GW906" s="7"/>
      <c r="GX906" s="7"/>
      <c r="GY906" s="7"/>
      <c r="GZ906" s="7"/>
      <c r="HA906" s="7"/>
      <c r="HB906" s="7"/>
      <c r="HC906" s="7"/>
      <c r="HD906" s="7"/>
      <c r="HE906" s="7"/>
      <c r="HF906" s="7"/>
      <c r="HG906" s="7"/>
      <c r="HH906" s="7"/>
      <c r="HI906" s="7"/>
      <c r="HJ906" s="7"/>
      <c r="HK906" s="7"/>
      <c r="HL906" s="7"/>
      <c r="HM906" s="7"/>
      <c r="HN906" s="7"/>
      <c r="HO906" s="7"/>
      <c r="HP906" s="7"/>
      <c r="HQ906" s="7"/>
      <c r="HR906" s="7"/>
      <c r="HS906" s="7"/>
      <c r="HT906" s="7"/>
      <c r="HU906" s="7"/>
      <c r="HV906" s="7"/>
      <c r="HW906" s="7"/>
      <c r="HX906" s="7"/>
      <c r="HY906" s="7"/>
      <c r="HZ906" s="7"/>
      <c r="IA906" s="7"/>
      <c r="IB906" s="7"/>
      <c r="IC906" s="7"/>
      <c r="ID906" s="7"/>
      <c r="IE906" s="7"/>
      <c r="IF906" s="7"/>
      <c r="IG906" s="7"/>
      <c r="IH906" s="7"/>
      <c r="II906" s="7"/>
      <c r="IJ906" s="7"/>
      <c r="IK906" s="7"/>
      <c r="IL906" s="7"/>
      <c r="IM906" s="7"/>
      <c r="IN906" s="7"/>
      <c r="IO906" s="7"/>
      <c r="IP906" s="7"/>
      <c r="IQ906" s="7"/>
      <c r="IR906" s="7"/>
      <c r="IS906" s="7"/>
      <c r="IT906" s="7"/>
      <c r="IU906" s="7"/>
      <c r="IV906" s="7"/>
      <c r="IW906" s="7"/>
      <c r="IX906" s="7"/>
    </row>
    <row r="907" spans="1:258" ht="21.95" customHeight="1" x14ac:dyDescent="0.25">
      <c r="A907" s="52" t="s">
        <v>1146</v>
      </c>
      <c r="B907" s="9" t="s">
        <v>781</v>
      </c>
      <c r="C907" s="3">
        <f t="shared" si="522"/>
        <v>1193280</v>
      </c>
      <c r="D907" s="4">
        <f t="shared" si="517"/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5">
        <v>0</v>
      </c>
      <c r="L907" s="4">
        <v>0</v>
      </c>
      <c r="M907" s="6">
        <v>216.96</v>
      </c>
      <c r="N907" s="4">
        <f t="shared" si="524"/>
        <v>1193280</v>
      </c>
      <c r="O907" s="4">
        <v>0</v>
      </c>
      <c r="P907" s="4">
        <v>0</v>
      </c>
      <c r="Q907" s="4">
        <v>0</v>
      </c>
      <c r="R907" s="4">
        <f t="shared" si="519"/>
        <v>0</v>
      </c>
      <c r="S907" s="4">
        <v>0</v>
      </c>
      <c r="T907" s="6">
        <v>0</v>
      </c>
      <c r="U907" s="4">
        <v>0</v>
      </c>
      <c r="V907" s="7">
        <f t="shared" si="520"/>
        <v>5500</v>
      </c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5"/>
      <c r="AW907" s="35"/>
      <c r="AX907" s="35"/>
      <c r="AY907" s="35"/>
      <c r="AZ907" s="35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  <c r="BK907" s="35"/>
      <c r="BL907" s="35"/>
      <c r="BM907" s="35"/>
      <c r="BN907" s="35"/>
      <c r="BO907" s="35"/>
      <c r="BP907" s="35"/>
      <c r="BQ907" s="35"/>
      <c r="BR907" s="35"/>
      <c r="BS907" s="35"/>
      <c r="BT907" s="35"/>
      <c r="BU907" s="35"/>
      <c r="BV907" s="35"/>
      <c r="BW907" s="35"/>
      <c r="BX907" s="35"/>
      <c r="BY907" s="35"/>
      <c r="BZ907" s="35"/>
      <c r="CA907" s="35"/>
      <c r="CB907" s="35"/>
      <c r="CC907" s="35"/>
      <c r="CD907" s="35"/>
      <c r="CE907" s="35"/>
      <c r="CF907" s="35"/>
      <c r="CG907" s="35"/>
      <c r="CH907" s="35"/>
      <c r="CI907" s="35"/>
      <c r="CJ907" s="35"/>
      <c r="CK907" s="35"/>
      <c r="CL907" s="35"/>
      <c r="CM907" s="35"/>
      <c r="CN907" s="35"/>
      <c r="CO907" s="35"/>
      <c r="CP907" s="35"/>
      <c r="CQ907" s="35"/>
      <c r="CR907" s="35"/>
      <c r="CS907" s="35"/>
      <c r="CT907" s="35"/>
      <c r="CU907" s="35"/>
      <c r="CV907" s="35"/>
      <c r="CW907" s="35"/>
      <c r="CX907" s="35"/>
      <c r="CY907" s="35"/>
      <c r="CZ907" s="35"/>
      <c r="DA907" s="35"/>
      <c r="DB907" s="35"/>
      <c r="DC907" s="35"/>
      <c r="DD907" s="35"/>
      <c r="DE907" s="35"/>
      <c r="DF907" s="35"/>
      <c r="DG907" s="35"/>
      <c r="DH907" s="35"/>
      <c r="DI907" s="35"/>
      <c r="DJ907" s="35"/>
      <c r="DK907" s="35"/>
      <c r="DL907" s="35"/>
      <c r="DM907" s="35"/>
      <c r="DN907" s="35"/>
      <c r="DO907" s="35"/>
      <c r="DP907" s="35"/>
      <c r="DQ907" s="35"/>
      <c r="DR907" s="35"/>
      <c r="DS907" s="35"/>
      <c r="DT907" s="35"/>
      <c r="DU907" s="35"/>
      <c r="DV907" s="35"/>
      <c r="DW907" s="35"/>
      <c r="DX907" s="35"/>
      <c r="DY907" s="35"/>
      <c r="DZ907" s="35"/>
      <c r="EA907" s="35"/>
      <c r="EB907" s="35"/>
      <c r="EC907" s="35"/>
      <c r="ED907" s="35"/>
      <c r="EE907" s="35"/>
      <c r="EF907" s="35"/>
      <c r="EG907" s="35"/>
      <c r="EH907" s="35"/>
      <c r="EI907" s="35"/>
      <c r="EJ907" s="35"/>
      <c r="EK907" s="35"/>
      <c r="EL907" s="35"/>
      <c r="EM907" s="35"/>
      <c r="EN907" s="35"/>
      <c r="EO907" s="35"/>
      <c r="EP907" s="35"/>
      <c r="EQ907" s="35"/>
      <c r="ER907" s="35"/>
      <c r="ES907" s="35"/>
      <c r="ET907" s="35"/>
      <c r="EU907" s="35"/>
      <c r="EV907" s="35"/>
      <c r="EW907" s="35"/>
      <c r="EX907" s="35"/>
      <c r="EY907" s="35"/>
      <c r="EZ907" s="35"/>
      <c r="FA907" s="35"/>
      <c r="FB907" s="35"/>
      <c r="FC907" s="35"/>
      <c r="FD907" s="35"/>
      <c r="FE907" s="35"/>
      <c r="FF907" s="35"/>
      <c r="FG907" s="35"/>
      <c r="FH907" s="35"/>
      <c r="FI907" s="35"/>
      <c r="FJ907" s="35"/>
      <c r="FK907" s="35"/>
      <c r="FL907" s="35"/>
      <c r="FM907" s="35"/>
      <c r="FN907" s="35"/>
      <c r="FO907" s="35"/>
      <c r="FP907" s="35"/>
      <c r="FQ907" s="35"/>
      <c r="FR907" s="35"/>
      <c r="FS907" s="35"/>
      <c r="FT907" s="35"/>
      <c r="FU907" s="35"/>
      <c r="FV907" s="35"/>
      <c r="FW907" s="35"/>
      <c r="FX907" s="35"/>
      <c r="FY907" s="35"/>
      <c r="FZ907" s="35"/>
      <c r="GA907" s="35"/>
      <c r="GB907" s="35"/>
      <c r="GC907" s="35"/>
      <c r="GD907" s="35"/>
      <c r="GE907" s="35"/>
      <c r="GF907" s="35"/>
      <c r="GG907" s="35"/>
      <c r="GH907" s="35"/>
      <c r="GI907" s="35"/>
      <c r="GJ907" s="35"/>
      <c r="GK907" s="35"/>
      <c r="GL907" s="35"/>
      <c r="GM907" s="35"/>
      <c r="GN907" s="35"/>
      <c r="GO907" s="35"/>
      <c r="GP907" s="35"/>
      <c r="GQ907" s="35"/>
      <c r="GR907" s="35"/>
      <c r="GS907" s="35"/>
      <c r="GT907" s="35"/>
      <c r="GU907" s="35"/>
      <c r="GV907" s="35"/>
      <c r="GW907" s="35"/>
      <c r="GX907" s="35"/>
      <c r="GY907" s="35"/>
      <c r="GZ907" s="35"/>
      <c r="HA907" s="35"/>
      <c r="HB907" s="35"/>
      <c r="HC907" s="35"/>
      <c r="HD907" s="35"/>
      <c r="HE907" s="35"/>
      <c r="HF907" s="35"/>
      <c r="HG907" s="35"/>
      <c r="HH907" s="35"/>
      <c r="HI907" s="35"/>
      <c r="HJ907" s="35"/>
      <c r="HK907" s="35"/>
      <c r="HL907" s="35"/>
      <c r="HM907" s="35"/>
      <c r="HN907" s="35"/>
      <c r="HO907" s="35"/>
      <c r="HP907" s="35"/>
      <c r="HQ907" s="35"/>
      <c r="HR907" s="35"/>
      <c r="HS907" s="35"/>
      <c r="HT907" s="35"/>
      <c r="HU907" s="35"/>
      <c r="HV907" s="35"/>
      <c r="HW907" s="35"/>
      <c r="HX907" s="35"/>
      <c r="HY907" s="35"/>
      <c r="HZ907" s="35"/>
      <c r="IA907" s="35"/>
      <c r="IB907" s="35"/>
      <c r="IC907" s="35"/>
      <c r="ID907" s="35"/>
      <c r="IE907" s="35"/>
      <c r="IF907" s="35"/>
      <c r="IG907" s="35"/>
      <c r="IH907" s="35"/>
      <c r="II907" s="35"/>
      <c r="IJ907" s="35"/>
      <c r="IK907" s="35"/>
      <c r="IL907" s="35"/>
      <c r="IM907" s="35"/>
      <c r="IN907" s="35"/>
      <c r="IO907" s="35"/>
      <c r="IP907" s="35"/>
      <c r="IQ907" s="35"/>
      <c r="IR907" s="35"/>
      <c r="IS907" s="35"/>
      <c r="IT907" s="35"/>
      <c r="IU907" s="35"/>
      <c r="IV907" s="35"/>
      <c r="IW907" s="35"/>
      <c r="IX907" s="35"/>
    </row>
    <row r="908" spans="1:258" ht="21.95" customHeight="1" x14ac:dyDescent="0.25">
      <c r="A908" s="52" t="s">
        <v>1147</v>
      </c>
      <c r="B908" s="28" t="s">
        <v>592</v>
      </c>
      <c r="C908" s="3">
        <f>D908+L908+N908+P908+R908+S908+T908+U908</f>
        <v>1851925</v>
      </c>
      <c r="D908" s="4">
        <f>SUM(E908:J908)</f>
        <v>1751925</v>
      </c>
      <c r="E908" s="4">
        <f>350*745.5</f>
        <v>260925</v>
      </c>
      <c r="F908" s="4">
        <f>1050*745.5</f>
        <v>782775</v>
      </c>
      <c r="G908" s="4">
        <f>300*745.5</f>
        <v>223650</v>
      </c>
      <c r="H908" s="4">
        <f>400*745.5</f>
        <v>298200</v>
      </c>
      <c r="I908" s="4">
        <f>250*745.5</f>
        <v>186375</v>
      </c>
      <c r="J908" s="4">
        <f>350*0</f>
        <v>0</v>
      </c>
      <c r="K908" s="12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4">
        <f>Q908*3000</f>
        <v>0</v>
      </c>
      <c r="S908" s="6">
        <v>0</v>
      </c>
      <c r="T908" s="6">
        <v>0</v>
      </c>
      <c r="U908" s="6">
        <v>100000</v>
      </c>
      <c r="V908" s="7" t="e">
        <f>N908/M908</f>
        <v>#DIV/0!</v>
      </c>
      <c r="W908" s="8" t="s">
        <v>1934</v>
      </c>
    </row>
    <row r="909" spans="1:258" ht="21.95" customHeight="1" x14ac:dyDescent="0.25">
      <c r="A909" s="52" t="s">
        <v>1920</v>
      </c>
      <c r="B909" s="9" t="s">
        <v>686</v>
      </c>
      <c r="C909" s="3">
        <f t="shared" si="522"/>
        <v>5936578</v>
      </c>
      <c r="D909" s="4">
        <f t="shared" si="517"/>
        <v>1310078</v>
      </c>
      <c r="E909" s="4">
        <f>350*557.48</f>
        <v>195118</v>
      </c>
      <c r="F909" s="4">
        <f>1050*557.48</f>
        <v>585354</v>
      </c>
      <c r="G909" s="4">
        <f>300*557.48</f>
        <v>167244</v>
      </c>
      <c r="H909" s="4">
        <f>400*557.48</f>
        <v>222992</v>
      </c>
      <c r="I909" s="4">
        <f>250*557.48</f>
        <v>139370</v>
      </c>
      <c r="J909" s="4">
        <v>0</v>
      </c>
      <c r="K909" s="5">
        <v>0</v>
      </c>
      <c r="L909" s="4">
        <v>0</v>
      </c>
      <c r="M909" s="4">
        <v>519.4</v>
      </c>
      <c r="N909" s="4">
        <f t="shared" ref="N909:N915" si="525">M909*5500</f>
        <v>2856700</v>
      </c>
      <c r="O909" s="4">
        <v>0</v>
      </c>
      <c r="P909" s="4">
        <v>0</v>
      </c>
      <c r="Q909" s="4">
        <v>556.6</v>
      </c>
      <c r="R909" s="4">
        <f t="shared" si="519"/>
        <v>1669800</v>
      </c>
      <c r="S909" s="4">
        <v>0</v>
      </c>
      <c r="T909" s="6">
        <v>0</v>
      </c>
      <c r="U909" s="4">
        <v>100000</v>
      </c>
      <c r="V909" s="7">
        <f t="shared" si="520"/>
        <v>5500</v>
      </c>
    </row>
    <row r="910" spans="1:258" ht="21.95" customHeight="1" x14ac:dyDescent="0.25">
      <c r="A910" s="52" t="s">
        <v>1148</v>
      </c>
      <c r="B910" s="9" t="s">
        <v>687</v>
      </c>
      <c r="C910" s="3">
        <f t="shared" si="522"/>
        <v>1363395</v>
      </c>
      <c r="D910" s="4">
        <f t="shared" si="517"/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5">
        <v>0</v>
      </c>
      <c r="L910" s="4">
        <v>0</v>
      </c>
      <c r="M910" s="6">
        <v>247.89</v>
      </c>
      <c r="N910" s="4">
        <f t="shared" si="525"/>
        <v>1363395</v>
      </c>
      <c r="O910" s="4">
        <v>0</v>
      </c>
      <c r="P910" s="4">
        <v>0</v>
      </c>
      <c r="Q910" s="4">
        <v>0</v>
      </c>
      <c r="R910" s="4">
        <f t="shared" si="519"/>
        <v>0</v>
      </c>
      <c r="S910" s="4">
        <v>0</v>
      </c>
      <c r="T910" s="6">
        <v>0</v>
      </c>
      <c r="U910" s="4">
        <v>0</v>
      </c>
      <c r="V910" s="7">
        <f t="shared" si="520"/>
        <v>5500</v>
      </c>
    </row>
    <row r="911" spans="1:258" ht="21.95" customHeight="1" x14ac:dyDescent="0.25">
      <c r="A911" s="52" t="s">
        <v>1460</v>
      </c>
      <c r="B911" s="28" t="s">
        <v>688</v>
      </c>
      <c r="C911" s="3">
        <f t="shared" si="522"/>
        <v>2035000</v>
      </c>
      <c r="D911" s="4">
        <f t="shared" si="517"/>
        <v>0</v>
      </c>
      <c r="E911" s="4">
        <v>0</v>
      </c>
      <c r="F911" s="4">
        <v>0</v>
      </c>
      <c r="G911" s="4">
        <v>0</v>
      </c>
      <c r="H911" s="4">
        <v>0</v>
      </c>
      <c r="I911" s="4">
        <v>0</v>
      </c>
      <c r="J911" s="4">
        <v>0</v>
      </c>
      <c r="K911" s="5">
        <v>0</v>
      </c>
      <c r="L911" s="4">
        <v>0</v>
      </c>
      <c r="M911" s="4">
        <v>370</v>
      </c>
      <c r="N911" s="4">
        <f t="shared" si="525"/>
        <v>2035000</v>
      </c>
      <c r="O911" s="4">
        <v>0</v>
      </c>
      <c r="P911" s="4">
        <v>0</v>
      </c>
      <c r="Q911" s="4">
        <v>0</v>
      </c>
      <c r="R911" s="4">
        <f t="shared" si="519"/>
        <v>0</v>
      </c>
      <c r="S911" s="4">
        <v>0</v>
      </c>
      <c r="T911" s="6">
        <v>0</v>
      </c>
      <c r="U911" s="4">
        <v>0</v>
      </c>
      <c r="V911" s="7">
        <f t="shared" si="520"/>
        <v>5500</v>
      </c>
    </row>
    <row r="912" spans="1:258" ht="21.95" customHeight="1" x14ac:dyDescent="0.25">
      <c r="A912" s="52" t="s">
        <v>1461</v>
      </c>
      <c r="B912" s="9" t="s">
        <v>689</v>
      </c>
      <c r="C912" s="3">
        <f t="shared" si="522"/>
        <v>3070649.9999999995</v>
      </c>
      <c r="D912" s="4">
        <f t="shared" si="517"/>
        <v>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5">
        <v>0</v>
      </c>
      <c r="L912" s="4">
        <v>0</v>
      </c>
      <c r="M912" s="6">
        <v>558.29999999999995</v>
      </c>
      <c r="N912" s="4">
        <f t="shared" si="525"/>
        <v>3070649.9999999995</v>
      </c>
      <c r="O912" s="4">
        <v>0</v>
      </c>
      <c r="P912" s="4">
        <v>0</v>
      </c>
      <c r="Q912" s="4">
        <v>0</v>
      </c>
      <c r="R912" s="4">
        <f t="shared" si="519"/>
        <v>0</v>
      </c>
      <c r="S912" s="4">
        <v>0</v>
      </c>
      <c r="T912" s="6">
        <v>0</v>
      </c>
      <c r="U912" s="4">
        <v>0</v>
      </c>
      <c r="V912" s="7">
        <f t="shared" si="520"/>
        <v>5500</v>
      </c>
    </row>
    <row r="913" spans="1:258" ht="21.95" customHeight="1" x14ac:dyDescent="0.25">
      <c r="A913" s="52" t="s">
        <v>1149</v>
      </c>
      <c r="B913" s="9" t="s">
        <v>690</v>
      </c>
      <c r="C913" s="3">
        <f t="shared" si="522"/>
        <v>1447600</v>
      </c>
      <c r="D913" s="4">
        <f t="shared" si="517"/>
        <v>0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12">
        <v>0</v>
      </c>
      <c r="L913" s="4">
        <v>0</v>
      </c>
      <c r="M913" s="4">
        <v>263.2</v>
      </c>
      <c r="N913" s="4">
        <f t="shared" si="525"/>
        <v>1447600</v>
      </c>
      <c r="O913" s="4">
        <v>0</v>
      </c>
      <c r="P913" s="4">
        <v>0</v>
      </c>
      <c r="Q913" s="4">
        <v>0</v>
      </c>
      <c r="R913" s="4">
        <f t="shared" si="519"/>
        <v>0</v>
      </c>
      <c r="S913" s="4">
        <v>0</v>
      </c>
      <c r="T913" s="6">
        <v>0</v>
      </c>
      <c r="U913" s="4">
        <v>0</v>
      </c>
      <c r="V913" s="7">
        <f t="shared" si="520"/>
        <v>5500</v>
      </c>
    </row>
    <row r="914" spans="1:258" s="19" customFormat="1" ht="21.95" customHeight="1" x14ac:dyDescent="0.25">
      <c r="A914" s="52" t="s">
        <v>1150</v>
      </c>
      <c r="B914" s="9" t="s">
        <v>691</v>
      </c>
      <c r="C914" s="3">
        <f t="shared" si="522"/>
        <v>1958000</v>
      </c>
      <c r="D914" s="4">
        <f t="shared" si="517"/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12">
        <v>0</v>
      </c>
      <c r="L914" s="4">
        <v>0</v>
      </c>
      <c r="M914" s="4">
        <v>356</v>
      </c>
      <c r="N914" s="4">
        <f t="shared" si="525"/>
        <v>1958000</v>
      </c>
      <c r="O914" s="4">
        <v>0</v>
      </c>
      <c r="P914" s="4">
        <v>0</v>
      </c>
      <c r="Q914" s="4">
        <v>0</v>
      </c>
      <c r="R914" s="4">
        <f t="shared" si="519"/>
        <v>0</v>
      </c>
      <c r="S914" s="4">
        <v>0</v>
      </c>
      <c r="T914" s="6">
        <v>0</v>
      </c>
      <c r="U914" s="4">
        <v>0</v>
      </c>
      <c r="V914" s="7">
        <f t="shared" si="520"/>
        <v>5500</v>
      </c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  <c r="CF914" s="8"/>
      <c r="CG914" s="8"/>
      <c r="CH914" s="8"/>
      <c r="CI914" s="8"/>
      <c r="CJ914" s="8"/>
      <c r="CK914" s="8"/>
      <c r="CL914" s="8"/>
      <c r="CM914" s="8"/>
      <c r="CN914" s="8"/>
      <c r="CO914" s="8"/>
      <c r="CP914" s="8"/>
      <c r="CQ914" s="8"/>
      <c r="CR914" s="8"/>
      <c r="CS914" s="8"/>
      <c r="CT914" s="8"/>
      <c r="CU914" s="8"/>
      <c r="CV914" s="8"/>
      <c r="CW914" s="8"/>
      <c r="CX914" s="8"/>
      <c r="CY914" s="8"/>
      <c r="CZ914" s="8"/>
      <c r="DA914" s="8"/>
      <c r="DB914" s="8"/>
      <c r="DC914" s="8"/>
      <c r="DD914" s="8"/>
      <c r="DE914" s="8"/>
      <c r="DF914" s="8"/>
      <c r="DG914" s="8"/>
      <c r="DH914" s="8"/>
      <c r="DI914" s="8"/>
      <c r="DJ914" s="8"/>
      <c r="DK914" s="8"/>
      <c r="DL914" s="8"/>
      <c r="DM914" s="8"/>
      <c r="DN914" s="8"/>
      <c r="DO914" s="8"/>
      <c r="DP914" s="8"/>
      <c r="DQ914" s="8"/>
      <c r="DR914" s="8"/>
      <c r="DS914" s="8"/>
      <c r="DT914" s="8"/>
      <c r="DU914" s="8"/>
      <c r="DV914" s="8"/>
      <c r="DW914" s="8"/>
      <c r="DX914" s="8"/>
      <c r="DY914" s="8"/>
      <c r="DZ914" s="8"/>
      <c r="EA914" s="8"/>
      <c r="EB914" s="8"/>
      <c r="EC914" s="8"/>
      <c r="ED914" s="8"/>
      <c r="EE914" s="8"/>
      <c r="EF914" s="8"/>
      <c r="EG914" s="8"/>
      <c r="EH914" s="8"/>
      <c r="EI914" s="8"/>
      <c r="EJ914" s="8"/>
      <c r="EK914" s="8"/>
      <c r="EL914" s="8"/>
      <c r="EM914" s="8"/>
      <c r="EN914" s="8"/>
      <c r="EO914" s="8"/>
      <c r="EP914" s="8"/>
      <c r="EQ914" s="8"/>
      <c r="ER914" s="8"/>
      <c r="ES914" s="8"/>
      <c r="ET914" s="8"/>
      <c r="EU914" s="8"/>
      <c r="EV914" s="8"/>
      <c r="EW914" s="8"/>
      <c r="EX914" s="8"/>
      <c r="EY914" s="8"/>
      <c r="EZ914" s="8"/>
      <c r="FA914" s="8"/>
      <c r="FB914" s="8"/>
      <c r="FC914" s="8"/>
      <c r="FD914" s="8"/>
      <c r="FE914" s="8"/>
      <c r="FF914" s="8"/>
      <c r="FG914" s="8"/>
      <c r="FH914" s="8"/>
      <c r="FI914" s="8"/>
      <c r="FJ914" s="8"/>
      <c r="FK914" s="8"/>
      <c r="FL914" s="8"/>
      <c r="FM914" s="8"/>
      <c r="FN914" s="8"/>
      <c r="FO914" s="8"/>
      <c r="FP914" s="8"/>
      <c r="FQ914" s="8"/>
      <c r="FR914" s="8"/>
      <c r="FS914" s="8"/>
      <c r="FT914" s="8"/>
      <c r="FU914" s="8"/>
      <c r="FV914" s="8"/>
      <c r="FW914" s="8"/>
      <c r="FX914" s="8"/>
      <c r="FY914" s="8"/>
      <c r="FZ914" s="8"/>
      <c r="GA914" s="8"/>
      <c r="GB914" s="8"/>
      <c r="GC914" s="8"/>
      <c r="GD914" s="8"/>
      <c r="GE914" s="8"/>
      <c r="GF914" s="8"/>
      <c r="GG914" s="8"/>
      <c r="GH914" s="8"/>
      <c r="GI914" s="8"/>
      <c r="GJ914" s="8"/>
      <c r="GK914" s="8"/>
      <c r="GL914" s="8"/>
      <c r="GM914" s="8"/>
      <c r="GN914" s="8"/>
      <c r="GO914" s="8"/>
      <c r="GP914" s="8"/>
      <c r="GQ914" s="8"/>
      <c r="GR914" s="8"/>
      <c r="GS914" s="8"/>
      <c r="GT914" s="8"/>
      <c r="GU914" s="8"/>
      <c r="GV914" s="8"/>
      <c r="GW914" s="8"/>
      <c r="GX914" s="8"/>
      <c r="GY914" s="8"/>
      <c r="GZ914" s="8"/>
      <c r="HA914" s="8"/>
      <c r="HB914" s="8"/>
      <c r="HC914" s="8"/>
      <c r="HD914" s="8"/>
      <c r="HE914" s="8"/>
      <c r="HF914" s="8"/>
      <c r="HG914" s="8"/>
      <c r="HH914" s="8"/>
      <c r="HI914" s="8"/>
      <c r="HJ914" s="8"/>
      <c r="HK914" s="8"/>
      <c r="HL914" s="8"/>
      <c r="HM914" s="8"/>
      <c r="HN914" s="8"/>
      <c r="HO914" s="8"/>
      <c r="HP914" s="8"/>
      <c r="HQ914" s="8"/>
      <c r="HR914" s="8"/>
      <c r="HS914" s="8"/>
      <c r="HT914" s="8"/>
      <c r="HU914" s="8"/>
      <c r="HV914" s="8"/>
      <c r="HW914" s="8"/>
      <c r="HX914" s="8"/>
      <c r="HY914" s="8"/>
      <c r="HZ914" s="8"/>
      <c r="IA914" s="8"/>
      <c r="IB914" s="8"/>
      <c r="IC914" s="8"/>
      <c r="ID914" s="8"/>
      <c r="IE914" s="8"/>
      <c r="IF914" s="8"/>
      <c r="IG914" s="8"/>
      <c r="IH914" s="8"/>
      <c r="II914" s="8"/>
      <c r="IJ914" s="8"/>
      <c r="IK914" s="8"/>
      <c r="IL914" s="8"/>
      <c r="IM914" s="8"/>
      <c r="IN914" s="8"/>
      <c r="IO914" s="8"/>
      <c r="IP914" s="8"/>
      <c r="IQ914" s="8"/>
      <c r="IR914" s="8"/>
      <c r="IS914" s="8"/>
      <c r="IT914" s="8"/>
      <c r="IU914" s="8"/>
      <c r="IV914" s="8"/>
      <c r="IW914" s="8"/>
      <c r="IX914" s="8"/>
    </row>
    <row r="915" spans="1:258" ht="21.95" customHeight="1" x14ac:dyDescent="0.25">
      <c r="A915" s="52" t="s">
        <v>1151</v>
      </c>
      <c r="B915" s="9" t="s">
        <v>782</v>
      </c>
      <c r="C915" s="3">
        <f t="shared" si="522"/>
        <v>1837000</v>
      </c>
      <c r="D915" s="4">
        <f t="shared" si="517"/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12">
        <v>0</v>
      </c>
      <c r="L915" s="4">
        <v>0</v>
      </c>
      <c r="M915" s="4">
        <v>334</v>
      </c>
      <c r="N915" s="4">
        <f t="shared" si="525"/>
        <v>1837000</v>
      </c>
      <c r="O915" s="4">
        <v>0</v>
      </c>
      <c r="P915" s="4">
        <v>0</v>
      </c>
      <c r="Q915" s="4">
        <v>0</v>
      </c>
      <c r="R915" s="4">
        <f t="shared" si="519"/>
        <v>0</v>
      </c>
      <c r="S915" s="4">
        <v>0</v>
      </c>
      <c r="T915" s="6">
        <v>0</v>
      </c>
      <c r="U915" s="4">
        <v>0</v>
      </c>
      <c r="V915" s="7">
        <f t="shared" si="520"/>
        <v>5500</v>
      </c>
    </row>
    <row r="916" spans="1:258" s="35" customFormat="1" ht="21.95" customHeight="1" x14ac:dyDescent="0.25">
      <c r="A916" s="52" t="s">
        <v>1152</v>
      </c>
      <c r="B916" s="28" t="s">
        <v>783</v>
      </c>
      <c r="C916" s="3">
        <f t="shared" si="522"/>
        <v>4168866</v>
      </c>
      <c r="D916" s="4">
        <f t="shared" si="517"/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12">
        <v>0</v>
      </c>
      <c r="L916" s="4">
        <v>0</v>
      </c>
      <c r="M916" s="4">
        <v>1131</v>
      </c>
      <c r="N916" s="4">
        <f>M916*3686</f>
        <v>4168866</v>
      </c>
      <c r="O916" s="4">
        <v>0</v>
      </c>
      <c r="P916" s="4">
        <v>0</v>
      </c>
      <c r="Q916" s="4">
        <v>0</v>
      </c>
      <c r="R916" s="4">
        <f t="shared" si="519"/>
        <v>0</v>
      </c>
      <c r="S916" s="4">
        <v>0</v>
      </c>
      <c r="T916" s="6">
        <v>0</v>
      </c>
      <c r="U916" s="4">
        <v>0</v>
      </c>
      <c r="V916" s="7">
        <f t="shared" si="520"/>
        <v>3686</v>
      </c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/>
      <c r="CC916" s="8"/>
      <c r="CD916" s="8"/>
      <c r="CE916" s="8"/>
      <c r="CF916" s="8"/>
      <c r="CG916" s="8"/>
      <c r="CH916" s="8"/>
      <c r="CI916" s="8"/>
      <c r="CJ916" s="8"/>
      <c r="CK916" s="8"/>
      <c r="CL916" s="8"/>
      <c r="CM916" s="8"/>
      <c r="CN916" s="8"/>
      <c r="CO916" s="8"/>
      <c r="CP916" s="8"/>
      <c r="CQ916" s="8"/>
      <c r="CR916" s="8"/>
      <c r="CS916" s="8"/>
      <c r="CT916" s="8"/>
      <c r="CU916" s="8"/>
      <c r="CV916" s="8"/>
      <c r="CW916" s="8"/>
      <c r="CX916" s="8"/>
      <c r="CY916" s="8"/>
      <c r="CZ916" s="8"/>
      <c r="DA916" s="8"/>
      <c r="DB916" s="8"/>
      <c r="DC916" s="8"/>
      <c r="DD916" s="8"/>
      <c r="DE916" s="8"/>
      <c r="DF916" s="8"/>
      <c r="DG916" s="8"/>
      <c r="DH916" s="8"/>
      <c r="DI916" s="8"/>
      <c r="DJ916" s="8"/>
      <c r="DK916" s="8"/>
      <c r="DL916" s="8"/>
      <c r="DM916" s="8"/>
      <c r="DN916" s="8"/>
      <c r="DO916" s="8"/>
      <c r="DP916" s="8"/>
      <c r="DQ916" s="8"/>
      <c r="DR916" s="8"/>
      <c r="DS916" s="8"/>
      <c r="DT916" s="8"/>
      <c r="DU916" s="8"/>
      <c r="DV916" s="8"/>
      <c r="DW916" s="8"/>
      <c r="DX916" s="8"/>
      <c r="DY916" s="8"/>
      <c r="DZ916" s="8"/>
      <c r="EA916" s="8"/>
      <c r="EB916" s="8"/>
      <c r="EC916" s="8"/>
      <c r="ED916" s="8"/>
      <c r="EE916" s="8"/>
      <c r="EF916" s="8"/>
      <c r="EG916" s="8"/>
      <c r="EH916" s="8"/>
      <c r="EI916" s="8"/>
      <c r="EJ916" s="8"/>
      <c r="EK916" s="8"/>
      <c r="EL916" s="8"/>
      <c r="EM916" s="8"/>
      <c r="EN916" s="8"/>
      <c r="EO916" s="8"/>
      <c r="EP916" s="8"/>
      <c r="EQ916" s="8"/>
      <c r="ER916" s="8"/>
      <c r="ES916" s="8"/>
      <c r="ET916" s="8"/>
      <c r="EU916" s="8"/>
      <c r="EV916" s="8"/>
      <c r="EW916" s="8"/>
      <c r="EX916" s="8"/>
      <c r="EY916" s="8"/>
      <c r="EZ916" s="8"/>
      <c r="FA916" s="8"/>
      <c r="FB916" s="8"/>
      <c r="FC916" s="8"/>
      <c r="FD916" s="8"/>
      <c r="FE916" s="8"/>
      <c r="FF916" s="8"/>
      <c r="FG916" s="8"/>
      <c r="FH916" s="8"/>
      <c r="FI916" s="8"/>
      <c r="FJ916" s="8"/>
      <c r="FK916" s="8"/>
      <c r="FL916" s="8"/>
      <c r="FM916" s="8"/>
      <c r="FN916" s="8"/>
      <c r="FO916" s="8"/>
      <c r="FP916" s="8"/>
      <c r="FQ916" s="8"/>
      <c r="FR916" s="8"/>
      <c r="FS916" s="8"/>
      <c r="FT916" s="8"/>
      <c r="FU916" s="8"/>
      <c r="FV916" s="8"/>
      <c r="FW916" s="8"/>
      <c r="FX916" s="8"/>
      <c r="FY916" s="8"/>
      <c r="FZ916" s="8"/>
      <c r="GA916" s="8"/>
      <c r="GB916" s="8"/>
      <c r="GC916" s="8"/>
      <c r="GD916" s="8"/>
      <c r="GE916" s="8"/>
      <c r="GF916" s="8"/>
      <c r="GG916" s="8"/>
      <c r="GH916" s="8"/>
      <c r="GI916" s="8"/>
      <c r="GJ916" s="8"/>
      <c r="GK916" s="8"/>
      <c r="GL916" s="8"/>
      <c r="GM916" s="8"/>
      <c r="GN916" s="8"/>
      <c r="GO916" s="8"/>
      <c r="GP916" s="8"/>
      <c r="GQ916" s="8"/>
      <c r="GR916" s="8"/>
      <c r="GS916" s="8"/>
      <c r="GT916" s="8"/>
      <c r="GU916" s="8"/>
      <c r="GV916" s="8"/>
      <c r="GW916" s="8"/>
      <c r="GX916" s="8"/>
      <c r="GY916" s="8"/>
      <c r="GZ916" s="8"/>
      <c r="HA916" s="8"/>
      <c r="HB916" s="8"/>
      <c r="HC916" s="8"/>
      <c r="HD916" s="8"/>
      <c r="HE916" s="8"/>
      <c r="HF916" s="8"/>
      <c r="HG916" s="8"/>
      <c r="HH916" s="8"/>
      <c r="HI916" s="8"/>
      <c r="HJ916" s="8"/>
      <c r="HK916" s="8"/>
      <c r="HL916" s="8"/>
      <c r="HM916" s="8"/>
      <c r="HN916" s="8"/>
      <c r="HO916" s="8"/>
      <c r="HP916" s="8"/>
      <c r="HQ916" s="8"/>
      <c r="HR916" s="8"/>
      <c r="HS916" s="8"/>
      <c r="HT916" s="8"/>
      <c r="HU916" s="8"/>
      <c r="HV916" s="8"/>
      <c r="HW916" s="8"/>
      <c r="HX916" s="8"/>
      <c r="HY916" s="8"/>
      <c r="HZ916" s="8"/>
      <c r="IA916" s="8"/>
      <c r="IB916" s="8"/>
      <c r="IC916" s="8"/>
      <c r="ID916" s="8"/>
      <c r="IE916" s="8"/>
      <c r="IF916" s="8"/>
      <c r="IG916" s="8"/>
      <c r="IH916" s="8"/>
      <c r="II916" s="8"/>
      <c r="IJ916" s="8"/>
      <c r="IK916" s="8"/>
      <c r="IL916" s="8"/>
      <c r="IM916" s="8"/>
      <c r="IN916" s="8"/>
      <c r="IO916" s="8"/>
      <c r="IP916" s="8"/>
      <c r="IQ916" s="8"/>
      <c r="IR916" s="8"/>
      <c r="IS916" s="8"/>
      <c r="IT916" s="8"/>
      <c r="IU916" s="8"/>
      <c r="IV916" s="8"/>
      <c r="IW916" s="8"/>
      <c r="IX916" s="8"/>
    </row>
    <row r="917" spans="1:258" s="35" customFormat="1" ht="21.95" customHeight="1" x14ac:dyDescent="0.25">
      <c r="A917" s="52" t="s">
        <v>1153</v>
      </c>
      <c r="B917" s="28" t="s">
        <v>830</v>
      </c>
      <c r="C917" s="3">
        <f t="shared" si="522"/>
        <v>26493260.5</v>
      </c>
      <c r="D917" s="4">
        <f t="shared" si="517"/>
        <v>10684110.5</v>
      </c>
      <c r="E917" s="4">
        <f>350*4546.43</f>
        <v>1591250.5</v>
      </c>
      <c r="F917" s="4">
        <f>1050*4546.43</f>
        <v>4773751.5</v>
      </c>
      <c r="G917" s="4">
        <f>300*4546.43</f>
        <v>1363929</v>
      </c>
      <c r="H917" s="4">
        <f>400*4546.43</f>
        <v>1818572</v>
      </c>
      <c r="I917" s="4">
        <f>250*4546.43</f>
        <v>1136607.5</v>
      </c>
      <c r="J917" s="4">
        <v>0</v>
      </c>
      <c r="K917" s="5">
        <v>0</v>
      </c>
      <c r="L917" s="4">
        <v>0</v>
      </c>
      <c r="M917" s="6">
        <v>1234</v>
      </c>
      <c r="N917" s="4">
        <f t="shared" ref="N917:N919" si="526">M917*5500</f>
        <v>6787000</v>
      </c>
      <c r="O917" s="4">
        <v>0</v>
      </c>
      <c r="P917" s="4">
        <v>0</v>
      </c>
      <c r="Q917" s="4">
        <v>2974.05</v>
      </c>
      <c r="R917" s="4">
        <f t="shared" si="519"/>
        <v>8922150</v>
      </c>
      <c r="S917" s="4">
        <v>0</v>
      </c>
      <c r="T917" s="6">
        <v>0</v>
      </c>
      <c r="U917" s="4">
        <v>100000</v>
      </c>
      <c r="V917" s="7">
        <f t="shared" si="520"/>
        <v>5500</v>
      </c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/>
      <c r="CC917" s="8"/>
      <c r="CD917" s="8"/>
      <c r="CE917" s="8"/>
      <c r="CF917" s="8"/>
      <c r="CG917" s="8"/>
      <c r="CH917" s="8"/>
      <c r="CI917" s="8"/>
      <c r="CJ917" s="8"/>
      <c r="CK917" s="8"/>
      <c r="CL917" s="8"/>
      <c r="CM917" s="8"/>
      <c r="CN917" s="8"/>
      <c r="CO917" s="8"/>
      <c r="CP917" s="8"/>
      <c r="CQ917" s="8"/>
      <c r="CR917" s="8"/>
      <c r="CS917" s="8"/>
      <c r="CT917" s="8"/>
      <c r="CU917" s="8"/>
      <c r="CV917" s="8"/>
      <c r="CW917" s="8"/>
      <c r="CX917" s="8"/>
      <c r="CY917" s="8"/>
      <c r="CZ917" s="8"/>
      <c r="DA917" s="8"/>
      <c r="DB917" s="8"/>
      <c r="DC917" s="8"/>
      <c r="DD917" s="8"/>
      <c r="DE917" s="8"/>
      <c r="DF917" s="8"/>
      <c r="DG917" s="8"/>
      <c r="DH917" s="8"/>
      <c r="DI917" s="8"/>
      <c r="DJ917" s="8"/>
      <c r="DK917" s="8"/>
      <c r="DL917" s="8"/>
      <c r="DM917" s="8"/>
      <c r="DN917" s="8"/>
      <c r="DO917" s="8"/>
      <c r="DP917" s="8"/>
      <c r="DQ917" s="8"/>
      <c r="DR917" s="8"/>
      <c r="DS917" s="8"/>
      <c r="DT917" s="8"/>
      <c r="DU917" s="8"/>
      <c r="DV917" s="8"/>
      <c r="DW917" s="8"/>
      <c r="DX917" s="8"/>
      <c r="DY917" s="8"/>
      <c r="DZ917" s="8"/>
      <c r="EA917" s="8"/>
      <c r="EB917" s="8"/>
      <c r="EC917" s="8"/>
      <c r="ED917" s="8"/>
      <c r="EE917" s="8"/>
      <c r="EF917" s="8"/>
      <c r="EG917" s="8"/>
      <c r="EH917" s="8"/>
      <c r="EI917" s="8"/>
      <c r="EJ917" s="8"/>
      <c r="EK917" s="8"/>
      <c r="EL917" s="8"/>
      <c r="EM917" s="8"/>
      <c r="EN917" s="8"/>
      <c r="EO917" s="8"/>
      <c r="EP917" s="8"/>
      <c r="EQ917" s="8"/>
      <c r="ER917" s="8"/>
      <c r="ES917" s="8"/>
      <c r="ET917" s="8"/>
      <c r="EU917" s="8"/>
      <c r="EV917" s="8"/>
      <c r="EW917" s="8"/>
      <c r="EX917" s="8"/>
      <c r="EY917" s="8"/>
      <c r="EZ917" s="8"/>
      <c r="FA917" s="8"/>
      <c r="FB917" s="8"/>
      <c r="FC917" s="8"/>
      <c r="FD917" s="8"/>
      <c r="FE917" s="8"/>
      <c r="FF917" s="8"/>
      <c r="FG917" s="8"/>
      <c r="FH917" s="8"/>
      <c r="FI917" s="8"/>
      <c r="FJ917" s="8"/>
      <c r="FK917" s="8"/>
      <c r="FL917" s="8"/>
      <c r="FM917" s="8"/>
      <c r="FN917" s="8"/>
      <c r="FO917" s="8"/>
      <c r="FP917" s="8"/>
      <c r="FQ917" s="8"/>
      <c r="FR917" s="8"/>
      <c r="FS917" s="8"/>
      <c r="FT917" s="8"/>
      <c r="FU917" s="8"/>
      <c r="FV917" s="8"/>
      <c r="FW917" s="8"/>
      <c r="FX917" s="8"/>
      <c r="FY917" s="8"/>
      <c r="FZ917" s="8"/>
      <c r="GA917" s="8"/>
      <c r="GB917" s="8"/>
      <c r="GC917" s="8"/>
      <c r="GD917" s="8"/>
      <c r="GE917" s="8"/>
      <c r="GF917" s="8"/>
      <c r="GG917" s="8"/>
      <c r="GH917" s="8"/>
      <c r="GI917" s="8"/>
      <c r="GJ917" s="8"/>
      <c r="GK917" s="8"/>
      <c r="GL917" s="8"/>
      <c r="GM917" s="8"/>
      <c r="GN917" s="8"/>
      <c r="GO917" s="8"/>
      <c r="GP917" s="8"/>
      <c r="GQ917" s="8"/>
      <c r="GR917" s="8"/>
      <c r="GS917" s="8"/>
      <c r="GT917" s="8"/>
      <c r="GU917" s="8"/>
      <c r="GV917" s="8"/>
      <c r="GW917" s="8"/>
      <c r="GX917" s="8"/>
      <c r="GY917" s="8"/>
      <c r="GZ917" s="8"/>
      <c r="HA917" s="8"/>
      <c r="HB917" s="8"/>
      <c r="HC917" s="8"/>
      <c r="HD917" s="8"/>
      <c r="HE917" s="8"/>
      <c r="HF917" s="8"/>
      <c r="HG917" s="8"/>
      <c r="HH917" s="8"/>
      <c r="HI917" s="8"/>
      <c r="HJ917" s="8"/>
      <c r="HK917" s="8"/>
      <c r="HL917" s="8"/>
      <c r="HM917" s="8"/>
      <c r="HN917" s="8"/>
      <c r="HO917" s="8"/>
      <c r="HP917" s="8"/>
      <c r="HQ917" s="8"/>
      <c r="HR917" s="8"/>
      <c r="HS917" s="8"/>
      <c r="HT917" s="8"/>
      <c r="HU917" s="8"/>
      <c r="HV917" s="8"/>
      <c r="HW917" s="8"/>
      <c r="HX917" s="8"/>
      <c r="HY917" s="8"/>
      <c r="HZ917" s="8"/>
      <c r="IA917" s="8"/>
      <c r="IB917" s="8"/>
      <c r="IC917" s="8"/>
      <c r="ID917" s="8"/>
      <c r="IE917" s="8"/>
      <c r="IF917" s="8"/>
      <c r="IG917" s="8"/>
      <c r="IH917" s="8"/>
      <c r="II917" s="8"/>
      <c r="IJ917" s="8"/>
      <c r="IK917" s="8"/>
      <c r="IL917" s="8"/>
      <c r="IM917" s="8"/>
      <c r="IN917" s="8"/>
      <c r="IO917" s="8"/>
      <c r="IP917" s="8"/>
      <c r="IQ917" s="8"/>
      <c r="IR917" s="8"/>
      <c r="IS917" s="8"/>
      <c r="IT917" s="8"/>
      <c r="IU917" s="8"/>
      <c r="IV917" s="8"/>
      <c r="IW917" s="8"/>
      <c r="IX917" s="8"/>
    </row>
    <row r="918" spans="1:258" ht="21.95" customHeight="1" x14ac:dyDescent="0.25">
      <c r="A918" s="52" t="s">
        <v>1154</v>
      </c>
      <c r="B918" s="9" t="s">
        <v>693</v>
      </c>
      <c r="C918" s="3">
        <f t="shared" si="522"/>
        <v>1595000</v>
      </c>
      <c r="D918" s="4">
        <f t="shared" si="517"/>
        <v>0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5">
        <v>0</v>
      </c>
      <c r="L918" s="4">
        <v>0</v>
      </c>
      <c r="M918" s="4">
        <v>290</v>
      </c>
      <c r="N918" s="4">
        <f t="shared" si="526"/>
        <v>1595000</v>
      </c>
      <c r="O918" s="4">
        <v>0</v>
      </c>
      <c r="P918" s="4">
        <v>0</v>
      </c>
      <c r="Q918" s="4">
        <v>0</v>
      </c>
      <c r="R918" s="4">
        <f t="shared" si="519"/>
        <v>0</v>
      </c>
      <c r="S918" s="4">
        <v>0</v>
      </c>
      <c r="T918" s="6">
        <v>0</v>
      </c>
      <c r="U918" s="4">
        <v>0</v>
      </c>
      <c r="V918" s="7">
        <f t="shared" si="520"/>
        <v>5500</v>
      </c>
    </row>
    <row r="919" spans="1:258" ht="21.95" customHeight="1" x14ac:dyDescent="0.25">
      <c r="A919" s="52" t="s">
        <v>1155</v>
      </c>
      <c r="B919" s="9" t="s">
        <v>694</v>
      </c>
      <c r="C919" s="3">
        <f t="shared" si="522"/>
        <v>1611500</v>
      </c>
      <c r="D919" s="4">
        <f t="shared" si="517"/>
        <v>0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5">
        <v>0</v>
      </c>
      <c r="L919" s="4">
        <v>0</v>
      </c>
      <c r="M919" s="4">
        <v>293</v>
      </c>
      <c r="N919" s="4">
        <f t="shared" si="526"/>
        <v>1611500</v>
      </c>
      <c r="O919" s="4">
        <v>0</v>
      </c>
      <c r="P919" s="4">
        <v>0</v>
      </c>
      <c r="Q919" s="4">
        <v>0</v>
      </c>
      <c r="R919" s="4">
        <f t="shared" si="519"/>
        <v>0</v>
      </c>
      <c r="S919" s="4">
        <v>0</v>
      </c>
      <c r="T919" s="6">
        <v>0</v>
      </c>
      <c r="U919" s="4">
        <v>0</v>
      </c>
      <c r="V919" s="7">
        <f t="shared" si="520"/>
        <v>5500</v>
      </c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DC919" s="19"/>
      <c r="DD919" s="19"/>
      <c r="DE919" s="19"/>
      <c r="DF919" s="19"/>
      <c r="DG919" s="19"/>
      <c r="DH919" s="19"/>
      <c r="DI919" s="19"/>
      <c r="DJ919" s="19"/>
      <c r="DK919" s="19"/>
      <c r="DL919" s="19"/>
      <c r="DM919" s="19"/>
      <c r="DN919" s="19"/>
      <c r="DO919" s="19"/>
      <c r="DP919" s="19"/>
      <c r="DQ919" s="19"/>
      <c r="DR919" s="19"/>
      <c r="DS919" s="19"/>
      <c r="DT919" s="19"/>
      <c r="DU919" s="19"/>
      <c r="DV919" s="19"/>
      <c r="DW919" s="19"/>
      <c r="DX919" s="19"/>
      <c r="DY919" s="19"/>
      <c r="DZ919" s="19"/>
      <c r="EA919" s="19"/>
      <c r="EB919" s="19"/>
      <c r="EC919" s="19"/>
      <c r="ED919" s="19"/>
      <c r="EE919" s="19"/>
      <c r="EF919" s="19"/>
      <c r="EG919" s="19"/>
      <c r="EH919" s="19"/>
      <c r="EI919" s="19"/>
      <c r="EJ919" s="19"/>
      <c r="EK919" s="19"/>
      <c r="EL919" s="19"/>
      <c r="EM919" s="19"/>
      <c r="EN919" s="19"/>
      <c r="EO919" s="19"/>
      <c r="EP919" s="19"/>
      <c r="EQ919" s="19"/>
      <c r="ER919" s="19"/>
      <c r="ES919" s="19"/>
      <c r="ET919" s="19"/>
      <c r="EU919" s="19"/>
      <c r="EV919" s="19"/>
      <c r="EW919" s="19"/>
      <c r="EX919" s="19"/>
      <c r="EY919" s="19"/>
      <c r="EZ919" s="19"/>
      <c r="FA919" s="19"/>
      <c r="FB919" s="19"/>
      <c r="FC919" s="19"/>
      <c r="FD919" s="19"/>
      <c r="FE919" s="19"/>
      <c r="FF919" s="19"/>
      <c r="FG919" s="19"/>
      <c r="FH919" s="19"/>
      <c r="FI919" s="19"/>
      <c r="FJ919" s="19"/>
      <c r="FK919" s="19"/>
      <c r="FL919" s="19"/>
      <c r="FM919" s="19"/>
      <c r="FN919" s="19"/>
      <c r="FO919" s="19"/>
      <c r="FP919" s="19"/>
      <c r="FQ919" s="19"/>
      <c r="FR919" s="19"/>
      <c r="FS919" s="19"/>
      <c r="FT919" s="19"/>
      <c r="FU919" s="19"/>
      <c r="FV919" s="19"/>
      <c r="FW919" s="19"/>
      <c r="FX919" s="19"/>
      <c r="FY919" s="19"/>
      <c r="FZ919" s="19"/>
      <c r="GA919" s="19"/>
      <c r="GB919" s="19"/>
      <c r="GC919" s="19"/>
      <c r="GD919" s="19"/>
      <c r="GE919" s="19"/>
      <c r="GF919" s="19"/>
      <c r="GG919" s="19"/>
      <c r="GH919" s="19"/>
      <c r="GI919" s="19"/>
      <c r="GJ919" s="19"/>
      <c r="GK919" s="19"/>
      <c r="GL919" s="19"/>
      <c r="GM919" s="19"/>
      <c r="GN919" s="19"/>
      <c r="GO919" s="19"/>
      <c r="GP919" s="19"/>
      <c r="GQ919" s="19"/>
      <c r="GR919" s="19"/>
      <c r="GS919" s="19"/>
      <c r="GT919" s="19"/>
      <c r="GU919" s="19"/>
      <c r="GV919" s="19"/>
      <c r="GW919" s="19"/>
      <c r="GX919" s="19"/>
      <c r="GY919" s="19"/>
      <c r="GZ919" s="19"/>
      <c r="HA919" s="19"/>
      <c r="HB919" s="19"/>
      <c r="HC919" s="19"/>
      <c r="HD919" s="19"/>
      <c r="HE919" s="19"/>
      <c r="HF919" s="19"/>
      <c r="HG919" s="19"/>
      <c r="HH919" s="19"/>
      <c r="HI919" s="19"/>
      <c r="HJ919" s="19"/>
      <c r="HK919" s="19"/>
      <c r="HL919" s="19"/>
      <c r="HM919" s="19"/>
      <c r="HN919" s="19"/>
      <c r="HO919" s="19"/>
      <c r="HP919" s="19"/>
      <c r="HQ919" s="19"/>
      <c r="HR919" s="19"/>
      <c r="HS919" s="19"/>
      <c r="HT919" s="19"/>
      <c r="HU919" s="19"/>
      <c r="HV919" s="19"/>
      <c r="HW919" s="19"/>
      <c r="HX919" s="19"/>
      <c r="HY919" s="19"/>
      <c r="HZ919" s="19"/>
      <c r="IA919" s="19"/>
      <c r="IB919" s="19"/>
      <c r="IC919" s="19"/>
      <c r="ID919" s="19"/>
      <c r="IE919" s="19"/>
      <c r="IF919" s="19"/>
      <c r="IG919" s="19"/>
      <c r="IH919" s="19"/>
      <c r="II919" s="19"/>
      <c r="IJ919" s="19"/>
      <c r="IK919" s="19"/>
      <c r="IL919" s="19"/>
      <c r="IM919" s="19"/>
      <c r="IN919" s="19"/>
      <c r="IO919" s="19"/>
      <c r="IP919" s="19"/>
      <c r="IQ919" s="19"/>
      <c r="IR919" s="19"/>
      <c r="IS919" s="19"/>
      <c r="IT919" s="19"/>
      <c r="IU919" s="19"/>
      <c r="IV919" s="19"/>
      <c r="IW919" s="19"/>
      <c r="IX919" s="19"/>
    </row>
    <row r="920" spans="1:258" s="19" customFormat="1" ht="21.95" customHeight="1" x14ac:dyDescent="0.25">
      <c r="A920" s="52" t="s">
        <v>1156</v>
      </c>
      <c r="B920" s="9" t="s">
        <v>695</v>
      </c>
      <c r="C920" s="3">
        <f t="shared" si="522"/>
        <v>1611500</v>
      </c>
      <c r="D920" s="4">
        <f t="shared" si="517"/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5">
        <v>0</v>
      </c>
      <c r="L920" s="4">
        <v>0</v>
      </c>
      <c r="M920" s="4">
        <v>293</v>
      </c>
      <c r="N920" s="4">
        <f t="shared" ref="N920:N933" si="527">M920*5500</f>
        <v>1611500</v>
      </c>
      <c r="O920" s="4">
        <v>0</v>
      </c>
      <c r="P920" s="4">
        <v>0</v>
      </c>
      <c r="Q920" s="4">
        <v>0</v>
      </c>
      <c r="R920" s="4">
        <f t="shared" si="519"/>
        <v>0</v>
      </c>
      <c r="S920" s="4">
        <v>0</v>
      </c>
      <c r="T920" s="6">
        <v>0</v>
      </c>
      <c r="U920" s="4">
        <v>0</v>
      </c>
      <c r="V920" s="7">
        <f t="shared" si="520"/>
        <v>5500</v>
      </c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/>
      <c r="CC920" s="8"/>
      <c r="CD920" s="8"/>
      <c r="CE920" s="8"/>
      <c r="CF920" s="8"/>
      <c r="CG920" s="8"/>
      <c r="CH920" s="8"/>
      <c r="CI920" s="8"/>
      <c r="CJ920" s="8"/>
      <c r="CK920" s="8"/>
      <c r="CL920" s="8"/>
      <c r="CM920" s="8"/>
      <c r="CN920" s="8"/>
      <c r="CO920" s="8"/>
      <c r="CP920" s="8"/>
      <c r="CQ920" s="8"/>
      <c r="CR920" s="8"/>
      <c r="CS920" s="8"/>
      <c r="CT920" s="8"/>
      <c r="CU920" s="8"/>
      <c r="CV920" s="8"/>
      <c r="CW920" s="8"/>
      <c r="CX920" s="8"/>
      <c r="CY920" s="8"/>
      <c r="CZ920" s="8"/>
      <c r="DA920" s="8"/>
      <c r="DB920" s="8"/>
      <c r="DC920" s="8"/>
      <c r="DD920" s="8"/>
      <c r="DE920" s="8"/>
      <c r="DF920" s="8"/>
      <c r="DG920" s="8"/>
      <c r="DH920" s="8"/>
      <c r="DI920" s="8"/>
      <c r="DJ920" s="8"/>
      <c r="DK920" s="8"/>
      <c r="DL920" s="8"/>
      <c r="DM920" s="8"/>
      <c r="DN920" s="8"/>
      <c r="DO920" s="8"/>
      <c r="DP920" s="8"/>
      <c r="DQ920" s="8"/>
      <c r="DR920" s="8"/>
      <c r="DS920" s="8"/>
      <c r="DT920" s="8"/>
      <c r="DU920" s="8"/>
      <c r="DV920" s="8"/>
      <c r="DW920" s="8"/>
      <c r="DX920" s="8"/>
      <c r="DY920" s="8"/>
      <c r="DZ920" s="8"/>
      <c r="EA920" s="8"/>
      <c r="EB920" s="8"/>
      <c r="EC920" s="8"/>
      <c r="ED920" s="8"/>
      <c r="EE920" s="8"/>
      <c r="EF920" s="8"/>
      <c r="EG920" s="8"/>
      <c r="EH920" s="8"/>
      <c r="EI920" s="8"/>
      <c r="EJ920" s="8"/>
      <c r="EK920" s="8"/>
      <c r="EL920" s="8"/>
      <c r="EM920" s="8"/>
      <c r="EN920" s="8"/>
      <c r="EO920" s="8"/>
      <c r="EP920" s="8"/>
      <c r="EQ920" s="8"/>
      <c r="ER920" s="8"/>
      <c r="ES920" s="8"/>
      <c r="ET920" s="8"/>
      <c r="EU920" s="8"/>
      <c r="EV920" s="8"/>
      <c r="EW920" s="8"/>
      <c r="EX920" s="8"/>
      <c r="EY920" s="8"/>
      <c r="EZ920" s="8"/>
      <c r="FA920" s="8"/>
      <c r="FB920" s="8"/>
      <c r="FC920" s="8"/>
      <c r="FD920" s="8"/>
      <c r="FE920" s="8"/>
      <c r="FF920" s="8"/>
      <c r="FG920" s="8"/>
      <c r="FH920" s="8"/>
      <c r="FI920" s="8"/>
      <c r="FJ920" s="8"/>
      <c r="FK920" s="8"/>
      <c r="FL920" s="8"/>
      <c r="FM920" s="8"/>
      <c r="FN920" s="8"/>
      <c r="FO920" s="8"/>
      <c r="FP920" s="8"/>
      <c r="FQ920" s="8"/>
      <c r="FR920" s="8"/>
      <c r="FS920" s="8"/>
      <c r="FT920" s="8"/>
      <c r="FU920" s="8"/>
      <c r="FV920" s="8"/>
      <c r="FW920" s="8"/>
      <c r="FX920" s="8"/>
      <c r="FY920" s="8"/>
      <c r="FZ920" s="8"/>
      <c r="GA920" s="8"/>
      <c r="GB920" s="8"/>
      <c r="GC920" s="8"/>
      <c r="GD920" s="8"/>
      <c r="GE920" s="8"/>
      <c r="GF920" s="8"/>
      <c r="GG920" s="8"/>
      <c r="GH920" s="8"/>
      <c r="GI920" s="8"/>
      <c r="GJ920" s="8"/>
      <c r="GK920" s="8"/>
      <c r="GL920" s="8"/>
      <c r="GM920" s="8"/>
      <c r="GN920" s="8"/>
      <c r="GO920" s="8"/>
      <c r="GP920" s="8"/>
      <c r="GQ920" s="8"/>
      <c r="GR920" s="8"/>
      <c r="GS920" s="8"/>
      <c r="GT920" s="8"/>
      <c r="GU920" s="8"/>
      <c r="GV920" s="8"/>
      <c r="GW920" s="8"/>
      <c r="GX920" s="8"/>
      <c r="GY920" s="8"/>
      <c r="GZ920" s="8"/>
      <c r="HA920" s="8"/>
      <c r="HB920" s="8"/>
      <c r="HC920" s="8"/>
      <c r="HD920" s="8"/>
      <c r="HE920" s="8"/>
      <c r="HF920" s="8"/>
      <c r="HG920" s="8"/>
      <c r="HH920" s="8"/>
      <c r="HI920" s="8"/>
      <c r="HJ920" s="8"/>
      <c r="HK920" s="8"/>
      <c r="HL920" s="8"/>
      <c r="HM920" s="8"/>
      <c r="HN920" s="8"/>
      <c r="HO920" s="8"/>
      <c r="HP920" s="8"/>
      <c r="HQ920" s="8"/>
      <c r="HR920" s="8"/>
      <c r="HS920" s="8"/>
      <c r="HT920" s="8"/>
      <c r="HU920" s="8"/>
      <c r="HV920" s="8"/>
      <c r="HW920" s="8"/>
      <c r="HX920" s="8"/>
      <c r="HY920" s="8"/>
      <c r="HZ920" s="8"/>
      <c r="IA920" s="8"/>
      <c r="IB920" s="8"/>
      <c r="IC920" s="8"/>
      <c r="ID920" s="8"/>
      <c r="IE920" s="8"/>
      <c r="IF920" s="8"/>
      <c r="IG920" s="8"/>
      <c r="IH920" s="8"/>
      <c r="II920" s="8"/>
      <c r="IJ920" s="8"/>
      <c r="IK920" s="8"/>
      <c r="IL920" s="8"/>
      <c r="IM920" s="8"/>
      <c r="IN920" s="8"/>
      <c r="IO920" s="8"/>
      <c r="IP920" s="8"/>
      <c r="IQ920" s="8"/>
      <c r="IR920" s="8"/>
      <c r="IS920" s="8"/>
      <c r="IT920" s="8"/>
      <c r="IU920" s="8"/>
      <c r="IV920" s="8"/>
      <c r="IW920" s="8"/>
      <c r="IX920" s="8"/>
    </row>
    <row r="921" spans="1:258" ht="21.95" customHeight="1" x14ac:dyDescent="0.25">
      <c r="A921" s="52" t="s">
        <v>1157</v>
      </c>
      <c r="B921" s="9" t="s">
        <v>696</v>
      </c>
      <c r="C921" s="3">
        <f t="shared" si="522"/>
        <v>1617000</v>
      </c>
      <c r="D921" s="4">
        <f t="shared" si="517"/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5">
        <v>0</v>
      </c>
      <c r="L921" s="4">
        <v>0</v>
      </c>
      <c r="M921" s="4">
        <v>294</v>
      </c>
      <c r="N921" s="4">
        <f t="shared" si="527"/>
        <v>1617000</v>
      </c>
      <c r="O921" s="4">
        <v>0</v>
      </c>
      <c r="P921" s="4">
        <v>0</v>
      </c>
      <c r="Q921" s="4">
        <v>0</v>
      </c>
      <c r="R921" s="4">
        <f t="shared" si="519"/>
        <v>0</v>
      </c>
      <c r="S921" s="4">
        <v>0</v>
      </c>
      <c r="T921" s="6">
        <v>0</v>
      </c>
      <c r="U921" s="4">
        <v>0</v>
      </c>
      <c r="V921" s="7">
        <f t="shared" si="520"/>
        <v>5500</v>
      </c>
    </row>
    <row r="922" spans="1:258" ht="21.95" customHeight="1" x14ac:dyDescent="0.25">
      <c r="A922" s="52" t="s">
        <v>1158</v>
      </c>
      <c r="B922" s="9" t="s">
        <v>697</v>
      </c>
      <c r="C922" s="3">
        <f t="shared" si="522"/>
        <v>1600500</v>
      </c>
      <c r="D922" s="4">
        <f t="shared" si="517"/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5">
        <v>0</v>
      </c>
      <c r="L922" s="4">
        <v>0</v>
      </c>
      <c r="M922" s="4">
        <v>291</v>
      </c>
      <c r="N922" s="4">
        <f t="shared" si="527"/>
        <v>1600500</v>
      </c>
      <c r="O922" s="4">
        <v>0</v>
      </c>
      <c r="P922" s="4">
        <v>0</v>
      </c>
      <c r="Q922" s="4">
        <v>0</v>
      </c>
      <c r="R922" s="4">
        <f t="shared" si="519"/>
        <v>0</v>
      </c>
      <c r="S922" s="4">
        <v>0</v>
      </c>
      <c r="T922" s="6">
        <v>0</v>
      </c>
      <c r="U922" s="4">
        <v>0</v>
      </c>
      <c r="V922" s="7">
        <f t="shared" si="520"/>
        <v>5500</v>
      </c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  <c r="AV922" s="35"/>
      <c r="AW922" s="35"/>
      <c r="AX922" s="35"/>
      <c r="AY922" s="35"/>
      <c r="AZ922" s="35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  <c r="BK922" s="35"/>
      <c r="BL922" s="35"/>
      <c r="BM922" s="35"/>
      <c r="BN922" s="35"/>
      <c r="BO922" s="35"/>
      <c r="BP922" s="35"/>
      <c r="BQ922" s="35"/>
      <c r="BR922" s="35"/>
      <c r="BS922" s="35"/>
      <c r="BT922" s="35"/>
      <c r="BU922" s="35"/>
      <c r="BV922" s="35"/>
      <c r="BW922" s="35"/>
      <c r="BX922" s="35"/>
      <c r="BY922" s="35"/>
      <c r="BZ922" s="35"/>
      <c r="CA922" s="35"/>
      <c r="CB922" s="35"/>
      <c r="CC922" s="35"/>
      <c r="CD922" s="35"/>
      <c r="CE922" s="35"/>
      <c r="CF922" s="35"/>
      <c r="CG922" s="35"/>
      <c r="CH922" s="35"/>
      <c r="CI922" s="35"/>
      <c r="CJ922" s="35"/>
      <c r="CK922" s="35"/>
      <c r="CL922" s="35"/>
      <c r="CM922" s="35"/>
      <c r="CN922" s="35"/>
      <c r="CO922" s="35"/>
      <c r="CP922" s="35"/>
      <c r="CQ922" s="35"/>
      <c r="CR922" s="35"/>
      <c r="CS922" s="35"/>
      <c r="CT922" s="35"/>
      <c r="CU922" s="35"/>
      <c r="CV922" s="35"/>
      <c r="CW922" s="35"/>
      <c r="CX922" s="35"/>
      <c r="CY922" s="35"/>
      <c r="CZ922" s="35"/>
      <c r="DA922" s="35"/>
      <c r="DB922" s="35"/>
      <c r="DC922" s="35"/>
      <c r="DD922" s="35"/>
      <c r="DE922" s="35"/>
      <c r="DF922" s="35"/>
      <c r="DG922" s="35"/>
      <c r="DH922" s="35"/>
      <c r="DI922" s="35"/>
      <c r="DJ922" s="35"/>
      <c r="DK922" s="35"/>
      <c r="DL922" s="35"/>
      <c r="DM922" s="35"/>
      <c r="DN922" s="35"/>
      <c r="DO922" s="35"/>
      <c r="DP922" s="35"/>
      <c r="DQ922" s="35"/>
      <c r="DR922" s="35"/>
      <c r="DS922" s="35"/>
      <c r="DT922" s="35"/>
      <c r="DU922" s="35"/>
      <c r="DV922" s="35"/>
      <c r="DW922" s="35"/>
      <c r="DX922" s="35"/>
      <c r="DY922" s="35"/>
      <c r="DZ922" s="35"/>
      <c r="EA922" s="35"/>
      <c r="EB922" s="35"/>
      <c r="EC922" s="35"/>
      <c r="ED922" s="35"/>
      <c r="EE922" s="35"/>
      <c r="EF922" s="35"/>
      <c r="EG922" s="35"/>
      <c r="EH922" s="35"/>
      <c r="EI922" s="35"/>
      <c r="EJ922" s="35"/>
      <c r="EK922" s="35"/>
      <c r="EL922" s="35"/>
      <c r="EM922" s="35"/>
      <c r="EN922" s="35"/>
      <c r="EO922" s="35"/>
      <c r="EP922" s="35"/>
      <c r="EQ922" s="35"/>
      <c r="ER922" s="35"/>
      <c r="ES922" s="35"/>
      <c r="ET922" s="35"/>
      <c r="EU922" s="35"/>
      <c r="EV922" s="35"/>
      <c r="EW922" s="35"/>
      <c r="EX922" s="35"/>
      <c r="EY922" s="35"/>
      <c r="EZ922" s="35"/>
      <c r="FA922" s="35"/>
      <c r="FB922" s="35"/>
      <c r="FC922" s="35"/>
      <c r="FD922" s="35"/>
      <c r="FE922" s="35"/>
      <c r="FF922" s="35"/>
      <c r="FG922" s="35"/>
      <c r="FH922" s="35"/>
      <c r="FI922" s="35"/>
      <c r="FJ922" s="35"/>
      <c r="FK922" s="35"/>
      <c r="FL922" s="35"/>
      <c r="FM922" s="35"/>
      <c r="FN922" s="35"/>
      <c r="FO922" s="35"/>
      <c r="FP922" s="35"/>
      <c r="FQ922" s="35"/>
      <c r="FR922" s="35"/>
      <c r="FS922" s="35"/>
      <c r="FT922" s="35"/>
      <c r="FU922" s="35"/>
      <c r="FV922" s="35"/>
      <c r="FW922" s="35"/>
      <c r="FX922" s="35"/>
      <c r="FY922" s="35"/>
      <c r="FZ922" s="35"/>
      <c r="GA922" s="35"/>
      <c r="GB922" s="35"/>
      <c r="GC922" s="35"/>
      <c r="GD922" s="35"/>
      <c r="GE922" s="35"/>
      <c r="GF922" s="35"/>
      <c r="GG922" s="35"/>
      <c r="GH922" s="35"/>
      <c r="GI922" s="35"/>
      <c r="GJ922" s="35"/>
      <c r="GK922" s="35"/>
      <c r="GL922" s="35"/>
      <c r="GM922" s="35"/>
      <c r="GN922" s="35"/>
      <c r="GO922" s="35"/>
      <c r="GP922" s="35"/>
      <c r="GQ922" s="35"/>
      <c r="GR922" s="35"/>
      <c r="GS922" s="35"/>
      <c r="GT922" s="35"/>
      <c r="GU922" s="35"/>
      <c r="GV922" s="35"/>
      <c r="GW922" s="35"/>
      <c r="GX922" s="35"/>
      <c r="GY922" s="35"/>
      <c r="GZ922" s="35"/>
      <c r="HA922" s="35"/>
      <c r="HB922" s="35"/>
      <c r="HC922" s="35"/>
      <c r="HD922" s="35"/>
      <c r="HE922" s="35"/>
      <c r="HF922" s="35"/>
      <c r="HG922" s="35"/>
      <c r="HH922" s="35"/>
      <c r="HI922" s="35"/>
      <c r="HJ922" s="35"/>
      <c r="HK922" s="35"/>
      <c r="HL922" s="35"/>
      <c r="HM922" s="35"/>
      <c r="HN922" s="35"/>
      <c r="HO922" s="35"/>
      <c r="HP922" s="35"/>
      <c r="HQ922" s="35"/>
      <c r="HR922" s="35"/>
      <c r="HS922" s="35"/>
      <c r="HT922" s="35"/>
      <c r="HU922" s="35"/>
      <c r="HV922" s="35"/>
      <c r="HW922" s="35"/>
      <c r="HX922" s="35"/>
      <c r="HY922" s="35"/>
      <c r="HZ922" s="35"/>
      <c r="IA922" s="35"/>
      <c r="IB922" s="35"/>
      <c r="IC922" s="35"/>
      <c r="ID922" s="35"/>
      <c r="IE922" s="35"/>
      <c r="IF922" s="35"/>
      <c r="IG922" s="35"/>
      <c r="IH922" s="35"/>
      <c r="II922" s="35"/>
      <c r="IJ922" s="35"/>
      <c r="IK922" s="35"/>
      <c r="IL922" s="35"/>
      <c r="IM922" s="35"/>
      <c r="IN922" s="35"/>
      <c r="IO922" s="35"/>
      <c r="IP922" s="35"/>
      <c r="IQ922" s="35"/>
      <c r="IR922" s="35"/>
      <c r="IS922" s="35"/>
      <c r="IT922" s="35"/>
      <c r="IU922" s="35"/>
      <c r="IV922" s="35"/>
      <c r="IW922" s="35"/>
      <c r="IX922" s="35"/>
    </row>
    <row r="923" spans="1:258" ht="21.95" customHeight="1" x14ac:dyDescent="0.25">
      <c r="A923" s="52" t="s">
        <v>1159</v>
      </c>
      <c r="B923" s="9" t="s">
        <v>698</v>
      </c>
      <c r="C923" s="3">
        <f t="shared" si="522"/>
        <v>1589500</v>
      </c>
      <c r="D923" s="4">
        <f t="shared" si="517"/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5">
        <v>0</v>
      </c>
      <c r="L923" s="4">
        <v>0</v>
      </c>
      <c r="M923" s="4">
        <v>289</v>
      </c>
      <c r="N923" s="4">
        <f t="shared" si="527"/>
        <v>1589500</v>
      </c>
      <c r="O923" s="4">
        <v>0</v>
      </c>
      <c r="P923" s="4">
        <v>0</v>
      </c>
      <c r="Q923" s="4">
        <v>0</v>
      </c>
      <c r="R923" s="4">
        <f t="shared" si="519"/>
        <v>0</v>
      </c>
      <c r="S923" s="4">
        <v>0</v>
      </c>
      <c r="T923" s="6">
        <v>0</v>
      </c>
      <c r="U923" s="4">
        <v>0</v>
      </c>
      <c r="V923" s="7">
        <f t="shared" si="520"/>
        <v>5500</v>
      </c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  <c r="AV923" s="35"/>
      <c r="AW923" s="35"/>
      <c r="AX923" s="35"/>
      <c r="AY923" s="35"/>
      <c r="AZ923" s="35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  <c r="BK923" s="35"/>
      <c r="BL923" s="35"/>
      <c r="BM923" s="35"/>
      <c r="BN923" s="35"/>
      <c r="BO923" s="35"/>
      <c r="BP923" s="35"/>
      <c r="BQ923" s="35"/>
      <c r="BR923" s="35"/>
      <c r="BS923" s="35"/>
      <c r="BT923" s="35"/>
      <c r="BU923" s="35"/>
      <c r="BV923" s="35"/>
      <c r="BW923" s="35"/>
      <c r="BX923" s="35"/>
      <c r="BY923" s="35"/>
      <c r="BZ923" s="35"/>
      <c r="CA923" s="35"/>
      <c r="CB923" s="35"/>
      <c r="CC923" s="35"/>
      <c r="CD923" s="35"/>
      <c r="CE923" s="35"/>
      <c r="CF923" s="35"/>
      <c r="CG923" s="35"/>
      <c r="CH923" s="35"/>
      <c r="CI923" s="35"/>
      <c r="CJ923" s="35"/>
      <c r="CK923" s="35"/>
      <c r="CL923" s="35"/>
      <c r="CM923" s="35"/>
      <c r="CN923" s="35"/>
      <c r="CO923" s="35"/>
      <c r="CP923" s="35"/>
      <c r="CQ923" s="35"/>
      <c r="CR923" s="35"/>
      <c r="CS923" s="35"/>
      <c r="CT923" s="35"/>
      <c r="CU923" s="35"/>
      <c r="CV923" s="35"/>
      <c r="CW923" s="35"/>
      <c r="CX923" s="35"/>
      <c r="CY923" s="35"/>
      <c r="CZ923" s="35"/>
      <c r="DA923" s="35"/>
      <c r="DB923" s="35"/>
      <c r="DC923" s="35"/>
      <c r="DD923" s="35"/>
      <c r="DE923" s="35"/>
      <c r="DF923" s="35"/>
      <c r="DG923" s="35"/>
      <c r="DH923" s="35"/>
      <c r="DI923" s="35"/>
      <c r="DJ923" s="35"/>
      <c r="DK923" s="35"/>
      <c r="DL923" s="35"/>
      <c r="DM923" s="35"/>
      <c r="DN923" s="35"/>
      <c r="DO923" s="35"/>
      <c r="DP923" s="35"/>
      <c r="DQ923" s="35"/>
      <c r="DR923" s="35"/>
      <c r="DS923" s="35"/>
      <c r="DT923" s="35"/>
      <c r="DU923" s="35"/>
      <c r="DV923" s="35"/>
      <c r="DW923" s="35"/>
      <c r="DX923" s="35"/>
      <c r="DY923" s="35"/>
      <c r="DZ923" s="35"/>
      <c r="EA923" s="35"/>
      <c r="EB923" s="35"/>
      <c r="EC923" s="35"/>
      <c r="ED923" s="35"/>
      <c r="EE923" s="35"/>
      <c r="EF923" s="35"/>
      <c r="EG923" s="35"/>
      <c r="EH923" s="35"/>
      <c r="EI923" s="35"/>
      <c r="EJ923" s="35"/>
      <c r="EK923" s="35"/>
      <c r="EL923" s="35"/>
      <c r="EM923" s="35"/>
      <c r="EN923" s="35"/>
      <c r="EO923" s="35"/>
      <c r="EP923" s="35"/>
      <c r="EQ923" s="35"/>
      <c r="ER923" s="35"/>
      <c r="ES923" s="35"/>
      <c r="ET923" s="35"/>
      <c r="EU923" s="35"/>
      <c r="EV923" s="35"/>
      <c r="EW923" s="35"/>
      <c r="EX923" s="35"/>
      <c r="EY923" s="35"/>
      <c r="EZ923" s="35"/>
      <c r="FA923" s="35"/>
      <c r="FB923" s="35"/>
      <c r="FC923" s="35"/>
      <c r="FD923" s="35"/>
      <c r="FE923" s="35"/>
      <c r="FF923" s="35"/>
      <c r="FG923" s="35"/>
      <c r="FH923" s="35"/>
      <c r="FI923" s="35"/>
      <c r="FJ923" s="35"/>
      <c r="FK923" s="35"/>
      <c r="FL923" s="35"/>
      <c r="FM923" s="35"/>
      <c r="FN923" s="35"/>
      <c r="FO923" s="35"/>
      <c r="FP923" s="35"/>
      <c r="FQ923" s="35"/>
      <c r="FR923" s="35"/>
      <c r="FS923" s="35"/>
      <c r="FT923" s="35"/>
      <c r="FU923" s="35"/>
      <c r="FV923" s="35"/>
      <c r="FW923" s="35"/>
      <c r="FX923" s="35"/>
      <c r="FY923" s="35"/>
      <c r="FZ923" s="35"/>
      <c r="GA923" s="35"/>
      <c r="GB923" s="35"/>
      <c r="GC923" s="35"/>
      <c r="GD923" s="35"/>
      <c r="GE923" s="35"/>
      <c r="GF923" s="35"/>
      <c r="GG923" s="35"/>
      <c r="GH923" s="35"/>
      <c r="GI923" s="35"/>
      <c r="GJ923" s="35"/>
      <c r="GK923" s="35"/>
      <c r="GL923" s="35"/>
      <c r="GM923" s="35"/>
      <c r="GN923" s="35"/>
      <c r="GO923" s="35"/>
      <c r="GP923" s="35"/>
      <c r="GQ923" s="35"/>
      <c r="GR923" s="35"/>
      <c r="GS923" s="35"/>
      <c r="GT923" s="35"/>
      <c r="GU923" s="35"/>
      <c r="GV923" s="35"/>
      <c r="GW923" s="35"/>
      <c r="GX923" s="35"/>
      <c r="GY923" s="35"/>
      <c r="GZ923" s="35"/>
      <c r="HA923" s="35"/>
      <c r="HB923" s="35"/>
      <c r="HC923" s="35"/>
      <c r="HD923" s="35"/>
      <c r="HE923" s="35"/>
      <c r="HF923" s="35"/>
      <c r="HG923" s="35"/>
      <c r="HH923" s="35"/>
      <c r="HI923" s="35"/>
      <c r="HJ923" s="35"/>
      <c r="HK923" s="35"/>
      <c r="HL923" s="35"/>
      <c r="HM923" s="35"/>
      <c r="HN923" s="35"/>
      <c r="HO923" s="35"/>
      <c r="HP923" s="35"/>
      <c r="HQ923" s="35"/>
      <c r="HR923" s="35"/>
      <c r="HS923" s="35"/>
      <c r="HT923" s="35"/>
      <c r="HU923" s="35"/>
      <c r="HV923" s="35"/>
      <c r="HW923" s="35"/>
      <c r="HX923" s="35"/>
      <c r="HY923" s="35"/>
      <c r="HZ923" s="35"/>
      <c r="IA923" s="35"/>
      <c r="IB923" s="35"/>
      <c r="IC923" s="35"/>
      <c r="ID923" s="35"/>
      <c r="IE923" s="35"/>
      <c r="IF923" s="35"/>
      <c r="IG923" s="35"/>
      <c r="IH923" s="35"/>
      <c r="II923" s="35"/>
      <c r="IJ923" s="35"/>
      <c r="IK923" s="35"/>
      <c r="IL923" s="35"/>
      <c r="IM923" s="35"/>
      <c r="IN923" s="35"/>
      <c r="IO923" s="35"/>
      <c r="IP923" s="35"/>
      <c r="IQ923" s="35"/>
      <c r="IR923" s="35"/>
      <c r="IS923" s="35"/>
      <c r="IT923" s="35"/>
      <c r="IU923" s="35"/>
      <c r="IV923" s="35"/>
      <c r="IW923" s="35"/>
      <c r="IX923" s="35"/>
    </row>
    <row r="924" spans="1:258" ht="21.95" customHeight="1" x14ac:dyDescent="0.25">
      <c r="A924" s="52" t="s">
        <v>1160</v>
      </c>
      <c r="B924" s="9" t="s">
        <v>784</v>
      </c>
      <c r="C924" s="3">
        <f t="shared" si="522"/>
        <v>3432000</v>
      </c>
      <c r="D924" s="4">
        <f t="shared" si="517"/>
        <v>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5">
        <v>0</v>
      </c>
      <c r="L924" s="4">
        <v>0</v>
      </c>
      <c r="M924" s="6">
        <v>624</v>
      </c>
      <c r="N924" s="4">
        <f t="shared" si="527"/>
        <v>3432000</v>
      </c>
      <c r="O924" s="4">
        <v>0</v>
      </c>
      <c r="P924" s="4">
        <v>0</v>
      </c>
      <c r="Q924" s="4">
        <v>0</v>
      </c>
      <c r="R924" s="4">
        <f t="shared" si="519"/>
        <v>0</v>
      </c>
      <c r="S924" s="4">
        <v>0</v>
      </c>
      <c r="T924" s="6">
        <v>0</v>
      </c>
      <c r="U924" s="4">
        <v>0</v>
      </c>
      <c r="V924" s="7">
        <f t="shared" si="520"/>
        <v>5500</v>
      </c>
    </row>
    <row r="925" spans="1:258" ht="21.95" customHeight="1" x14ac:dyDescent="0.25">
      <c r="A925" s="52" t="s">
        <v>1161</v>
      </c>
      <c r="B925" s="9" t="s">
        <v>699</v>
      </c>
      <c r="C925" s="3">
        <f t="shared" si="522"/>
        <v>1606000</v>
      </c>
      <c r="D925" s="4">
        <f t="shared" si="517"/>
        <v>0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5">
        <v>0</v>
      </c>
      <c r="L925" s="4">
        <v>0</v>
      </c>
      <c r="M925" s="4">
        <v>292</v>
      </c>
      <c r="N925" s="4">
        <f t="shared" si="527"/>
        <v>1606000</v>
      </c>
      <c r="O925" s="4">
        <v>0</v>
      </c>
      <c r="P925" s="4">
        <v>0</v>
      </c>
      <c r="Q925" s="4">
        <v>0</v>
      </c>
      <c r="R925" s="4">
        <f t="shared" si="519"/>
        <v>0</v>
      </c>
      <c r="S925" s="4">
        <v>0</v>
      </c>
      <c r="T925" s="6">
        <v>0</v>
      </c>
      <c r="U925" s="4">
        <v>0</v>
      </c>
      <c r="V925" s="7">
        <f t="shared" si="520"/>
        <v>5500</v>
      </c>
    </row>
    <row r="926" spans="1:258" ht="21.95" customHeight="1" x14ac:dyDescent="0.25">
      <c r="A926" s="52" t="s">
        <v>1162</v>
      </c>
      <c r="B926" s="9" t="s">
        <v>700</v>
      </c>
      <c r="C926" s="3">
        <f t="shared" si="522"/>
        <v>1606000</v>
      </c>
      <c r="D926" s="4">
        <f t="shared" si="517"/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5">
        <v>0</v>
      </c>
      <c r="L926" s="4">
        <v>0</v>
      </c>
      <c r="M926" s="4">
        <v>292</v>
      </c>
      <c r="N926" s="4">
        <f t="shared" si="527"/>
        <v>1606000</v>
      </c>
      <c r="O926" s="4">
        <v>0</v>
      </c>
      <c r="P926" s="4">
        <v>0</v>
      </c>
      <c r="Q926" s="4">
        <v>0</v>
      </c>
      <c r="R926" s="4">
        <f t="shared" si="519"/>
        <v>0</v>
      </c>
      <c r="S926" s="4">
        <v>0</v>
      </c>
      <c r="T926" s="6">
        <v>0</v>
      </c>
      <c r="U926" s="4">
        <v>0</v>
      </c>
      <c r="V926" s="7">
        <f t="shared" si="520"/>
        <v>5500</v>
      </c>
    </row>
    <row r="927" spans="1:258" ht="21.95" customHeight="1" x14ac:dyDescent="0.25">
      <c r="A927" s="52" t="s">
        <v>1163</v>
      </c>
      <c r="B927" s="9" t="s">
        <v>701</v>
      </c>
      <c r="C927" s="3">
        <f t="shared" si="522"/>
        <v>3701500</v>
      </c>
      <c r="D927" s="4">
        <f t="shared" si="517"/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5">
        <v>0</v>
      </c>
      <c r="L927" s="4">
        <v>0</v>
      </c>
      <c r="M927" s="4">
        <v>673</v>
      </c>
      <c r="N927" s="4">
        <f t="shared" si="527"/>
        <v>3701500</v>
      </c>
      <c r="O927" s="4">
        <v>0</v>
      </c>
      <c r="P927" s="4">
        <v>0</v>
      </c>
      <c r="Q927" s="4">
        <v>0</v>
      </c>
      <c r="R927" s="4">
        <f t="shared" si="519"/>
        <v>0</v>
      </c>
      <c r="S927" s="4">
        <v>0</v>
      </c>
      <c r="T927" s="6">
        <v>0</v>
      </c>
      <c r="U927" s="4">
        <v>0</v>
      </c>
      <c r="V927" s="7">
        <f t="shared" si="520"/>
        <v>5500</v>
      </c>
    </row>
    <row r="928" spans="1:258" ht="21.95" customHeight="1" x14ac:dyDescent="0.25">
      <c r="A928" s="52" t="s">
        <v>1164</v>
      </c>
      <c r="B928" s="9" t="s">
        <v>702</v>
      </c>
      <c r="C928" s="3">
        <f t="shared" si="522"/>
        <v>1633500</v>
      </c>
      <c r="D928" s="4">
        <f t="shared" si="517"/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5">
        <v>0</v>
      </c>
      <c r="L928" s="4">
        <v>0</v>
      </c>
      <c r="M928" s="4">
        <v>297</v>
      </c>
      <c r="N928" s="4">
        <f t="shared" si="527"/>
        <v>1633500</v>
      </c>
      <c r="O928" s="4">
        <v>0</v>
      </c>
      <c r="P928" s="4">
        <v>0</v>
      </c>
      <c r="Q928" s="4">
        <v>0</v>
      </c>
      <c r="R928" s="4">
        <f t="shared" si="519"/>
        <v>0</v>
      </c>
      <c r="S928" s="4">
        <v>0</v>
      </c>
      <c r="T928" s="6">
        <v>0</v>
      </c>
      <c r="U928" s="4">
        <v>0</v>
      </c>
      <c r="V928" s="7">
        <f t="shared" si="520"/>
        <v>5500</v>
      </c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DC928" s="19"/>
      <c r="DD928" s="19"/>
      <c r="DE928" s="19"/>
      <c r="DF928" s="19"/>
      <c r="DG928" s="19"/>
      <c r="DH928" s="19"/>
      <c r="DI928" s="19"/>
      <c r="DJ928" s="19"/>
      <c r="DK928" s="19"/>
      <c r="DL928" s="19"/>
      <c r="DM928" s="19"/>
      <c r="DN928" s="19"/>
      <c r="DO928" s="19"/>
      <c r="DP928" s="19"/>
      <c r="DQ928" s="19"/>
      <c r="DR928" s="19"/>
      <c r="DS928" s="19"/>
      <c r="DT928" s="19"/>
      <c r="DU928" s="19"/>
      <c r="DV928" s="19"/>
      <c r="DW928" s="19"/>
      <c r="DX928" s="19"/>
      <c r="DY928" s="19"/>
      <c r="DZ928" s="19"/>
      <c r="EA928" s="19"/>
      <c r="EB928" s="19"/>
      <c r="EC928" s="19"/>
      <c r="ED928" s="19"/>
      <c r="EE928" s="19"/>
      <c r="EF928" s="19"/>
      <c r="EG928" s="19"/>
      <c r="EH928" s="19"/>
      <c r="EI928" s="19"/>
      <c r="EJ928" s="19"/>
      <c r="EK928" s="19"/>
      <c r="EL928" s="19"/>
      <c r="EM928" s="19"/>
      <c r="EN928" s="19"/>
      <c r="EO928" s="19"/>
      <c r="EP928" s="19"/>
      <c r="EQ928" s="19"/>
      <c r="ER928" s="19"/>
      <c r="ES928" s="19"/>
      <c r="ET928" s="19"/>
      <c r="EU928" s="19"/>
      <c r="EV928" s="19"/>
      <c r="EW928" s="19"/>
      <c r="EX928" s="19"/>
      <c r="EY928" s="19"/>
      <c r="EZ928" s="19"/>
      <c r="FA928" s="19"/>
      <c r="FB928" s="19"/>
      <c r="FC928" s="19"/>
      <c r="FD928" s="19"/>
      <c r="FE928" s="19"/>
      <c r="FF928" s="19"/>
      <c r="FG928" s="19"/>
      <c r="FH928" s="19"/>
      <c r="FI928" s="19"/>
      <c r="FJ928" s="19"/>
      <c r="FK928" s="19"/>
      <c r="FL928" s="19"/>
      <c r="FM928" s="19"/>
      <c r="FN928" s="19"/>
      <c r="FO928" s="19"/>
      <c r="FP928" s="19"/>
      <c r="FQ928" s="19"/>
      <c r="FR928" s="19"/>
      <c r="FS928" s="19"/>
      <c r="FT928" s="19"/>
      <c r="FU928" s="19"/>
      <c r="FV928" s="19"/>
      <c r="FW928" s="19"/>
      <c r="FX928" s="19"/>
      <c r="FY928" s="19"/>
      <c r="FZ928" s="19"/>
      <c r="GA928" s="19"/>
      <c r="GB928" s="19"/>
      <c r="GC928" s="19"/>
      <c r="GD928" s="19"/>
      <c r="GE928" s="19"/>
      <c r="GF928" s="19"/>
      <c r="GG928" s="19"/>
      <c r="GH928" s="19"/>
      <c r="GI928" s="19"/>
      <c r="GJ928" s="19"/>
      <c r="GK928" s="19"/>
      <c r="GL928" s="19"/>
      <c r="GM928" s="19"/>
      <c r="GN928" s="19"/>
      <c r="GO928" s="19"/>
      <c r="GP928" s="19"/>
      <c r="GQ928" s="19"/>
      <c r="GR928" s="19"/>
      <c r="GS928" s="19"/>
      <c r="GT928" s="19"/>
      <c r="GU928" s="19"/>
      <c r="GV928" s="19"/>
      <c r="GW928" s="19"/>
      <c r="GX928" s="19"/>
      <c r="GY928" s="19"/>
      <c r="GZ928" s="19"/>
      <c r="HA928" s="19"/>
      <c r="HB928" s="19"/>
      <c r="HC928" s="19"/>
      <c r="HD928" s="19"/>
      <c r="HE928" s="19"/>
      <c r="HF928" s="19"/>
      <c r="HG928" s="19"/>
      <c r="HH928" s="19"/>
      <c r="HI928" s="19"/>
      <c r="HJ928" s="19"/>
      <c r="HK928" s="19"/>
      <c r="HL928" s="19"/>
      <c r="HM928" s="19"/>
      <c r="HN928" s="19"/>
      <c r="HO928" s="19"/>
      <c r="HP928" s="19"/>
      <c r="HQ928" s="19"/>
      <c r="HR928" s="19"/>
      <c r="HS928" s="19"/>
      <c r="HT928" s="19"/>
      <c r="HU928" s="19"/>
      <c r="HV928" s="19"/>
      <c r="HW928" s="19"/>
      <c r="HX928" s="19"/>
      <c r="HY928" s="19"/>
      <c r="HZ928" s="19"/>
      <c r="IA928" s="19"/>
      <c r="IB928" s="19"/>
      <c r="IC928" s="19"/>
      <c r="ID928" s="19"/>
      <c r="IE928" s="19"/>
      <c r="IF928" s="19"/>
      <c r="IG928" s="19"/>
      <c r="IH928" s="19"/>
      <c r="II928" s="19"/>
      <c r="IJ928" s="19"/>
      <c r="IK928" s="19"/>
      <c r="IL928" s="19"/>
      <c r="IM928" s="19"/>
      <c r="IN928" s="19"/>
      <c r="IO928" s="19"/>
      <c r="IP928" s="19"/>
      <c r="IQ928" s="19"/>
      <c r="IR928" s="19"/>
      <c r="IS928" s="19"/>
      <c r="IT928" s="19"/>
      <c r="IU928" s="19"/>
      <c r="IV928" s="19"/>
      <c r="IW928" s="19"/>
      <c r="IX928" s="19"/>
    </row>
    <row r="929" spans="1:258" ht="21.95" customHeight="1" x14ac:dyDescent="0.25">
      <c r="A929" s="52" t="s">
        <v>1165</v>
      </c>
      <c r="B929" s="9" t="s">
        <v>692</v>
      </c>
      <c r="C929" s="3">
        <f>D929+L929+N929+P929+R929+S929+T929+U929</f>
        <v>1606000</v>
      </c>
      <c r="D929" s="4">
        <f>SUM(E929:J929)</f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5">
        <v>0</v>
      </c>
      <c r="L929" s="4">
        <v>0</v>
      </c>
      <c r="M929" s="4">
        <v>292</v>
      </c>
      <c r="N929" s="4">
        <f>M929*5500</f>
        <v>1606000</v>
      </c>
      <c r="O929" s="4">
        <v>0</v>
      </c>
      <c r="P929" s="4">
        <v>0</v>
      </c>
      <c r="Q929" s="4">
        <v>0</v>
      </c>
      <c r="R929" s="4">
        <f>Q929*3000</f>
        <v>0</v>
      </c>
      <c r="S929" s="4">
        <v>0</v>
      </c>
      <c r="T929" s="6">
        <v>0</v>
      </c>
      <c r="U929" s="4">
        <v>0</v>
      </c>
      <c r="V929" s="7">
        <f>N929/M929</f>
        <v>5500</v>
      </c>
    </row>
    <row r="930" spans="1:258" ht="21.95" customHeight="1" x14ac:dyDescent="0.25">
      <c r="A930" s="52" t="s">
        <v>1166</v>
      </c>
      <c r="B930" s="9" t="s">
        <v>785</v>
      </c>
      <c r="C930" s="3">
        <f t="shared" si="522"/>
        <v>2931500</v>
      </c>
      <c r="D930" s="4">
        <f t="shared" si="517"/>
        <v>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5">
        <v>0</v>
      </c>
      <c r="L930" s="4">
        <v>0</v>
      </c>
      <c r="M930" s="6">
        <v>533</v>
      </c>
      <c r="N930" s="4">
        <f t="shared" si="527"/>
        <v>2931500</v>
      </c>
      <c r="O930" s="4">
        <v>0</v>
      </c>
      <c r="P930" s="4">
        <v>0</v>
      </c>
      <c r="Q930" s="4">
        <v>0</v>
      </c>
      <c r="R930" s="4">
        <f t="shared" si="519"/>
        <v>0</v>
      </c>
      <c r="S930" s="4">
        <v>0</v>
      </c>
      <c r="T930" s="6">
        <v>0</v>
      </c>
      <c r="U930" s="4">
        <v>0</v>
      </c>
      <c r="V930" s="7">
        <f t="shared" si="520"/>
        <v>5500</v>
      </c>
    </row>
    <row r="931" spans="1:258" ht="21.95" customHeight="1" x14ac:dyDescent="0.25">
      <c r="A931" s="52" t="s">
        <v>1167</v>
      </c>
      <c r="B931" s="9" t="s">
        <v>703</v>
      </c>
      <c r="C931" s="3">
        <f t="shared" si="522"/>
        <v>1358500</v>
      </c>
      <c r="D931" s="4">
        <f t="shared" si="517"/>
        <v>0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5">
        <v>0</v>
      </c>
      <c r="L931" s="4">
        <v>0</v>
      </c>
      <c r="M931" s="4">
        <v>247</v>
      </c>
      <c r="N931" s="4">
        <f t="shared" si="527"/>
        <v>1358500</v>
      </c>
      <c r="O931" s="4">
        <v>0</v>
      </c>
      <c r="P931" s="4">
        <v>0</v>
      </c>
      <c r="Q931" s="4">
        <v>0</v>
      </c>
      <c r="R931" s="4">
        <f t="shared" si="519"/>
        <v>0</v>
      </c>
      <c r="S931" s="4">
        <v>0</v>
      </c>
      <c r="T931" s="6">
        <v>0</v>
      </c>
      <c r="U931" s="4">
        <v>0</v>
      </c>
      <c r="V931" s="7">
        <f t="shared" si="520"/>
        <v>5500</v>
      </c>
    </row>
    <row r="932" spans="1:258" ht="21.95" customHeight="1" x14ac:dyDescent="0.25">
      <c r="A932" s="52" t="s">
        <v>1168</v>
      </c>
      <c r="B932" s="9" t="s">
        <v>704</v>
      </c>
      <c r="C932" s="3">
        <f t="shared" si="522"/>
        <v>2755500</v>
      </c>
      <c r="D932" s="4">
        <f t="shared" si="517"/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5">
        <v>0</v>
      </c>
      <c r="L932" s="4">
        <v>0</v>
      </c>
      <c r="M932" s="4">
        <v>501</v>
      </c>
      <c r="N932" s="4">
        <f t="shared" si="527"/>
        <v>2755500</v>
      </c>
      <c r="O932" s="4">
        <v>0</v>
      </c>
      <c r="P932" s="4">
        <v>0</v>
      </c>
      <c r="Q932" s="4">
        <v>0</v>
      </c>
      <c r="R932" s="4">
        <f t="shared" si="519"/>
        <v>0</v>
      </c>
      <c r="S932" s="4">
        <v>0</v>
      </c>
      <c r="T932" s="6">
        <v>0</v>
      </c>
      <c r="U932" s="4">
        <v>0</v>
      </c>
      <c r="V932" s="7">
        <f t="shared" si="520"/>
        <v>5500</v>
      </c>
    </row>
    <row r="933" spans="1:258" ht="21.95" customHeight="1" x14ac:dyDescent="0.25">
      <c r="A933" s="52" t="s">
        <v>1169</v>
      </c>
      <c r="B933" s="9" t="s">
        <v>705</v>
      </c>
      <c r="C933" s="3">
        <f t="shared" si="522"/>
        <v>2148300</v>
      </c>
      <c r="D933" s="4">
        <f t="shared" si="517"/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5">
        <v>0</v>
      </c>
      <c r="L933" s="4">
        <v>0</v>
      </c>
      <c r="M933" s="4">
        <v>390.6</v>
      </c>
      <c r="N933" s="4">
        <f t="shared" si="527"/>
        <v>2148300</v>
      </c>
      <c r="O933" s="4">
        <v>0</v>
      </c>
      <c r="P933" s="4">
        <v>0</v>
      </c>
      <c r="Q933" s="6">
        <v>0</v>
      </c>
      <c r="R933" s="4">
        <f t="shared" si="519"/>
        <v>0</v>
      </c>
      <c r="S933" s="4">
        <v>0</v>
      </c>
      <c r="T933" s="6">
        <v>0</v>
      </c>
      <c r="U933" s="4">
        <v>0</v>
      </c>
      <c r="V933" s="7">
        <f t="shared" si="520"/>
        <v>5500</v>
      </c>
    </row>
    <row r="934" spans="1:258" ht="21.95" customHeight="1" x14ac:dyDescent="0.25">
      <c r="A934" s="52" t="s">
        <v>1170</v>
      </c>
      <c r="B934" s="9" t="s">
        <v>1605</v>
      </c>
      <c r="C934" s="3">
        <f t="shared" si="522"/>
        <v>10500000</v>
      </c>
      <c r="D934" s="4">
        <f t="shared" si="517"/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5">
        <v>0</v>
      </c>
      <c r="L934" s="4">
        <v>0</v>
      </c>
      <c r="M934" s="4">
        <v>0</v>
      </c>
      <c r="N934" s="4">
        <v>0</v>
      </c>
      <c r="O934" s="4">
        <v>0</v>
      </c>
      <c r="P934" s="4">
        <v>0</v>
      </c>
      <c r="Q934" s="4">
        <v>3500</v>
      </c>
      <c r="R934" s="4">
        <f t="shared" si="519"/>
        <v>10500000</v>
      </c>
      <c r="S934" s="4">
        <v>0</v>
      </c>
      <c r="T934" s="6">
        <v>0</v>
      </c>
      <c r="U934" s="4">
        <v>0</v>
      </c>
      <c r="V934" s="7" t="e">
        <f t="shared" si="520"/>
        <v>#DIV/0!</v>
      </c>
    </row>
    <row r="935" spans="1:258" ht="21.95" customHeight="1" x14ac:dyDescent="0.25">
      <c r="A935" s="52" t="s">
        <v>1171</v>
      </c>
      <c r="B935" s="9" t="s">
        <v>706</v>
      </c>
      <c r="C935" s="3">
        <f t="shared" si="522"/>
        <v>2863300</v>
      </c>
      <c r="D935" s="4">
        <f t="shared" si="517"/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5">
        <v>0</v>
      </c>
      <c r="L935" s="4">
        <v>0</v>
      </c>
      <c r="M935" s="4">
        <v>520.6</v>
      </c>
      <c r="N935" s="4">
        <f t="shared" ref="N935:N938" si="528">M935*5500</f>
        <v>2863300</v>
      </c>
      <c r="O935" s="4">
        <v>0</v>
      </c>
      <c r="P935" s="4">
        <v>0</v>
      </c>
      <c r="Q935" s="6">
        <v>0</v>
      </c>
      <c r="R935" s="4">
        <f t="shared" si="519"/>
        <v>0</v>
      </c>
      <c r="S935" s="4">
        <v>0</v>
      </c>
      <c r="T935" s="6">
        <v>0</v>
      </c>
      <c r="U935" s="4">
        <v>0</v>
      </c>
      <c r="V935" s="7">
        <f t="shared" si="520"/>
        <v>5500</v>
      </c>
    </row>
    <row r="936" spans="1:258" ht="21.95" customHeight="1" x14ac:dyDescent="0.25">
      <c r="A936" s="52" t="s">
        <v>1172</v>
      </c>
      <c r="B936" s="9" t="s">
        <v>707</v>
      </c>
      <c r="C936" s="3">
        <f t="shared" si="522"/>
        <v>1611500</v>
      </c>
      <c r="D936" s="4">
        <f t="shared" si="517"/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5">
        <v>0</v>
      </c>
      <c r="L936" s="4">
        <v>0</v>
      </c>
      <c r="M936" s="4">
        <v>293</v>
      </c>
      <c r="N936" s="4">
        <f t="shared" si="528"/>
        <v>1611500</v>
      </c>
      <c r="O936" s="4">
        <v>0</v>
      </c>
      <c r="P936" s="4">
        <v>0</v>
      </c>
      <c r="Q936" s="6">
        <v>0</v>
      </c>
      <c r="R936" s="4">
        <f t="shared" si="519"/>
        <v>0</v>
      </c>
      <c r="S936" s="4">
        <v>0</v>
      </c>
      <c r="T936" s="6">
        <v>0</v>
      </c>
      <c r="U936" s="4">
        <v>0</v>
      </c>
      <c r="V936" s="7">
        <f t="shared" si="520"/>
        <v>5500</v>
      </c>
    </row>
    <row r="937" spans="1:258" ht="21.95" customHeight="1" x14ac:dyDescent="0.25">
      <c r="A937" s="52" t="s">
        <v>1173</v>
      </c>
      <c r="B937" s="28" t="s">
        <v>827</v>
      </c>
      <c r="C937" s="3">
        <f t="shared" si="522"/>
        <v>5694087.5</v>
      </c>
      <c r="D937" s="4">
        <f t="shared" si="517"/>
        <v>1286037.5</v>
      </c>
      <c r="E937" s="4">
        <f>350*547.25</f>
        <v>191537.5</v>
      </c>
      <c r="F937" s="4">
        <f>1050*547.25</f>
        <v>574612.5</v>
      </c>
      <c r="G937" s="4">
        <f>300*547.25</f>
        <v>164175</v>
      </c>
      <c r="H937" s="4">
        <f>400*547.25</f>
        <v>218900</v>
      </c>
      <c r="I937" s="4">
        <f>250*547.25</f>
        <v>136812.5</v>
      </c>
      <c r="J937" s="4">
        <v>0</v>
      </c>
      <c r="K937" s="5">
        <v>0</v>
      </c>
      <c r="L937" s="4">
        <v>0</v>
      </c>
      <c r="M937" s="6">
        <v>493.1</v>
      </c>
      <c r="N937" s="4">
        <f t="shared" si="528"/>
        <v>2712050</v>
      </c>
      <c r="O937" s="4">
        <v>0</v>
      </c>
      <c r="P937" s="4">
        <v>0</v>
      </c>
      <c r="Q937" s="4">
        <v>532</v>
      </c>
      <c r="R937" s="4">
        <f t="shared" si="519"/>
        <v>1596000</v>
      </c>
      <c r="S937" s="4">
        <v>0</v>
      </c>
      <c r="T937" s="6">
        <v>0</v>
      </c>
      <c r="U937" s="4">
        <v>100000</v>
      </c>
      <c r="V937" s="7">
        <f t="shared" si="520"/>
        <v>5500</v>
      </c>
    </row>
    <row r="938" spans="1:258" ht="21.95" customHeight="1" x14ac:dyDescent="0.25">
      <c r="A938" s="52" t="s">
        <v>1174</v>
      </c>
      <c r="B938" s="9" t="s">
        <v>787</v>
      </c>
      <c r="C938" s="3">
        <f t="shared" si="522"/>
        <v>1677500</v>
      </c>
      <c r="D938" s="4">
        <f t="shared" si="517"/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5">
        <v>0</v>
      </c>
      <c r="L938" s="4">
        <v>0</v>
      </c>
      <c r="M938" s="4">
        <v>305</v>
      </c>
      <c r="N938" s="4">
        <f t="shared" si="528"/>
        <v>1677500</v>
      </c>
      <c r="O938" s="4">
        <v>0</v>
      </c>
      <c r="P938" s="4">
        <v>0</v>
      </c>
      <c r="Q938" s="6">
        <v>0</v>
      </c>
      <c r="R938" s="4">
        <f t="shared" si="519"/>
        <v>0</v>
      </c>
      <c r="S938" s="4">
        <v>0</v>
      </c>
      <c r="T938" s="6">
        <v>0</v>
      </c>
      <c r="U938" s="4">
        <v>0</v>
      </c>
      <c r="V938" s="7">
        <f t="shared" si="520"/>
        <v>5500</v>
      </c>
    </row>
    <row r="939" spans="1:258" ht="21.95" customHeight="1" x14ac:dyDescent="0.25">
      <c r="A939" s="52" t="s">
        <v>1175</v>
      </c>
      <c r="B939" s="9" t="s">
        <v>788</v>
      </c>
      <c r="C939" s="3">
        <f t="shared" si="522"/>
        <v>1415699.9999999998</v>
      </c>
      <c r="D939" s="4">
        <f t="shared" si="517"/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5">
        <v>0</v>
      </c>
      <c r="L939" s="4">
        <v>0</v>
      </c>
      <c r="M939" s="4">
        <v>257.39999999999998</v>
      </c>
      <c r="N939" s="4">
        <f t="shared" ref="N939:N947" si="529">M939*5500</f>
        <v>1415699.9999999998</v>
      </c>
      <c r="O939" s="4">
        <v>0</v>
      </c>
      <c r="P939" s="4">
        <v>0</v>
      </c>
      <c r="Q939" s="6">
        <v>0</v>
      </c>
      <c r="R939" s="4">
        <f t="shared" si="519"/>
        <v>0</v>
      </c>
      <c r="S939" s="4">
        <v>0</v>
      </c>
      <c r="T939" s="6">
        <v>0</v>
      </c>
      <c r="U939" s="4">
        <v>0</v>
      </c>
      <c r="V939" s="7">
        <f t="shared" si="520"/>
        <v>5500</v>
      </c>
    </row>
    <row r="940" spans="1:258" ht="21.95" customHeight="1" x14ac:dyDescent="0.25">
      <c r="A940" s="52" t="s">
        <v>1176</v>
      </c>
      <c r="B940" s="9" t="s">
        <v>789</v>
      </c>
      <c r="C940" s="3">
        <f t="shared" si="522"/>
        <v>21761490</v>
      </c>
      <c r="D940" s="4">
        <f t="shared" si="517"/>
        <v>18220490</v>
      </c>
      <c r="E940" s="4">
        <f>350*7753.4</f>
        <v>2713690</v>
      </c>
      <c r="F940" s="4">
        <f>1050*7753.4</f>
        <v>8141070</v>
      </c>
      <c r="G940" s="4">
        <f>300*7753.4</f>
        <v>2326020</v>
      </c>
      <c r="H940" s="4">
        <f>400*7753.4</f>
        <v>3101360</v>
      </c>
      <c r="I940" s="4">
        <f>250*7753.4</f>
        <v>1938350</v>
      </c>
      <c r="J940" s="4">
        <v>0</v>
      </c>
      <c r="K940" s="5">
        <v>0</v>
      </c>
      <c r="L940" s="4">
        <v>0</v>
      </c>
      <c r="M940" s="4">
        <v>438</v>
      </c>
      <c r="N940" s="4">
        <f t="shared" si="529"/>
        <v>2409000</v>
      </c>
      <c r="O940" s="4">
        <v>0</v>
      </c>
      <c r="P940" s="4">
        <v>0</v>
      </c>
      <c r="Q940" s="4">
        <v>344</v>
      </c>
      <c r="R940" s="4">
        <f t="shared" si="519"/>
        <v>1032000</v>
      </c>
      <c r="S940" s="4">
        <v>0</v>
      </c>
      <c r="T940" s="6">
        <v>0</v>
      </c>
      <c r="U940" s="4">
        <v>100000</v>
      </c>
      <c r="V940" s="7">
        <f t="shared" si="520"/>
        <v>5500</v>
      </c>
    </row>
    <row r="941" spans="1:258" s="40" customFormat="1" ht="21.95" customHeight="1" x14ac:dyDescent="0.25">
      <c r="A941" s="52" t="s">
        <v>1177</v>
      </c>
      <c r="B941" s="9" t="s">
        <v>708</v>
      </c>
      <c r="C941" s="3">
        <f t="shared" si="522"/>
        <v>1418449.9999999998</v>
      </c>
      <c r="D941" s="4">
        <f t="shared" si="517"/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5">
        <v>0</v>
      </c>
      <c r="L941" s="4">
        <v>0</v>
      </c>
      <c r="M941" s="4">
        <v>257.89999999999998</v>
      </c>
      <c r="N941" s="4">
        <f t="shared" si="529"/>
        <v>1418449.9999999998</v>
      </c>
      <c r="O941" s="4">
        <v>0</v>
      </c>
      <c r="P941" s="4">
        <v>0</v>
      </c>
      <c r="Q941" s="6">
        <v>0</v>
      </c>
      <c r="R941" s="4">
        <f t="shared" si="519"/>
        <v>0</v>
      </c>
      <c r="S941" s="4">
        <v>0</v>
      </c>
      <c r="T941" s="6">
        <v>0</v>
      </c>
      <c r="U941" s="4">
        <v>0</v>
      </c>
      <c r="V941" s="7">
        <f t="shared" si="520"/>
        <v>5500</v>
      </c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  <c r="CF941" s="8"/>
      <c r="CG941" s="8"/>
      <c r="CH941" s="8"/>
      <c r="CI941" s="8"/>
      <c r="CJ941" s="8"/>
      <c r="CK941" s="8"/>
      <c r="CL941" s="8"/>
      <c r="CM941" s="8"/>
      <c r="CN941" s="8"/>
      <c r="CO941" s="8"/>
      <c r="CP941" s="8"/>
      <c r="CQ941" s="8"/>
      <c r="CR941" s="8"/>
      <c r="CS941" s="8"/>
      <c r="CT941" s="8"/>
      <c r="CU941" s="8"/>
      <c r="CV941" s="8"/>
      <c r="CW941" s="8"/>
      <c r="CX941" s="8"/>
      <c r="CY941" s="8"/>
      <c r="CZ941" s="8"/>
      <c r="DA941" s="8"/>
      <c r="DB941" s="8"/>
      <c r="DC941" s="8"/>
      <c r="DD941" s="8"/>
      <c r="DE941" s="8"/>
      <c r="DF941" s="8"/>
      <c r="DG941" s="8"/>
      <c r="DH941" s="8"/>
      <c r="DI941" s="8"/>
      <c r="DJ941" s="8"/>
      <c r="DK941" s="8"/>
      <c r="DL941" s="8"/>
      <c r="DM941" s="8"/>
      <c r="DN941" s="8"/>
      <c r="DO941" s="8"/>
      <c r="DP941" s="8"/>
      <c r="DQ941" s="8"/>
      <c r="DR941" s="8"/>
      <c r="DS941" s="8"/>
      <c r="DT941" s="8"/>
      <c r="DU941" s="8"/>
      <c r="DV941" s="8"/>
      <c r="DW941" s="8"/>
      <c r="DX941" s="8"/>
      <c r="DY941" s="8"/>
      <c r="DZ941" s="8"/>
      <c r="EA941" s="8"/>
      <c r="EB941" s="8"/>
      <c r="EC941" s="8"/>
      <c r="ED941" s="8"/>
      <c r="EE941" s="8"/>
      <c r="EF941" s="8"/>
      <c r="EG941" s="8"/>
      <c r="EH941" s="8"/>
      <c r="EI941" s="8"/>
      <c r="EJ941" s="8"/>
      <c r="EK941" s="8"/>
      <c r="EL941" s="8"/>
      <c r="EM941" s="8"/>
      <c r="EN941" s="8"/>
      <c r="EO941" s="8"/>
      <c r="EP941" s="8"/>
      <c r="EQ941" s="8"/>
      <c r="ER941" s="8"/>
      <c r="ES941" s="8"/>
      <c r="ET941" s="8"/>
      <c r="EU941" s="8"/>
      <c r="EV941" s="8"/>
      <c r="EW941" s="8"/>
      <c r="EX941" s="8"/>
      <c r="EY941" s="8"/>
      <c r="EZ941" s="8"/>
      <c r="FA941" s="8"/>
      <c r="FB941" s="8"/>
      <c r="FC941" s="8"/>
      <c r="FD941" s="8"/>
      <c r="FE941" s="8"/>
      <c r="FF941" s="8"/>
      <c r="FG941" s="8"/>
      <c r="FH941" s="8"/>
      <c r="FI941" s="8"/>
      <c r="FJ941" s="8"/>
      <c r="FK941" s="8"/>
      <c r="FL941" s="8"/>
      <c r="FM941" s="8"/>
      <c r="FN941" s="8"/>
      <c r="FO941" s="8"/>
      <c r="FP941" s="8"/>
      <c r="FQ941" s="8"/>
      <c r="FR941" s="8"/>
      <c r="FS941" s="8"/>
      <c r="FT941" s="8"/>
      <c r="FU941" s="8"/>
      <c r="FV941" s="8"/>
      <c r="FW941" s="8"/>
      <c r="FX941" s="8"/>
      <c r="FY941" s="8"/>
      <c r="FZ941" s="8"/>
      <c r="GA941" s="8"/>
      <c r="GB941" s="8"/>
      <c r="GC941" s="8"/>
      <c r="GD941" s="8"/>
      <c r="GE941" s="8"/>
      <c r="GF941" s="8"/>
      <c r="GG941" s="8"/>
      <c r="GH941" s="8"/>
      <c r="GI941" s="8"/>
      <c r="GJ941" s="8"/>
      <c r="GK941" s="8"/>
      <c r="GL941" s="8"/>
      <c r="GM941" s="8"/>
      <c r="GN941" s="8"/>
      <c r="GO941" s="8"/>
      <c r="GP941" s="8"/>
      <c r="GQ941" s="8"/>
      <c r="GR941" s="8"/>
      <c r="GS941" s="8"/>
      <c r="GT941" s="8"/>
      <c r="GU941" s="8"/>
      <c r="GV941" s="8"/>
      <c r="GW941" s="8"/>
      <c r="GX941" s="8"/>
      <c r="GY941" s="8"/>
      <c r="GZ941" s="8"/>
      <c r="HA941" s="8"/>
      <c r="HB941" s="8"/>
      <c r="HC941" s="8"/>
      <c r="HD941" s="8"/>
      <c r="HE941" s="8"/>
      <c r="HF941" s="8"/>
      <c r="HG941" s="8"/>
      <c r="HH941" s="8"/>
      <c r="HI941" s="8"/>
      <c r="HJ941" s="8"/>
      <c r="HK941" s="8"/>
      <c r="HL941" s="8"/>
      <c r="HM941" s="8"/>
      <c r="HN941" s="8"/>
      <c r="HO941" s="8"/>
      <c r="HP941" s="8"/>
      <c r="HQ941" s="8"/>
      <c r="HR941" s="8"/>
      <c r="HS941" s="8"/>
      <c r="HT941" s="8"/>
      <c r="HU941" s="8"/>
      <c r="HV941" s="8"/>
      <c r="HW941" s="8"/>
      <c r="HX941" s="8"/>
      <c r="HY941" s="8"/>
      <c r="HZ941" s="8"/>
      <c r="IA941" s="8"/>
      <c r="IB941" s="8"/>
      <c r="IC941" s="8"/>
      <c r="ID941" s="8"/>
      <c r="IE941" s="8"/>
      <c r="IF941" s="8"/>
      <c r="IG941" s="8"/>
      <c r="IH941" s="8"/>
      <c r="II941" s="8"/>
      <c r="IJ941" s="8"/>
      <c r="IK941" s="8"/>
      <c r="IL941" s="8"/>
      <c r="IM941" s="8"/>
      <c r="IN941" s="8"/>
      <c r="IO941" s="8"/>
      <c r="IP941" s="8"/>
      <c r="IQ941" s="8"/>
      <c r="IR941" s="8"/>
      <c r="IS941" s="8"/>
      <c r="IT941" s="8"/>
      <c r="IU941" s="8"/>
      <c r="IV941" s="8"/>
      <c r="IW941" s="8"/>
      <c r="IX941" s="8"/>
    </row>
    <row r="942" spans="1:258" ht="21.95" customHeight="1" x14ac:dyDescent="0.25">
      <c r="A942" s="52" t="s">
        <v>1178</v>
      </c>
      <c r="B942" s="9" t="s">
        <v>709</v>
      </c>
      <c r="C942" s="3">
        <f t="shared" si="522"/>
        <v>1408000</v>
      </c>
      <c r="D942" s="4">
        <f t="shared" si="517"/>
        <v>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5">
        <v>0</v>
      </c>
      <c r="L942" s="4">
        <v>0</v>
      </c>
      <c r="M942" s="4">
        <v>256</v>
      </c>
      <c r="N942" s="4">
        <f t="shared" si="529"/>
        <v>1408000</v>
      </c>
      <c r="O942" s="4">
        <v>0</v>
      </c>
      <c r="P942" s="4">
        <v>0</v>
      </c>
      <c r="Q942" s="6">
        <v>0</v>
      </c>
      <c r="R942" s="4">
        <f t="shared" si="519"/>
        <v>0</v>
      </c>
      <c r="S942" s="4">
        <v>0</v>
      </c>
      <c r="T942" s="6">
        <v>0</v>
      </c>
      <c r="U942" s="4">
        <v>0</v>
      </c>
      <c r="V942" s="7">
        <f t="shared" si="520"/>
        <v>5500</v>
      </c>
    </row>
    <row r="943" spans="1:258" ht="21.95" customHeight="1" x14ac:dyDescent="0.25">
      <c r="A943" s="52" t="s">
        <v>1179</v>
      </c>
      <c r="B943" s="28" t="s">
        <v>790</v>
      </c>
      <c r="C943" s="3">
        <f t="shared" si="522"/>
        <v>2695000</v>
      </c>
      <c r="D943" s="4">
        <f t="shared" si="517"/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5">
        <v>0</v>
      </c>
      <c r="L943" s="4">
        <v>0</v>
      </c>
      <c r="M943" s="4">
        <v>490</v>
      </c>
      <c r="N943" s="4">
        <f t="shared" si="529"/>
        <v>2695000</v>
      </c>
      <c r="O943" s="4">
        <v>0</v>
      </c>
      <c r="P943" s="4">
        <v>0</v>
      </c>
      <c r="Q943" s="6">
        <v>0</v>
      </c>
      <c r="R943" s="4">
        <f t="shared" si="519"/>
        <v>0</v>
      </c>
      <c r="S943" s="4">
        <v>0</v>
      </c>
      <c r="T943" s="6">
        <v>0</v>
      </c>
      <c r="U943" s="4">
        <v>0</v>
      </c>
      <c r="V943" s="7">
        <f t="shared" si="520"/>
        <v>5500</v>
      </c>
    </row>
    <row r="944" spans="1:258" ht="21.95" customHeight="1" x14ac:dyDescent="0.25">
      <c r="A944" s="52" t="s">
        <v>1180</v>
      </c>
      <c r="B944" s="9" t="s">
        <v>710</v>
      </c>
      <c r="C944" s="3">
        <f t="shared" si="522"/>
        <v>2881450</v>
      </c>
      <c r="D944" s="4">
        <f t="shared" si="517"/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5">
        <v>0</v>
      </c>
      <c r="L944" s="4">
        <v>0</v>
      </c>
      <c r="M944" s="4">
        <v>523.9</v>
      </c>
      <c r="N944" s="4">
        <f t="shared" si="529"/>
        <v>2881450</v>
      </c>
      <c r="O944" s="4">
        <v>0</v>
      </c>
      <c r="P944" s="4">
        <v>0</v>
      </c>
      <c r="Q944" s="6">
        <v>0</v>
      </c>
      <c r="R944" s="4">
        <f t="shared" si="519"/>
        <v>0</v>
      </c>
      <c r="S944" s="4">
        <v>0</v>
      </c>
      <c r="T944" s="6">
        <v>0</v>
      </c>
      <c r="U944" s="4">
        <v>0</v>
      </c>
      <c r="V944" s="7">
        <f t="shared" si="520"/>
        <v>5500</v>
      </c>
    </row>
    <row r="945" spans="1:258" ht="21.95" customHeight="1" x14ac:dyDescent="0.25">
      <c r="A945" s="52" t="s">
        <v>1181</v>
      </c>
      <c r="B945" s="9" t="s">
        <v>791</v>
      </c>
      <c r="C945" s="3">
        <f t="shared" si="522"/>
        <v>3140500</v>
      </c>
      <c r="D945" s="4">
        <f t="shared" si="517"/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5">
        <v>0</v>
      </c>
      <c r="L945" s="4">
        <v>0</v>
      </c>
      <c r="M945" s="4">
        <v>571</v>
      </c>
      <c r="N945" s="4">
        <f t="shared" si="529"/>
        <v>3140500</v>
      </c>
      <c r="O945" s="4">
        <v>0</v>
      </c>
      <c r="P945" s="4">
        <v>0</v>
      </c>
      <c r="Q945" s="6">
        <v>0</v>
      </c>
      <c r="R945" s="4">
        <f t="shared" si="519"/>
        <v>0</v>
      </c>
      <c r="S945" s="4">
        <v>0</v>
      </c>
      <c r="T945" s="6">
        <v>0</v>
      </c>
      <c r="U945" s="4">
        <v>0</v>
      </c>
      <c r="V945" s="7">
        <f t="shared" si="520"/>
        <v>5500</v>
      </c>
    </row>
    <row r="946" spans="1:258" s="41" customFormat="1" ht="21.95" customHeight="1" x14ac:dyDescent="0.25">
      <c r="A946" s="52" t="s">
        <v>1182</v>
      </c>
      <c r="B946" s="9" t="s">
        <v>711</v>
      </c>
      <c r="C946" s="3">
        <f t="shared" si="522"/>
        <v>2743950</v>
      </c>
      <c r="D946" s="4">
        <f t="shared" si="517"/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5">
        <v>0</v>
      </c>
      <c r="L946" s="4">
        <v>0</v>
      </c>
      <c r="M946" s="4">
        <v>498.9</v>
      </c>
      <c r="N946" s="4">
        <f t="shared" si="529"/>
        <v>2743950</v>
      </c>
      <c r="O946" s="4">
        <v>0</v>
      </c>
      <c r="P946" s="4">
        <v>0</v>
      </c>
      <c r="Q946" s="6">
        <v>0</v>
      </c>
      <c r="R946" s="4">
        <f t="shared" si="519"/>
        <v>0</v>
      </c>
      <c r="S946" s="4">
        <v>0</v>
      </c>
      <c r="T946" s="6">
        <v>0</v>
      </c>
      <c r="U946" s="4">
        <v>0</v>
      </c>
      <c r="V946" s="7">
        <f t="shared" si="520"/>
        <v>5500</v>
      </c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  <c r="CF946" s="8"/>
      <c r="CG946" s="8"/>
      <c r="CH946" s="8"/>
      <c r="CI946" s="8"/>
      <c r="CJ946" s="8"/>
      <c r="CK946" s="8"/>
      <c r="CL946" s="8"/>
      <c r="CM946" s="8"/>
      <c r="CN946" s="8"/>
      <c r="CO946" s="8"/>
      <c r="CP946" s="8"/>
      <c r="CQ946" s="8"/>
      <c r="CR946" s="8"/>
      <c r="CS946" s="8"/>
      <c r="CT946" s="8"/>
      <c r="CU946" s="8"/>
      <c r="CV946" s="8"/>
      <c r="CW946" s="8"/>
      <c r="CX946" s="8"/>
      <c r="CY946" s="8"/>
      <c r="CZ946" s="8"/>
      <c r="DA946" s="8"/>
      <c r="DB946" s="8"/>
      <c r="DC946" s="8"/>
      <c r="DD946" s="8"/>
      <c r="DE946" s="8"/>
      <c r="DF946" s="8"/>
      <c r="DG946" s="8"/>
      <c r="DH946" s="8"/>
      <c r="DI946" s="8"/>
      <c r="DJ946" s="8"/>
      <c r="DK946" s="8"/>
      <c r="DL946" s="8"/>
      <c r="DM946" s="8"/>
      <c r="DN946" s="8"/>
      <c r="DO946" s="8"/>
      <c r="DP946" s="8"/>
      <c r="DQ946" s="8"/>
      <c r="DR946" s="8"/>
      <c r="DS946" s="8"/>
      <c r="DT946" s="8"/>
      <c r="DU946" s="8"/>
      <c r="DV946" s="8"/>
      <c r="DW946" s="8"/>
      <c r="DX946" s="8"/>
      <c r="DY946" s="8"/>
      <c r="DZ946" s="8"/>
      <c r="EA946" s="8"/>
      <c r="EB946" s="8"/>
      <c r="EC946" s="8"/>
      <c r="ED946" s="8"/>
      <c r="EE946" s="8"/>
      <c r="EF946" s="8"/>
      <c r="EG946" s="8"/>
      <c r="EH946" s="8"/>
      <c r="EI946" s="8"/>
      <c r="EJ946" s="8"/>
      <c r="EK946" s="8"/>
      <c r="EL946" s="8"/>
      <c r="EM946" s="8"/>
      <c r="EN946" s="8"/>
      <c r="EO946" s="8"/>
      <c r="EP946" s="8"/>
      <c r="EQ946" s="8"/>
      <c r="ER946" s="8"/>
      <c r="ES946" s="8"/>
      <c r="ET946" s="8"/>
      <c r="EU946" s="8"/>
      <c r="EV946" s="8"/>
      <c r="EW946" s="8"/>
      <c r="EX946" s="8"/>
      <c r="EY946" s="8"/>
      <c r="EZ946" s="8"/>
      <c r="FA946" s="8"/>
      <c r="FB946" s="8"/>
      <c r="FC946" s="8"/>
      <c r="FD946" s="8"/>
      <c r="FE946" s="8"/>
      <c r="FF946" s="8"/>
      <c r="FG946" s="8"/>
      <c r="FH946" s="8"/>
      <c r="FI946" s="8"/>
      <c r="FJ946" s="8"/>
      <c r="FK946" s="8"/>
      <c r="FL946" s="8"/>
      <c r="FM946" s="8"/>
      <c r="FN946" s="8"/>
      <c r="FO946" s="8"/>
      <c r="FP946" s="8"/>
      <c r="FQ946" s="8"/>
      <c r="FR946" s="8"/>
      <c r="FS946" s="8"/>
      <c r="FT946" s="8"/>
      <c r="FU946" s="8"/>
      <c r="FV946" s="8"/>
      <c r="FW946" s="8"/>
      <c r="FX946" s="8"/>
      <c r="FY946" s="8"/>
      <c r="FZ946" s="8"/>
      <c r="GA946" s="8"/>
      <c r="GB946" s="8"/>
      <c r="GC946" s="8"/>
      <c r="GD946" s="8"/>
      <c r="GE946" s="8"/>
      <c r="GF946" s="8"/>
      <c r="GG946" s="8"/>
      <c r="GH946" s="8"/>
      <c r="GI946" s="8"/>
      <c r="GJ946" s="8"/>
      <c r="GK946" s="8"/>
      <c r="GL946" s="8"/>
      <c r="GM946" s="8"/>
      <c r="GN946" s="8"/>
      <c r="GO946" s="8"/>
      <c r="GP946" s="8"/>
      <c r="GQ946" s="8"/>
      <c r="GR946" s="8"/>
      <c r="GS946" s="8"/>
      <c r="GT946" s="8"/>
      <c r="GU946" s="8"/>
      <c r="GV946" s="8"/>
      <c r="GW946" s="8"/>
      <c r="GX946" s="8"/>
      <c r="GY946" s="8"/>
      <c r="GZ946" s="8"/>
      <c r="HA946" s="8"/>
      <c r="HB946" s="8"/>
      <c r="HC946" s="8"/>
      <c r="HD946" s="8"/>
      <c r="HE946" s="8"/>
      <c r="HF946" s="8"/>
      <c r="HG946" s="8"/>
      <c r="HH946" s="8"/>
      <c r="HI946" s="8"/>
      <c r="HJ946" s="8"/>
      <c r="HK946" s="8"/>
      <c r="HL946" s="8"/>
      <c r="HM946" s="8"/>
      <c r="HN946" s="8"/>
      <c r="HO946" s="8"/>
      <c r="HP946" s="8"/>
      <c r="HQ946" s="8"/>
      <c r="HR946" s="8"/>
      <c r="HS946" s="8"/>
      <c r="HT946" s="8"/>
      <c r="HU946" s="8"/>
      <c r="HV946" s="8"/>
      <c r="HW946" s="8"/>
      <c r="HX946" s="8"/>
      <c r="HY946" s="8"/>
      <c r="HZ946" s="8"/>
      <c r="IA946" s="8"/>
      <c r="IB946" s="8"/>
      <c r="IC946" s="8"/>
      <c r="ID946" s="8"/>
      <c r="IE946" s="8"/>
      <c r="IF946" s="8"/>
      <c r="IG946" s="8"/>
      <c r="IH946" s="8"/>
      <c r="II946" s="8"/>
      <c r="IJ946" s="8"/>
      <c r="IK946" s="8"/>
      <c r="IL946" s="8"/>
      <c r="IM946" s="8"/>
      <c r="IN946" s="8"/>
      <c r="IO946" s="8"/>
      <c r="IP946" s="8"/>
      <c r="IQ946" s="8"/>
      <c r="IR946" s="8"/>
      <c r="IS946" s="8"/>
      <c r="IT946" s="8"/>
      <c r="IU946" s="8"/>
      <c r="IV946" s="8"/>
      <c r="IW946" s="8"/>
      <c r="IX946" s="8"/>
    </row>
    <row r="947" spans="1:258" ht="21.95" customHeight="1" x14ac:dyDescent="0.25">
      <c r="A947" s="52" t="s">
        <v>1183</v>
      </c>
      <c r="B947" s="9" t="s">
        <v>712</v>
      </c>
      <c r="C947" s="3">
        <f t="shared" si="522"/>
        <v>2743950</v>
      </c>
      <c r="D947" s="4">
        <f t="shared" si="517"/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5">
        <v>0</v>
      </c>
      <c r="L947" s="4">
        <v>0</v>
      </c>
      <c r="M947" s="4">
        <v>498.9</v>
      </c>
      <c r="N947" s="4">
        <f t="shared" si="529"/>
        <v>2743950</v>
      </c>
      <c r="O947" s="4">
        <v>0</v>
      </c>
      <c r="P947" s="4">
        <v>0</v>
      </c>
      <c r="Q947" s="6">
        <v>0</v>
      </c>
      <c r="R947" s="4">
        <f t="shared" si="519"/>
        <v>0</v>
      </c>
      <c r="S947" s="4">
        <v>0</v>
      </c>
      <c r="T947" s="6">
        <v>0</v>
      </c>
      <c r="U947" s="4">
        <v>0</v>
      </c>
      <c r="V947" s="7">
        <f t="shared" si="520"/>
        <v>5500</v>
      </c>
    </row>
    <row r="948" spans="1:258" ht="21.95" customHeight="1" x14ac:dyDescent="0.25">
      <c r="A948" s="52" t="s">
        <v>1184</v>
      </c>
      <c r="B948" s="9" t="s">
        <v>792</v>
      </c>
      <c r="C948" s="3">
        <f t="shared" si="522"/>
        <v>5720000</v>
      </c>
      <c r="D948" s="4">
        <f t="shared" si="517"/>
        <v>0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5">
        <v>0</v>
      </c>
      <c r="L948" s="4">
        <v>0</v>
      </c>
      <c r="M948" s="4">
        <v>1040</v>
      </c>
      <c r="N948" s="4">
        <f t="shared" ref="N948:N954" si="530">M948*5500</f>
        <v>5720000</v>
      </c>
      <c r="O948" s="4">
        <v>0</v>
      </c>
      <c r="P948" s="4">
        <v>0</v>
      </c>
      <c r="Q948" s="6">
        <v>0</v>
      </c>
      <c r="R948" s="4">
        <f t="shared" si="519"/>
        <v>0</v>
      </c>
      <c r="S948" s="4">
        <v>0</v>
      </c>
      <c r="T948" s="6">
        <v>0</v>
      </c>
      <c r="U948" s="4">
        <v>0</v>
      </c>
      <c r="V948" s="7">
        <f t="shared" si="520"/>
        <v>5500</v>
      </c>
    </row>
    <row r="949" spans="1:258" ht="21.95" customHeight="1" x14ac:dyDescent="0.25">
      <c r="A949" s="52" t="s">
        <v>1185</v>
      </c>
      <c r="B949" s="28" t="s">
        <v>794</v>
      </c>
      <c r="C949" s="3">
        <f>D949+L949+N949+P949+R949+S949+T949+U949</f>
        <v>3371500</v>
      </c>
      <c r="D949" s="4">
        <f>SUM(E949:J949)</f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5">
        <v>0</v>
      </c>
      <c r="L949" s="4">
        <v>0</v>
      </c>
      <c r="M949" s="6">
        <v>613</v>
      </c>
      <c r="N949" s="4">
        <f>M949*5500</f>
        <v>3371500</v>
      </c>
      <c r="O949" s="4">
        <v>0</v>
      </c>
      <c r="P949" s="4">
        <v>0</v>
      </c>
      <c r="Q949" s="6">
        <v>0</v>
      </c>
      <c r="R949" s="4">
        <f>Q949*3000</f>
        <v>0</v>
      </c>
      <c r="S949" s="4">
        <v>0</v>
      </c>
      <c r="T949" s="6">
        <v>0</v>
      </c>
      <c r="U949" s="4">
        <v>0</v>
      </c>
      <c r="V949" s="7">
        <f>N949/M949</f>
        <v>5500</v>
      </c>
    </row>
    <row r="950" spans="1:258" ht="21.95" customHeight="1" x14ac:dyDescent="0.25">
      <c r="A950" s="52" t="s">
        <v>1186</v>
      </c>
      <c r="B950" s="28" t="s">
        <v>793</v>
      </c>
      <c r="C950" s="3">
        <f t="shared" si="522"/>
        <v>3602500</v>
      </c>
      <c r="D950" s="4">
        <f t="shared" si="517"/>
        <v>0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5">
        <v>0</v>
      </c>
      <c r="L950" s="4">
        <v>0</v>
      </c>
      <c r="M950" s="6">
        <v>655</v>
      </c>
      <c r="N950" s="4">
        <f t="shared" si="530"/>
        <v>3602500</v>
      </c>
      <c r="O950" s="4">
        <v>0</v>
      </c>
      <c r="P950" s="4">
        <v>0</v>
      </c>
      <c r="Q950" s="6">
        <v>0</v>
      </c>
      <c r="R950" s="4">
        <f t="shared" ref="R950:R1015" si="531">Q950*3000</f>
        <v>0</v>
      </c>
      <c r="S950" s="4">
        <v>0</v>
      </c>
      <c r="T950" s="6">
        <v>0</v>
      </c>
      <c r="U950" s="4">
        <v>0</v>
      </c>
      <c r="V950" s="7">
        <f t="shared" ref="V950:V1015" si="532">N950/M950</f>
        <v>5500</v>
      </c>
    </row>
    <row r="951" spans="1:258" ht="21.95" customHeight="1" x14ac:dyDescent="0.25">
      <c r="A951" s="52" t="s">
        <v>1187</v>
      </c>
      <c r="B951" s="29" t="s">
        <v>1216</v>
      </c>
      <c r="C951" s="3">
        <f t="shared" si="522"/>
        <v>9162100</v>
      </c>
      <c r="D951" s="4">
        <f t="shared" ref="D951:D1016" si="533">SUM(E951:J951)</f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5">
        <v>0</v>
      </c>
      <c r="L951" s="4">
        <v>0</v>
      </c>
      <c r="M951" s="4">
        <v>960.7</v>
      </c>
      <c r="N951" s="4">
        <f t="shared" si="530"/>
        <v>5283850</v>
      </c>
      <c r="O951" s="4">
        <v>0</v>
      </c>
      <c r="P951" s="4">
        <v>0</v>
      </c>
      <c r="Q951" s="4">
        <v>1292.75</v>
      </c>
      <c r="R951" s="4">
        <f t="shared" si="531"/>
        <v>3878250</v>
      </c>
      <c r="S951" s="4">
        <v>0</v>
      </c>
      <c r="T951" s="6">
        <v>0</v>
      </c>
      <c r="U951" s="4">
        <v>0</v>
      </c>
      <c r="V951" s="7">
        <f t="shared" si="532"/>
        <v>5500</v>
      </c>
    </row>
    <row r="952" spans="1:258" ht="21.95" customHeight="1" x14ac:dyDescent="0.25">
      <c r="A952" s="52" t="s">
        <v>1188</v>
      </c>
      <c r="B952" s="9" t="s">
        <v>713</v>
      </c>
      <c r="C952" s="3">
        <f t="shared" si="522"/>
        <v>1545500</v>
      </c>
      <c r="D952" s="4">
        <f t="shared" si="533"/>
        <v>0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5">
        <v>0</v>
      </c>
      <c r="L952" s="4">
        <v>0</v>
      </c>
      <c r="M952" s="4">
        <v>281</v>
      </c>
      <c r="N952" s="4">
        <f t="shared" si="530"/>
        <v>1545500</v>
      </c>
      <c r="O952" s="4">
        <v>0</v>
      </c>
      <c r="P952" s="4">
        <v>0</v>
      </c>
      <c r="Q952" s="6">
        <v>0</v>
      </c>
      <c r="R952" s="4">
        <f t="shared" si="531"/>
        <v>0</v>
      </c>
      <c r="S952" s="4">
        <v>0</v>
      </c>
      <c r="T952" s="6">
        <v>0</v>
      </c>
      <c r="U952" s="4">
        <v>0</v>
      </c>
      <c r="V952" s="7">
        <f t="shared" si="532"/>
        <v>5500</v>
      </c>
    </row>
    <row r="953" spans="1:258" ht="21.95" customHeight="1" x14ac:dyDescent="0.25">
      <c r="A953" s="52" t="s">
        <v>1189</v>
      </c>
      <c r="B953" s="28" t="s">
        <v>714</v>
      </c>
      <c r="C953" s="3">
        <f t="shared" ref="C953:C1021" si="534">D953+L953+N953+P953+R953+S953+T953+U953</f>
        <v>5954299.9999999991</v>
      </c>
      <c r="D953" s="4">
        <f t="shared" si="533"/>
        <v>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5">
        <v>0</v>
      </c>
      <c r="L953" s="4">
        <v>0</v>
      </c>
      <c r="M953" s="6">
        <v>1082.5999999999999</v>
      </c>
      <c r="N953" s="4">
        <f t="shared" si="530"/>
        <v>5954299.9999999991</v>
      </c>
      <c r="O953" s="4">
        <v>0</v>
      </c>
      <c r="P953" s="4">
        <v>0</v>
      </c>
      <c r="Q953" s="6">
        <v>0</v>
      </c>
      <c r="R953" s="4">
        <f t="shared" si="531"/>
        <v>0</v>
      </c>
      <c r="S953" s="4">
        <v>0</v>
      </c>
      <c r="T953" s="6">
        <v>0</v>
      </c>
      <c r="U953" s="4">
        <v>0</v>
      </c>
      <c r="V953" s="7">
        <f t="shared" si="532"/>
        <v>5500</v>
      </c>
    </row>
    <row r="954" spans="1:258" ht="21.95" customHeight="1" x14ac:dyDescent="0.25">
      <c r="A954" s="52" t="s">
        <v>1190</v>
      </c>
      <c r="B954" s="9" t="s">
        <v>797</v>
      </c>
      <c r="C954" s="3">
        <f t="shared" si="534"/>
        <v>2952950</v>
      </c>
      <c r="D954" s="4">
        <f t="shared" si="533"/>
        <v>0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5">
        <v>0</v>
      </c>
      <c r="L954" s="4">
        <v>0</v>
      </c>
      <c r="M954" s="6">
        <v>536.9</v>
      </c>
      <c r="N954" s="4">
        <f t="shared" si="530"/>
        <v>2952950</v>
      </c>
      <c r="O954" s="4">
        <v>0</v>
      </c>
      <c r="P954" s="4">
        <v>0</v>
      </c>
      <c r="Q954" s="6">
        <v>0</v>
      </c>
      <c r="R954" s="4">
        <f t="shared" si="531"/>
        <v>0</v>
      </c>
      <c r="S954" s="4">
        <v>0</v>
      </c>
      <c r="T954" s="6">
        <v>0</v>
      </c>
      <c r="U954" s="4">
        <v>0</v>
      </c>
      <c r="V954" s="7">
        <f t="shared" si="532"/>
        <v>5500</v>
      </c>
    </row>
    <row r="955" spans="1:258" s="19" customFormat="1" ht="21.95" customHeight="1" x14ac:dyDescent="0.25">
      <c r="A955" s="52" t="s">
        <v>1191</v>
      </c>
      <c r="B955" s="9" t="s">
        <v>795</v>
      </c>
      <c r="C955" s="3">
        <f>D955+L955+N955+P955+R955+S955+T955+U955</f>
        <v>5953200.0000000009</v>
      </c>
      <c r="D955" s="4">
        <f>SUM(E955:J955)</f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5">
        <v>0</v>
      </c>
      <c r="L955" s="4">
        <v>0</v>
      </c>
      <c r="M955" s="6">
        <v>1082.4000000000001</v>
      </c>
      <c r="N955" s="4">
        <f>M955*5500</f>
        <v>5953200.0000000009</v>
      </c>
      <c r="O955" s="4">
        <v>0</v>
      </c>
      <c r="P955" s="4">
        <v>0</v>
      </c>
      <c r="Q955" s="6">
        <v>0</v>
      </c>
      <c r="R955" s="4">
        <f>Q955*3000</f>
        <v>0</v>
      </c>
      <c r="S955" s="4">
        <v>0</v>
      </c>
      <c r="T955" s="6">
        <v>0</v>
      </c>
      <c r="U955" s="4">
        <v>0</v>
      </c>
      <c r="V955" s="7">
        <f>N955/M955</f>
        <v>5500</v>
      </c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/>
      <c r="CC955" s="8"/>
      <c r="CD955" s="8"/>
      <c r="CE955" s="8"/>
      <c r="CF955" s="8"/>
      <c r="CG955" s="8"/>
      <c r="CH955" s="8"/>
      <c r="CI955" s="8"/>
      <c r="CJ955" s="8"/>
      <c r="CK955" s="8"/>
      <c r="CL955" s="8"/>
      <c r="CM955" s="8"/>
      <c r="CN955" s="8"/>
      <c r="CO955" s="8"/>
      <c r="CP955" s="8"/>
      <c r="CQ955" s="8"/>
      <c r="CR955" s="8"/>
      <c r="CS955" s="8"/>
      <c r="CT955" s="8"/>
      <c r="CU955" s="8"/>
      <c r="CV955" s="8"/>
      <c r="CW955" s="8"/>
      <c r="CX955" s="8"/>
      <c r="CY955" s="8"/>
      <c r="CZ955" s="8"/>
      <c r="DA955" s="8"/>
      <c r="DB955" s="8"/>
      <c r="DC955" s="8"/>
      <c r="DD955" s="8"/>
      <c r="DE955" s="8"/>
      <c r="DF955" s="8"/>
      <c r="DG955" s="8"/>
      <c r="DH955" s="8"/>
      <c r="DI955" s="8"/>
      <c r="DJ955" s="8"/>
      <c r="DK955" s="8"/>
      <c r="DL955" s="8"/>
      <c r="DM955" s="8"/>
      <c r="DN955" s="8"/>
      <c r="DO955" s="8"/>
      <c r="DP955" s="8"/>
      <c r="DQ955" s="8"/>
      <c r="DR955" s="8"/>
      <c r="DS955" s="8"/>
      <c r="DT955" s="8"/>
      <c r="DU955" s="8"/>
      <c r="DV955" s="8"/>
      <c r="DW955" s="8"/>
      <c r="DX955" s="8"/>
      <c r="DY955" s="8"/>
      <c r="DZ955" s="8"/>
      <c r="EA955" s="8"/>
      <c r="EB955" s="8"/>
      <c r="EC955" s="8"/>
      <c r="ED955" s="8"/>
      <c r="EE955" s="8"/>
      <c r="EF955" s="8"/>
      <c r="EG955" s="8"/>
      <c r="EH955" s="8"/>
      <c r="EI955" s="8"/>
      <c r="EJ955" s="8"/>
      <c r="EK955" s="8"/>
      <c r="EL955" s="8"/>
      <c r="EM955" s="8"/>
      <c r="EN955" s="8"/>
      <c r="EO955" s="8"/>
      <c r="EP955" s="8"/>
      <c r="EQ955" s="8"/>
      <c r="ER955" s="8"/>
      <c r="ES955" s="8"/>
      <c r="ET955" s="8"/>
      <c r="EU955" s="8"/>
      <c r="EV955" s="8"/>
      <c r="EW955" s="8"/>
      <c r="EX955" s="8"/>
      <c r="EY955" s="8"/>
      <c r="EZ955" s="8"/>
      <c r="FA955" s="8"/>
      <c r="FB955" s="8"/>
      <c r="FC955" s="8"/>
      <c r="FD955" s="8"/>
      <c r="FE955" s="8"/>
      <c r="FF955" s="8"/>
      <c r="FG955" s="8"/>
      <c r="FH955" s="8"/>
      <c r="FI955" s="8"/>
      <c r="FJ955" s="8"/>
      <c r="FK955" s="8"/>
      <c r="FL955" s="8"/>
      <c r="FM955" s="8"/>
      <c r="FN955" s="8"/>
      <c r="FO955" s="8"/>
      <c r="FP955" s="8"/>
      <c r="FQ955" s="8"/>
      <c r="FR955" s="8"/>
      <c r="FS955" s="8"/>
      <c r="FT955" s="8"/>
      <c r="FU955" s="8"/>
      <c r="FV955" s="8"/>
      <c r="FW955" s="8"/>
      <c r="FX955" s="8"/>
      <c r="FY955" s="8"/>
      <c r="FZ955" s="8"/>
      <c r="GA955" s="8"/>
      <c r="GB955" s="8"/>
      <c r="GC955" s="8"/>
      <c r="GD955" s="8"/>
      <c r="GE955" s="8"/>
      <c r="GF955" s="8"/>
      <c r="GG955" s="8"/>
      <c r="GH955" s="8"/>
      <c r="GI955" s="8"/>
      <c r="GJ955" s="8"/>
      <c r="GK955" s="8"/>
      <c r="GL955" s="8"/>
      <c r="GM955" s="8"/>
      <c r="GN955" s="8"/>
      <c r="GO955" s="8"/>
      <c r="GP955" s="8"/>
      <c r="GQ955" s="8"/>
      <c r="GR955" s="8"/>
      <c r="GS955" s="8"/>
      <c r="GT955" s="8"/>
      <c r="GU955" s="8"/>
      <c r="GV955" s="8"/>
      <c r="GW955" s="8"/>
      <c r="GX955" s="8"/>
      <c r="GY955" s="8"/>
      <c r="GZ955" s="8"/>
      <c r="HA955" s="8"/>
      <c r="HB955" s="8"/>
      <c r="HC955" s="8"/>
      <c r="HD955" s="8"/>
      <c r="HE955" s="8"/>
      <c r="HF955" s="8"/>
      <c r="HG955" s="8"/>
      <c r="HH955" s="8"/>
      <c r="HI955" s="8"/>
      <c r="HJ955" s="8"/>
      <c r="HK955" s="8"/>
      <c r="HL955" s="8"/>
      <c r="HM955" s="8"/>
      <c r="HN955" s="8"/>
      <c r="HO955" s="8"/>
      <c r="HP955" s="8"/>
      <c r="HQ955" s="8"/>
      <c r="HR955" s="8"/>
      <c r="HS955" s="8"/>
      <c r="HT955" s="8"/>
      <c r="HU955" s="8"/>
      <c r="HV955" s="8"/>
      <c r="HW955" s="8"/>
      <c r="HX955" s="8"/>
      <c r="HY955" s="8"/>
      <c r="HZ955" s="8"/>
      <c r="IA955" s="8"/>
      <c r="IB955" s="8"/>
      <c r="IC955" s="8"/>
      <c r="ID955" s="8"/>
      <c r="IE955" s="8"/>
      <c r="IF955" s="8"/>
      <c r="IG955" s="8"/>
      <c r="IH955" s="8"/>
      <c r="II955" s="8"/>
      <c r="IJ955" s="8"/>
      <c r="IK955" s="8"/>
      <c r="IL955" s="8"/>
      <c r="IM955" s="8"/>
      <c r="IN955" s="8"/>
      <c r="IO955" s="8"/>
      <c r="IP955" s="8"/>
      <c r="IQ955" s="8"/>
      <c r="IR955" s="8"/>
      <c r="IS955" s="8"/>
      <c r="IT955" s="8"/>
      <c r="IU955" s="8"/>
      <c r="IV955" s="8"/>
      <c r="IW955" s="8"/>
      <c r="IX955" s="8"/>
    </row>
    <row r="956" spans="1:258" ht="21.95" customHeight="1" x14ac:dyDescent="0.25">
      <c r="A956" s="52" t="s">
        <v>1192</v>
      </c>
      <c r="B956" s="9" t="s">
        <v>715</v>
      </c>
      <c r="C956" s="3">
        <f t="shared" si="534"/>
        <v>3045350.0000000005</v>
      </c>
      <c r="D956" s="4">
        <f t="shared" si="533"/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5">
        <v>0</v>
      </c>
      <c r="L956" s="4">
        <v>0</v>
      </c>
      <c r="M956" s="4">
        <v>553.70000000000005</v>
      </c>
      <c r="N956" s="4">
        <f t="shared" ref="N956:N964" si="535">M956*5500</f>
        <v>3045350.0000000005</v>
      </c>
      <c r="O956" s="4">
        <v>0</v>
      </c>
      <c r="P956" s="4">
        <v>0</v>
      </c>
      <c r="Q956" s="6">
        <v>0</v>
      </c>
      <c r="R956" s="4">
        <f t="shared" si="531"/>
        <v>0</v>
      </c>
      <c r="S956" s="4">
        <v>0</v>
      </c>
      <c r="T956" s="6">
        <v>0</v>
      </c>
      <c r="U956" s="4">
        <v>0</v>
      </c>
      <c r="V956" s="7">
        <f t="shared" si="532"/>
        <v>5500</v>
      </c>
    </row>
    <row r="957" spans="1:258" ht="21.95" customHeight="1" x14ac:dyDescent="0.25">
      <c r="A957" s="52" t="s">
        <v>1193</v>
      </c>
      <c r="B957" s="9" t="s">
        <v>718</v>
      </c>
      <c r="C957" s="3">
        <f t="shared" si="534"/>
        <v>2997500</v>
      </c>
      <c r="D957" s="4">
        <f t="shared" si="533"/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5">
        <v>0</v>
      </c>
      <c r="L957" s="4">
        <v>0</v>
      </c>
      <c r="M957" s="4">
        <v>545</v>
      </c>
      <c r="N957" s="4">
        <f t="shared" si="535"/>
        <v>2997500</v>
      </c>
      <c r="O957" s="4">
        <v>0</v>
      </c>
      <c r="P957" s="4">
        <v>0</v>
      </c>
      <c r="Q957" s="6">
        <v>0</v>
      </c>
      <c r="R957" s="4">
        <f t="shared" si="531"/>
        <v>0</v>
      </c>
      <c r="S957" s="4">
        <v>0</v>
      </c>
      <c r="T957" s="6">
        <v>0</v>
      </c>
      <c r="U957" s="4">
        <v>0</v>
      </c>
      <c r="V957" s="7">
        <f t="shared" si="532"/>
        <v>5500</v>
      </c>
    </row>
    <row r="958" spans="1:258" ht="21.95" customHeight="1" x14ac:dyDescent="0.25">
      <c r="A958" s="52" t="s">
        <v>1194</v>
      </c>
      <c r="B958" s="9" t="s">
        <v>719</v>
      </c>
      <c r="C958" s="3">
        <f t="shared" si="534"/>
        <v>2392500</v>
      </c>
      <c r="D958" s="4">
        <f t="shared" si="533"/>
        <v>0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5">
        <v>0</v>
      </c>
      <c r="L958" s="4">
        <v>0</v>
      </c>
      <c r="M958" s="4">
        <v>435</v>
      </c>
      <c r="N958" s="4">
        <f t="shared" si="535"/>
        <v>2392500</v>
      </c>
      <c r="O958" s="4">
        <v>0</v>
      </c>
      <c r="P958" s="4">
        <v>0</v>
      </c>
      <c r="Q958" s="6">
        <v>0</v>
      </c>
      <c r="R958" s="4">
        <f t="shared" si="531"/>
        <v>0</v>
      </c>
      <c r="S958" s="4">
        <v>0</v>
      </c>
      <c r="T958" s="6">
        <v>0</v>
      </c>
      <c r="U958" s="4">
        <v>0</v>
      </c>
      <c r="V958" s="7">
        <f t="shared" si="532"/>
        <v>5500</v>
      </c>
    </row>
    <row r="959" spans="1:258" ht="21.95" customHeight="1" x14ac:dyDescent="0.25">
      <c r="A959" s="52" t="s">
        <v>1195</v>
      </c>
      <c r="B959" s="9" t="s">
        <v>720</v>
      </c>
      <c r="C959" s="3">
        <f t="shared" si="534"/>
        <v>3247200</v>
      </c>
      <c r="D959" s="4">
        <f t="shared" si="533"/>
        <v>0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5">
        <v>0</v>
      </c>
      <c r="L959" s="4">
        <v>0</v>
      </c>
      <c r="M959" s="6">
        <v>590.4</v>
      </c>
      <c r="N959" s="4">
        <f t="shared" si="535"/>
        <v>3247200</v>
      </c>
      <c r="O959" s="4">
        <v>0</v>
      </c>
      <c r="P959" s="4">
        <v>0</v>
      </c>
      <c r="Q959" s="6">
        <v>0</v>
      </c>
      <c r="R959" s="4">
        <f t="shared" si="531"/>
        <v>0</v>
      </c>
      <c r="S959" s="4">
        <v>0</v>
      </c>
      <c r="T959" s="6">
        <v>0</v>
      </c>
      <c r="U959" s="4">
        <v>0</v>
      </c>
      <c r="V959" s="7">
        <f t="shared" si="532"/>
        <v>5500</v>
      </c>
    </row>
    <row r="960" spans="1:258" ht="21.95" customHeight="1" x14ac:dyDescent="0.25">
      <c r="A960" s="52" t="s">
        <v>1196</v>
      </c>
      <c r="B960" s="9" t="s">
        <v>721</v>
      </c>
      <c r="C960" s="3">
        <f t="shared" si="534"/>
        <v>3011250</v>
      </c>
      <c r="D960" s="4">
        <f t="shared" si="533"/>
        <v>0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5">
        <v>0</v>
      </c>
      <c r="L960" s="4">
        <v>0</v>
      </c>
      <c r="M960" s="4">
        <v>547.5</v>
      </c>
      <c r="N960" s="4">
        <f t="shared" si="535"/>
        <v>3011250</v>
      </c>
      <c r="O960" s="4">
        <v>0</v>
      </c>
      <c r="P960" s="4">
        <v>0</v>
      </c>
      <c r="Q960" s="6">
        <v>0</v>
      </c>
      <c r="R960" s="4">
        <f t="shared" si="531"/>
        <v>0</v>
      </c>
      <c r="S960" s="4">
        <v>0</v>
      </c>
      <c r="T960" s="6">
        <v>0</v>
      </c>
      <c r="U960" s="4">
        <v>0</v>
      </c>
      <c r="V960" s="7">
        <f t="shared" si="532"/>
        <v>5500</v>
      </c>
    </row>
    <row r="961" spans="1:258" ht="21.95" customHeight="1" x14ac:dyDescent="0.25">
      <c r="A961" s="52" t="s">
        <v>1366</v>
      </c>
      <c r="B961" s="9" t="s">
        <v>796</v>
      </c>
      <c r="C961" s="3">
        <f>D961+L961+N961+P961+R961+S961+T961+U961</f>
        <v>2640000</v>
      </c>
      <c r="D961" s="4">
        <f>SUM(E961:J961)</f>
        <v>0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5">
        <v>0</v>
      </c>
      <c r="L961" s="4">
        <v>0</v>
      </c>
      <c r="M961" s="6">
        <v>480</v>
      </c>
      <c r="N961" s="4">
        <f>M961*5500</f>
        <v>2640000</v>
      </c>
      <c r="O961" s="4">
        <v>0</v>
      </c>
      <c r="P961" s="4">
        <v>0</v>
      </c>
      <c r="Q961" s="6">
        <v>0</v>
      </c>
      <c r="R961" s="4">
        <f>Q961*3000</f>
        <v>0</v>
      </c>
      <c r="S961" s="4">
        <v>0</v>
      </c>
      <c r="T961" s="6">
        <v>0</v>
      </c>
      <c r="U961" s="4">
        <v>0</v>
      </c>
      <c r="V961" s="7">
        <f>N961/M961</f>
        <v>5500</v>
      </c>
    </row>
    <row r="962" spans="1:258" ht="21.95" customHeight="1" x14ac:dyDescent="0.25">
      <c r="A962" s="52" t="s">
        <v>1197</v>
      </c>
      <c r="B962" s="9" t="s">
        <v>716</v>
      </c>
      <c r="C962" s="3">
        <f>D962+L962+N962+P962+R962+S962+T962+U962</f>
        <v>2640000</v>
      </c>
      <c r="D962" s="4">
        <f>SUM(E962:J962)</f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5">
        <v>0</v>
      </c>
      <c r="L962" s="4">
        <v>0</v>
      </c>
      <c r="M962" s="4">
        <v>480</v>
      </c>
      <c r="N962" s="4">
        <f>M962*5500</f>
        <v>2640000</v>
      </c>
      <c r="O962" s="4">
        <v>0</v>
      </c>
      <c r="P962" s="4">
        <v>0</v>
      </c>
      <c r="Q962" s="6">
        <v>0</v>
      </c>
      <c r="R962" s="4">
        <f>Q962*3000</f>
        <v>0</v>
      </c>
      <c r="S962" s="4">
        <v>0</v>
      </c>
      <c r="T962" s="6">
        <v>0</v>
      </c>
      <c r="U962" s="4">
        <v>0</v>
      </c>
      <c r="V962" s="7">
        <f>N962/M962</f>
        <v>5500</v>
      </c>
    </row>
    <row r="963" spans="1:258" ht="21.95" customHeight="1" x14ac:dyDescent="0.25">
      <c r="A963" s="52" t="s">
        <v>1200</v>
      </c>
      <c r="B963" s="9" t="s">
        <v>717</v>
      </c>
      <c r="C963" s="3">
        <f>D963+L963+N963+P963+R963+S963+T963+U963</f>
        <v>4510000</v>
      </c>
      <c r="D963" s="4">
        <f>SUM(E963:J963)</f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5">
        <v>0</v>
      </c>
      <c r="L963" s="4">
        <v>0</v>
      </c>
      <c r="M963" s="6">
        <v>820</v>
      </c>
      <c r="N963" s="4">
        <f>M963*5500</f>
        <v>4510000</v>
      </c>
      <c r="O963" s="4">
        <v>0</v>
      </c>
      <c r="P963" s="4">
        <v>0</v>
      </c>
      <c r="Q963" s="6">
        <v>0</v>
      </c>
      <c r="R963" s="4">
        <f>Q963*3000</f>
        <v>0</v>
      </c>
      <c r="S963" s="4">
        <v>0</v>
      </c>
      <c r="T963" s="6">
        <v>0</v>
      </c>
      <c r="U963" s="4">
        <v>0</v>
      </c>
      <c r="V963" s="7">
        <f>N963/M963</f>
        <v>5500</v>
      </c>
    </row>
    <row r="964" spans="1:258" ht="21.95" customHeight="1" x14ac:dyDescent="0.25">
      <c r="A964" s="52" t="s">
        <v>1367</v>
      </c>
      <c r="B964" s="9" t="s">
        <v>798</v>
      </c>
      <c r="C964" s="3">
        <f t="shared" si="534"/>
        <v>3234000</v>
      </c>
      <c r="D964" s="4">
        <f t="shared" si="533"/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5">
        <v>0</v>
      </c>
      <c r="L964" s="4">
        <v>0</v>
      </c>
      <c r="M964" s="6">
        <v>588</v>
      </c>
      <c r="N964" s="4">
        <f t="shared" si="535"/>
        <v>3234000</v>
      </c>
      <c r="O964" s="4">
        <v>0</v>
      </c>
      <c r="P964" s="4">
        <v>0</v>
      </c>
      <c r="Q964" s="6">
        <v>0</v>
      </c>
      <c r="R964" s="4">
        <f t="shared" si="531"/>
        <v>0</v>
      </c>
      <c r="S964" s="4">
        <v>0</v>
      </c>
      <c r="T964" s="6">
        <v>0</v>
      </c>
      <c r="U964" s="4">
        <v>0</v>
      </c>
      <c r="V964" s="7">
        <f t="shared" si="532"/>
        <v>5500</v>
      </c>
    </row>
    <row r="965" spans="1:258" ht="21.95" customHeight="1" x14ac:dyDescent="0.25">
      <c r="A965" s="52" t="s">
        <v>1368</v>
      </c>
      <c r="B965" s="9" t="s">
        <v>722</v>
      </c>
      <c r="C965" s="3">
        <f t="shared" si="534"/>
        <v>23829830</v>
      </c>
      <c r="D965" s="4">
        <f t="shared" si="533"/>
        <v>23729830</v>
      </c>
      <c r="E965" s="4">
        <f>350*10097.8</f>
        <v>3534229.9999999995</v>
      </c>
      <c r="F965" s="4">
        <f>1050*10097.8</f>
        <v>10602690</v>
      </c>
      <c r="G965" s="4">
        <f>300*10097.8</f>
        <v>3029340</v>
      </c>
      <c r="H965" s="4">
        <f>400*10097.8</f>
        <v>4039119.9999999995</v>
      </c>
      <c r="I965" s="4">
        <f>250*10097.8</f>
        <v>2524450</v>
      </c>
      <c r="J965" s="4">
        <v>0</v>
      </c>
      <c r="K965" s="5">
        <v>0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f t="shared" si="531"/>
        <v>0</v>
      </c>
      <c r="S965" s="4">
        <v>0</v>
      </c>
      <c r="T965" s="6">
        <v>0</v>
      </c>
      <c r="U965" s="4">
        <v>100000</v>
      </c>
      <c r="V965" s="7" t="e">
        <f t="shared" si="532"/>
        <v>#DIV/0!</v>
      </c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  <c r="BN965" s="40"/>
      <c r="BO965" s="40"/>
      <c r="BP965" s="40"/>
      <c r="BQ965" s="40"/>
      <c r="BR965" s="40"/>
      <c r="BS965" s="40"/>
      <c r="BT965" s="40"/>
      <c r="BU965" s="40"/>
      <c r="BV965" s="40"/>
      <c r="BW965" s="40"/>
      <c r="BX965" s="40"/>
      <c r="BY965" s="40"/>
      <c r="BZ965" s="40"/>
      <c r="CA965" s="40"/>
      <c r="CB965" s="40"/>
      <c r="CC965" s="40"/>
      <c r="CD965" s="40"/>
      <c r="CE965" s="40"/>
      <c r="CF965" s="40"/>
      <c r="CG965" s="40"/>
      <c r="CH965" s="40"/>
      <c r="CI965" s="40"/>
      <c r="CJ965" s="40"/>
      <c r="CK965" s="40"/>
      <c r="CL965" s="40"/>
      <c r="CM965" s="40"/>
      <c r="CN965" s="40"/>
      <c r="CO965" s="40"/>
      <c r="CP965" s="40"/>
      <c r="CQ965" s="40"/>
      <c r="CR965" s="40"/>
      <c r="CS965" s="40"/>
      <c r="CT965" s="40"/>
      <c r="CU965" s="40"/>
      <c r="CV965" s="40"/>
      <c r="CW965" s="40"/>
      <c r="CX965" s="40"/>
      <c r="CY965" s="40"/>
      <c r="CZ965" s="40"/>
      <c r="DA965" s="40"/>
      <c r="DB965" s="40"/>
      <c r="DC965" s="40"/>
      <c r="DD965" s="40"/>
      <c r="DE965" s="40"/>
      <c r="DF965" s="40"/>
      <c r="DG965" s="40"/>
      <c r="DH965" s="40"/>
      <c r="DI965" s="40"/>
      <c r="DJ965" s="40"/>
      <c r="DK965" s="40"/>
      <c r="DL965" s="40"/>
      <c r="DM965" s="40"/>
      <c r="DN965" s="40"/>
      <c r="DO965" s="40"/>
      <c r="DP965" s="40"/>
      <c r="DQ965" s="40"/>
      <c r="DR965" s="40"/>
      <c r="DS965" s="40"/>
      <c r="DT965" s="40"/>
      <c r="DU965" s="40"/>
      <c r="DV965" s="40"/>
      <c r="DW965" s="40"/>
      <c r="DX965" s="40"/>
      <c r="DY965" s="40"/>
      <c r="DZ965" s="40"/>
      <c r="EA965" s="40"/>
      <c r="EB965" s="40"/>
      <c r="EC965" s="40"/>
      <c r="ED965" s="40"/>
      <c r="EE965" s="40"/>
      <c r="EF965" s="40"/>
      <c r="EG965" s="40"/>
      <c r="EH965" s="40"/>
      <c r="EI965" s="40"/>
      <c r="EJ965" s="40"/>
      <c r="EK965" s="40"/>
      <c r="EL965" s="40"/>
      <c r="EM965" s="40"/>
      <c r="EN965" s="40"/>
      <c r="EO965" s="40"/>
      <c r="EP965" s="40"/>
      <c r="EQ965" s="40"/>
      <c r="ER965" s="40"/>
      <c r="ES965" s="40"/>
      <c r="ET965" s="40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  <c r="HA965" s="40"/>
      <c r="HB965" s="40"/>
      <c r="HC965" s="40"/>
      <c r="HD965" s="40"/>
      <c r="HE965" s="40"/>
      <c r="HF965" s="40"/>
      <c r="HG965" s="40"/>
      <c r="HH965" s="40"/>
      <c r="HI965" s="40"/>
      <c r="HJ965" s="40"/>
      <c r="HK965" s="40"/>
      <c r="HL965" s="40"/>
      <c r="HM965" s="40"/>
      <c r="HN965" s="40"/>
      <c r="HO965" s="40"/>
      <c r="HP965" s="40"/>
      <c r="HQ965" s="40"/>
      <c r="HR965" s="40"/>
      <c r="HS965" s="40"/>
      <c r="HT965" s="40"/>
      <c r="HU965" s="40"/>
      <c r="HV965" s="40"/>
      <c r="HW965" s="40"/>
      <c r="HX965" s="40"/>
      <c r="HY965" s="40"/>
      <c r="HZ965" s="40"/>
      <c r="IA965" s="40"/>
      <c r="IB965" s="40"/>
      <c r="IC965" s="40"/>
      <c r="ID965" s="40"/>
      <c r="IE965" s="40"/>
      <c r="IF965" s="40"/>
      <c r="IG965" s="40"/>
      <c r="IH965" s="40"/>
      <c r="II965" s="40"/>
      <c r="IJ965" s="40"/>
      <c r="IK965" s="40"/>
      <c r="IL965" s="40"/>
      <c r="IM965" s="40"/>
      <c r="IN965" s="40"/>
      <c r="IO965" s="40"/>
      <c r="IP965" s="40"/>
      <c r="IQ965" s="40"/>
      <c r="IR965" s="40"/>
      <c r="IS965" s="40"/>
      <c r="IT965" s="40"/>
      <c r="IU965" s="40"/>
      <c r="IV965" s="40"/>
      <c r="IW965" s="40"/>
      <c r="IX965" s="40"/>
    </row>
    <row r="966" spans="1:258" ht="21.95" customHeight="1" x14ac:dyDescent="0.25">
      <c r="A966" s="52" t="s">
        <v>1369</v>
      </c>
      <c r="B966" s="9" t="s">
        <v>799</v>
      </c>
      <c r="C966" s="3">
        <f t="shared" si="534"/>
        <v>4268571</v>
      </c>
      <c r="D966" s="4">
        <f t="shared" si="533"/>
        <v>4168571</v>
      </c>
      <c r="E966" s="4">
        <f>350*1773.86</f>
        <v>620851</v>
      </c>
      <c r="F966" s="4">
        <f>1050*1773.86</f>
        <v>1862553</v>
      </c>
      <c r="G966" s="4">
        <f>300*1773.86</f>
        <v>532158</v>
      </c>
      <c r="H966" s="4">
        <f>400*1773.86</f>
        <v>709544</v>
      </c>
      <c r="I966" s="4">
        <f>250*1773.86</f>
        <v>443465</v>
      </c>
      <c r="J966" s="4">
        <v>0</v>
      </c>
      <c r="K966" s="5">
        <v>0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f t="shared" si="531"/>
        <v>0</v>
      </c>
      <c r="S966" s="4">
        <v>0</v>
      </c>
      <c r="T966" s="6">
        <v>0</v>
      </c>
      <c r="U966" s="4">
        <v>100000</v>
      </c>
      <c r="V966" s="7" t="e">
        <f t="shared" si="532"/>
        <v>#DIV/0!</v>
      </c>
    </row>
    <row r="967" spans="1:258" ht="21.95" customHeight="1" x14ac:dyDescent="0.25">
      <c r="A967" s="52" t="s">
        <v>1370</v>
      </c>
      <c r="B967" s="9" t="s">
        <v>723</v>
      </c>
      <c r="C967" s="3">
        <f t="shared" si="534"/>
        <v>1364000</v>
      </c>
      <c r="D967" s="4">
        <f t="shared" si="533"/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12">
        <v>0</v>
      </c>
      <c r="L967" s="6">
        <v>0</v>
      </c>
      <c r="M967" s="6">
        <v>248</v>
      </c>
      <c r="N967" s="4">
        <f t="shared" ref="N967:N971" si="536">M967*5500</f>
        <v>1364000</v>
      </c>
      <c r="O967" s="4">
        <v>0</v>
      </c>
      <c r="P967" s="4">
        <v>0</v>
      </c>
      <c r="Q967" s="4">
        <v>0</v>
      </c>
      <c r="R967" s="4">
        <f t="shared" si="531"/>
        <v>0</v>
      </c>
      <c r="S967" s="4">
        <v>0</v>
      </c>
      <c r="T967" s="6">
        <v>0</v>
      </c>
      <c r="U967" s="4">
        <v>0</v>
      </c>
      <c r="V967" s="7">
        <f t="shared" si="532"/>
        <v>5500</v>
      </c>
    </row>
    <row r="968" spans="1:258" s="7" customFormat="1" ht="21.95" customHeight="1" x14ac:dyDescent="0.25">
      <c r="A968" s="52" t="s">
        <v>1371</v>
      </c>
      <c r="B968" s="9" t="s">
        <v>724</v>
      </c>
      <c r="C968" s="3">
        <f t="shared" si="534"/>
        <v>1408000</v>
      </c>
      <c r="D968" s="4">
        <f t="shared" si="533"/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12">
        <v>0</v>
      </c>
      <c r="L968" s="6">
        <v>0</v>
      </c>
      <c r="M968" s="4">
        <v>256</v>
      </c>
      <c r="N968" s="4">
        <f t="shared" si="536"/>
        <v>1408000</v>
      </c>
      <c r="O968" s="4">
        <v>0</v>
      </c>
      <c r="P968" s="4">
        <v>0</v>
      </c>
      <c r="Q968" s="4">
        <v>0</v>
      </c>
      <c r="R968" s="4">
        <f t="shared" si="531"/>
        <v>0</v>
      </c>
      <c r="S968" s="4">
        <v>0</v>
      </c>
      <c r="T968" s="6">
        <v>0</v>
      </c>
      <c r="U968" s="4">
        <v>0</v>
      </c>
      <c r="V968" s="7">
        <f t="shared" si="532"/>
        <v>5500</v>
      </c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  <c r="CF968" s="8"/>
      <c r="CG968" s="8"/>
      <c r="CH968" s="8"/>
      <c r="CI968" s="8"/>
      <c r="CJ968" s="8"/>
      <c r="CK968" s="8"/>
      <c r="CL968" s="8"/>
      <c r="CM968" s="8"/>
      <c r="CN968" s="8"/>
      <c r="CO968" s="8"/>
      <c r="CP968" s="8"/>
      <c r="CQ968" s="8"/>
      <c r="CR968" s="8"/>
      <c r="CS968" s="8"/>
      <c r="CT968" s="8"/>
      <c r="CU968" s="8"/>
      <c r="CV968" s="8"/>
      <c r="CW968" s="8"/>
      <c r="CX968" s="8"/>
      <c r="CY968" s="8"/>
      <c r="CZ968" s="8"/>
      <c r="DA968" s="8"/>
      <c r="DB968" s="8"/>
      <c r="DC968" s="8"/>
      <c r="DD968" s="8"/>
      <c r="DE968" s="8"/>
      <c r="DF968" s="8"/>
      <c r="DG968" s="8"/>
      <c r="DH968" s="8"/>
      <c r="DI968" s="8"/>
      <c r="DJ968" s="8"/>
      <c r="DK968" s="8"/>
      <c r="DL968" s="8"/>
      <c r="DM968" s="8"/>
      <c r="DN968" s="8"/>
      <c r="DO968" s="8"/>
      <c r="DP968" s="8"/>
      <c r="DQ968" s="8"/>
      <c r="DR968" s="8"/>
      <c r="DS968" s="8"/>
      <c r="DT968" s="8"/>
      <c r="DU968" s="8"/>
      <c r="DV968" s="8"/>
      <c r="DW968" s="8"/>
      <c r="DX968" s="8"/>
      <c r="DY968" s="8"/>
      <c r="DZ968" s="8"/>
      <c r="EA968" s="8"/>
      <c r="EB968" s="8"/>
      <c r="EC968" s="8"/>
      <c r="ED968" s="8"/>
      <c r="EE968" s="8"/>
      <c r="EF968" s="8"/>
      <c r="EG968" s="8"/>
      <c r="EH968" s="8"/>
      <c r="EI968" s="8"/>
      <c r="EJ968" s="8"/>
      <c r="EK968" s="8"/>
      <c r="EL968" s="8"/>
      <c r="EM968" s="8"/>
      <c r="EN968" s="8"/>
      <c r="EO968" s="8"/>
      <c r="EP968" s="8"/>
      <c r="EQ968" s="8"/>
      <c r="ER968" s="8"/>
      <c r="ES968" s="8"/>
      <c r="ET968" s="8"/>
      <c r="EU968" s="8"/>
      <c r="EV968" s="8"/>
      <c r="EW968" s="8"/>
      <c r="EX968" s="8"/>
      <c r="EY968" s="8"/>
      <c r="EZ968" s="8"/>
      <c r="FA968" s="8"/>
      <c r="FB968" s="8"/>
      <c r="FC968" s="8"/>
      <c r="FD968" s="8"/>
      <c r="FE968" s="8"/>
      <c r="FF968" s="8"/>
      <c r="FG968" s="8"/>
      <c r="FH968" s="8"/>
      <c r="FI968" s="8"/>
      <c r="FJ968" s="8"/>
      <c r="FK968" s="8"/>
      <c r="FL968" s="8"/>
      <c r="FM968" s="8"/>
      <c r="FN968" s="8"/>
      <c r="FO968" s="8"/>
      <c r="FP968" s="8"/>
      <c r="FQ968" s="8"/>
      <c r="FR968" s="8"/>
      <c r="FS968" s="8"/>
      <c r="FT968" s="8"/>
      <c r="FU968" s="8"/>
      <c r="FV968" s="8"/>
      <c r="FW968" s="8"/>
      <c r="FX968" s="8"/>
      <c r="FY968" s="8"/>
      <c r="FZ968" s="8"/>
      <c r="GA968" s="8"/>
      <c r="GB968" s="8"/>
      <c r="GC968" s="8"/>
      <c r="GD968" s="8"/>
      <c r="GE968" s="8"/>
      <c r="GF968" s="8"/>
      <c r="GG968" s="8"/>
      <c r="GH968" s="8"/>
      <c r="GI968" s="8"/>
      <c r="GJ968" s="8"/>
      <c r="GK968" s="8"/>
      <c r="GL968" s="8"/>
      <c r="GM968" s="8"/>
      <c r="GN968" s="8"/>
      <c r="GO968" s="8"/>
      <c r="GP968" s="8"/>
      <c r="GQ968" s="8"/>
      <c r="GR968" s="8"/>
      <c r="GS968" s="8"/>
      <c r="GT968" s="8"/>
      <c r="GU968" s="8"/>
      <c r="GV968" s="8"/>
      <c r="GW968" s="8"/>
      <c r="GX968" s="8"/>
      <c r="GY968" s="8"/>
      <c r="GZ968" s="8"/>
      <c r="HA968" s="8"/>
      <c r="HB968" s="8"/>
      <c r="HC968" s="8"/>
      <c r="HD968" s="8"/>
      <c r="HE968" s="8"/>
      <c r="HF968" s="8"/>
      <c r="HG968" s="8"/>
      <c r="HH968" s="8"/>
      <c r="HI968" s="8"/>
      <c r="HJ968" s="8"/>
      <c r="HK968" s="8"/>
      <c r="HL968" s="8"/>
      <c r="HM968" s="8"/>
      <c r="HN968" s="8"/>
      <c r="HO968" s="8"/>
      <c r="HP968" s="8"/>
      <c r="HQ968" s="8"/>
      <c r="HR968" s="8"/>
      <c r="HS968" s="8"/>
      <c r="HT968" s="8"/>
      <c r="HU968" s="8"/>
      <c r="HV968" s="8"/>
      <c r="HW968" s="8"/>
      <c r="HX968" s="8"/>
      <c r="HY968" s="8"/>
      <c r="HZ968" s="8"/>
      <c r="IA968" s="8"/>
      <c r="IB968" s="8"/>
      <c r="IC968" s="8"/>
      <c r="ID968" s="8"/>
      <c r="IE968" s="8"/>
      <c r="IF968" s="8"/>
      <c r="IG968" s="8"/>
      <c r="IH968" s="8"/>
      <c r="II968" s="8"/>
      <c r="IJ968" s="8"/>
      <c r="IK968" s="8"/>
      <c r="IL968" s="8"/>
      <c r="IM968" s="8"/>
      <c r="IN968" s="8"/>
      <c r="IO968" s="8"/>
      <c r="IP968" s="8"/>
      <c r="IQ968" s="8"/>
      <c r="IR968" s="8"/>
      <c r="IS968" s="8"/>
      <c r="IT968" s="8"/>
      <c r="IU968" s="8"/>
      <c r="IV968" s="8"/>
      <c r="IW968" s="8"/>
      <c r="IX968" s="8"/>
    </row>
    <row r="969" spans="1:258" ht="21.95" customHeight="1" x14ac:dyDescent="0.25">
      <c r="A969" s="52" t="s">
        <v>1372</v>
      </c>
      <c r="B969" s="9" t="s">
        <v>725</v>
      </c>
      <c r="C969" s="3">
        <f t="shared" si="534"/>
        <v>1332100</v>
      </c>
      <c r="D969" s="4">
        <f t="shared" si="533"/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12">
        <v>0</v>
      </c>
      <c r="L969" s="6">
        <v>0</v>
      </c>
      <c r="M969" s="4">
        <v>242.2</v>
      </c>
      <c r="N969" s="4">
        <f t="shared" si="536"/>
        <v>1332100</v>
      </c>
      <c r="O969" s="4">
        <v>0</v>
      </c>
      <c r="P969" s="4">
        <v>0</v>
      </c>
      <c r="Q969" s="4">
        <v>0</v>
      </c>
      <c r="R969" s="4">
        <f t="shared" si="531"/>
        <v>0</v>
      </c>
      <c r="S969" s="4">
        <v>0</v>
      </c>
      <c r="T969" s="6">
        <v>0</v>
      </c>
      <c r="U969" s="4">
        <v>0</v>
      </c>
      <c r="V969" s="7">
        <f t="shared" si="532"/>
        <v>5500</v>
      </c>
    </row>
    <row r="970" spans="1:258" ht="21.95" customHeight="1" x14ac:dyDescent="0.25">
      <c r="A970" s="52" t="s">
        <v>1373</v>
      </c>
      <c r="B970" s="9" t="s">
        <v>800</v>
      </c>
      <c r="C970" s="3">
        <f t="shared" si="534"/>
        <v>1430000</v>
      </c>
      <c r="D970" s="4">
        <f t="shared" si="533"/>
        <v>0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0</v>
      </c>
      <c r="K970" s="12">
        <v>0</v>
      </c>
      <c r="L970" s="6">
        <v>0</v>
      </c>
      <c r="M970" s="4">
        <v>260</v>
      </c>
      <c r="N970" s="4">
        <f t="shared" si="536"/>
        <v>1430000</v>
      </c>
      <c r="O970" s="4">
        <v>0</v>
      </c>
      <c r="P970" s="4">
        <v>0</v>
      </c>
      <c r="Q970" s="4">
        <v>0</v>
      </c>
      <c r="R970" s="4">
        <f t="shared" si="531"/>
        <v>0</v>
      </c>
      <c r="S970" s="4">
        <v>0</v>
      </c>
      <c r="T970" s="6">
        <v>0</v>
      </c>
      <c r="U970" s="4">
        <v>0</v>
      </c>
      <c r="V970" s="7">
        <f t="shared" si="532"/>
        <v>5500</v>
      </c>
    </row>
    <row r="971" spans="1:258" ht="21.95" customHeight="1" x14ac:dyDescent="0.25">
      <c r="A971" s="52" t="s">
        <v>1374</v>
      </c>
      <c r="B971" s="9" t="s">
        <v>801</v>
      </c>
      <c r="C971" s="3">
        <f t="shared" si="534"/>
        <v>3843950</v>
      </c>
      <c r="D971" s="4">
        <f t="shared" si="533"/>
        <v>0</v>
      </c>
      <c r="E971" s="4">
        <v>0</v>
      </c>
      <c r="F971" s="4">
        <v>0</v>
      </c>
      <c r="G971" s="4">
        <v>0</v>
      </c>
      <c r="H971" s="4">
        <v>0</v>
      </c>
      <c r="I971" s="4">
        <v>0</v>
      </c>
      <c r="J971" s="4">
        <v>0</v>
      </c>
      <c r="K971" s="12">
        <v>0</v>
      </c>
      <c r="L971" s="6">
        <v>0</v>
      </c>
      <c r="M971" s="4">
        <v>698.9</v>
      </c>
      <c r="N971" s="4">
        <f t="shared" si="536"/>
        <v>3843950</v>
      </c>
      <c r="O971" s="4">
        <v>0</v>
      </c>
      <c r="P971" s="4">
        <v>0</v>
      </c>
      <c r="Q971" s="4">
        <v>0</v>
      </c>
      <c r="R971" s="4">
        <f t="shared" si="531"/>
        <v>0</v>
      </c>
      <c r="S971" s="4">
        <v>0</v>
      </c>
      <c r="T971" s="6">
        <v>0</v>
      </c>
      <c r="U971" s="4">
        <v>0</v>
      </c>
      <c r="V971" s="7">
        <f t="shared" si="532"/>
        <v>5500</v>
      </c>
    </row>
    <row r="972" spans="1:258" ht="21.95" customHeight="1" x14ac:dyDescent="0.25">
      <c r="A972" s="52" t="s">
        <v>1375</v>
      </c>
      <c r="B972" s="9" t="s">
        <v>828</v>
      </c>
      <c r="C972" s="3">
        <f t="shared" si="534"/>
        <v>8498567.5</v>
      </c>
      <c r="D972" s="4">
        <f t="shared" si="533"/>
        <v>3558017.5</v>
      </c>
      <c r="E972" s="4">
        <f>350*1514.05</f>
        <v>529917.5</v>
      </c>
      <c r="F972" s="4">
        <f>1050*1514.05</f>
        <v>1589752.5</v>
      </c>
      <c r="G972" s="4">
        <f>300*1514.05</f>
        <v>454215</v>
      </c>
      <c r="H972" s="4">
        <f>400*1514.05</f>
        <v>605620</v>
      </c>
      <c r="I972" s="4">
        <f>250*1514.05</f>
        <v>378512.5</v>
      </c>
      <c r="J972" s="4">
        <v>0</v>
      </c>
      <c r="K972" s="5">
        <v>0</v>
      </c>
      <c r="L972" s="4">
        <v>0</v>
      </c>
      <c r="M972" s="6">
        <v>880.1</v>
      </c>
      <c r="N972" s="4">
        <f t="shared" ref="N972:N978" si="537">M972*5500</f>
        <v>4840550</v>
      </c>
      <c r="O972" s="4">
        <v>0</v>
      </c>
      <c r="P972" s="4">
        <v>0</v>
      </c>
      <c r="Q972" s="4">
        <v>0</v>
      </c>
      <c r="R972" s="4">
        <f t="shared" si="531"/>
        <v>0</v>
      </c>
      <c r="S972" s="4">
        <v>0</v>
      </c>
      <c r="T972" s="6">
        <v>0</v>
      </c>
      <c r="U972" s="4">
        <v>100000</v>
      </c>
      <c r="V972" s="7">
        <f t="shared" si="532"/>
        <v>5500</v>
      </c>
    </row>
    <row r="973" spans="1:258" ht="21.95" customHeight="1" x14ac:dyDescent="0.25">
      <c r="A973" s="52" t="s">
        <v>1376</v>
      </c>
      <c r="B973" s="9" t="s">
        <v>802</v>
      </c>
      <c r="C973" s="3">
        <f t="shared" si="534"/>
        <v>6671500</v>
      </c>
      <c r="D973" s="4">
        <f t="shared" si="533"/>
        <v>0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12">
        <v>0</v>
      </c>
      <c r="L973" s="6">
        <v>0</v>
      </c>
      <c r="M973" s="4">
        <v>1213</v>
      </c>
      <c r="N973" s="4">
        <f t="shared" si="537"/>
        <v>6671500</v>
      </c>
      <c r="O973" s="4">
        <v>0</v>
      </c>
      <c r="P973" s="4">
        <v>0</v>
      </c>
      <c r="Q973" s="4">
        <v>0</v>
      </c>
      <c r="R973" s="4">
        <f t="shared" si="531"/>
        <v>0</v>
      </c>
      <c r="S973" s="4">
        <v>0</v>
      </c>
      <c r="T973" s="6">
        <v>0</v>
      </c>
      <c r="U973" s="4">
        <v>0</v>
      </c>
      <c r="V973" s="7">
        <f t="shared" si="532"/>
        <v>5500</v>
      </c>
    </row>
    <row r="974" spans="1:258" ht="21.95" customHeight="1" x14ac:dyDescent="0.25">
      <c r="A974" s="52" t="s">
        <v>1377</v>
      </c>
      <c r="B974" s="9" t="s">
        <v>726</v>
      </c>
      <c r="C974" s="3">
        <f t="shared" si="534"/>
        <v>4891150</v>
      </c>
      <c r="D974" s="4">
        <f t="shared" si="533"/>
        <v>0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12">
        <v>0</v>
      </c>
      <c r="L974" s="6">
        <v>0</v>
      </c>
      <c r="M974" s="4">
        <v>889.3</v>
      </c>
      <c r="N974" s="4">
        <f t="shared" si="537"/>
        <v>4891150</v>
      </c>
      <c r="O974" s="4">
        <v>0</v>
      </c>
      <c r="P974" s="4">
        <v>0</v>
      </c>
      <c r="Q974" s="4">
        <v>0</v>
      </c>
      <c r="R974" s="4">
        <f t="shared" si="531"/>
        <v>0</v>
      </c>
      <c r="S974" s="4">
        <v>0</v>
      </c>
      <c r="T974" s="6">
        <v>0</v>
      </c>
      <c r="U974" s="4">
        <v>0</v>
      </c>
      <c r="V974" s="7">
        <f t="shared" si="532"/>
        <v>5500</v>
      </c>
    </row>
    <row r="975" spans="1:258" ht="21.95" customHeight="1" x14ac:dyDescent="0.25">
      <c r="A975" s="52" t="s">
        <v>1378</v>
      </c>
      <c r="B975" s="9" t="s">
        <v>727</v>
      </c>
      <c r="C975" s="3">
        <f t="shared" si="534"/>
        <v>2543500</v>
      </c>
      <c r="D975" s="4">
        <f t="shared" si="533"/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12">
        <v>0</v>
      </c>
      <c r="L975" s="6">
        <v>0</v>
      </c>
      <c r="M975" s="6">
        <v>289</v>
      </c>
      <c r="N975" s="4">
        <f t="shared" si="537"/>
        <v>1589500</v>
      </c>
      <c r="O975" s="6">
        <v>0</v>
      </c>
      <c r="P975" s="6">
        <v>0</v>
      </c>
      <c r="Q975" s="6">
        <v>318</v>
      </c>
      <c r="R975" s="4">
        <f t="shared" si="531"/>
        <v>954000</v>
      </c>
      <c r="S975" s="6">
        <v>0</v>
      </c>
      <c r="T975" s="6">
        <v>0</v>
      </c>
      <c r="U975" s="6">
        <v>0</v>
      </c>
      <c r="V975" s="7">
        <f t="shared" si="532"/>
        <v>5500</v>
      </c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  <c r="BM975" s="49"/>
      <c r="BN975" s="49"/>
      <c r="BO975" s="49"/>
      <c r="BP975" s="49"/>
      <c r="BQ975" s="49"/>
      <c r="BR975" s="49"/>
      <c r="BS975" s="49"/>
      <c r="BT975" s="49"/>
      <c r="BU975" s="49"/>
      <c r="BV975" s="49"/>
      <c r="BW975" s="49"/>
      <c r="BX975" s="49"/>
      <c r="BY975" s="49"/>
      <c r="BZ975" s="49"/>
      <c r="CA975" s="49"/>
      <c r="CB975" s="49"/>
      <c r="CC975" s="49"/>
      <c r="CD975" s="49"/>
      <c r="CE975" s="49"/>
      <c r="CF975" s="49"/>
      <c r="CG975" s="49"/>
      <c r="CH975" s="49"/>
      <c r="CI975" s="49"/>
      <c r="CJ975" s="49"/>
      <c r="CK975" s="49"/>
      <c r="CL975" s="49"/>
      <c r="CM975" s="49"/>
      <c r="CN975" s="49"/>
      <c r="CO975" s="49"/>
      <c r="CP975" s="49"/>
      <c r="CQ975" s="49"/>
      <c r="CR975" s="49"/>
      <c r="CS975" s="49"/>
      <c r="CT975" s="49"/>
      <c r="CU975" s="49"/>
      <c r="CV975" s="49"/>
      <c r="CW975" s="49"/>
      <c r="CX975" s="49"/>
      <c r="CY975" s="49"/>
      <c r="CZ975" s="49"/>
      <c r="DA975" s="49"/>
      <c r="DB975" s="49"/>
      <c r="DC975" s="49"/>
      <c r="DD975" s="49"/>
      <c r="DE975" s="49"/>
      <c r="DF975" s="49"/>
      <c r="DG975" s="49"/>
      <c r="DH975" s="49"/>
      <c r="DI975" s="49"/>
      <c r="DJ975" s="49"/>
      <c r="DK975" s="49"/>
      <c r="DL975" s="49"/>
      <c r="DM975" s="49"/>
      <c r="DN975" s="49"/>
      <c r="DO975" s="49"/>
      <c r="DP975" s="49"/>
      <c r="DQ975" s="49"/>
      <c r="DR975" s="49"/>
      <c r="DS975" s="49"/>
      <c r="DT975" s="49"/>
      <c r="DU975" s="49"/>
      <c r="DV975" s="49"/>
      <c r="DW975" s="49"/>
      <c r="DX975" s="49"/>
      <c r="DY975" s="49"/>
      <c r="DZ975" s="49"/>
      <c r="EA975" s="49"/>
      <c r="EB975" s="49"/>
      <c r="EC975" s="49"/>
      <c r="ED975" s="49"/>
      <c r="EE975" s="49"/>
      <c r="EF975" s="49"/>
      <c r="EG975" s="49"/>
      <c r="EH975" s="49"/>
      <c r="EI975" s="49"/>
      <c r="EJ975" s="49"/>
      <c r="EK975" s="49"/>
      <c r="EL975" s="49"/>
      <c r="EM975" s="49"/>
      <c r="EN975" s="49"/>
      <c r="EO975" s="49"/>
      <c r="EP975" s="49"/>
      <c r="EQ975" s="49"/>
      <c r="ER975" s="49"/>
      <c r="ES975" s="49"/>
      <c r="ET975" s="49"/>
      <c r="EU975" s="49"/>
      <c r="EV975" s="49"/>
      <c r="EW975" s="49"/>
      <c r="EX975" s="49"/>
      <c r="EY975" s="49"/>
      <c r="EZ975" s="49"/>
      <c r="FA975" s="49"/>
      <c r="FB975" s="49"/>
      <c r="FC975" s="49"/>
      <c r="FD975" s="49"/>
      <c r="FE975" s="49"/>
      <c r="FF975" s="49"/>
      <c r="FG975" s="49"/>
      <c r="FH975" s="49"/>
      <c r="FI975" s="49"/>
      <c r="FJ975" s="49"/>
      <c r="FK975" s="49"/>
      <c r="FL975" s="49"/>
      <c r="FM975" s="49"/>
      <c r="FN975" s="49"/>
      <c r="FO975" s="49"/>
      <c r="FP975" s="49"/>
      <c r="FQ975" s="49"/>
      <c r="FR975" s="49"/>
      <c r="FS975" s="49"/>
      <c r="FT975" s="49"/>
      <c r="FU975" s="49"/>
      <c r="FV975" s="49"/>
      <c r="FW975" s="49"/>
      <c r="FX975" s="49"/>
      <c r="FY975" s="49"/>
      <c r="FZ975" s="49"/>
      <c r="GA975" s="49"/>
      <c r="GB975" s="49"/>
      <c r="GC975" s="49"/>
      <c r="GD975" s="49"/>
      <c r="GE975" s="49"/>
      <c r="GF975" s="49"/>
      <c r="GG975" s="49"/>
      <c r="GH975" s="49"/>
      <c r="GI975" s="49"/>
      <c r="GJ975" s="41"/>
      <c r="GK975" s="41"/>
      <c r="GL975" s="41"/>
      <c r="GM975" s="41"/>
      <c r="GN975" s="41"/>
      <c r="GO975" s="41"/>
      <c r="GP975" s="41"/>
      <c r="GQ975" s="41"/>
      <c r="GR975" s="41"/>
      <c r="GS975" s="41"/>
      <c r="GT975" s="41"/>
      <c r="GU975" s="41"/>
      <c r="GV975" s="41"/>
      <c r="GW975" s="41"/>
      <c r="GX975" s="41"/>
      <c r="GY975" s="41"/>
      <c r="GZ975" s="41"/>
      <c r="HA975" s="41"/>
      <c r="HB975" s="41"/>
      <c r="HC975" s="41"/>
      <c r="HD975" s="41"/>
      <c r="HE975" s="41"/>
      <c r="HF975" s="41"/>
      <c r="HG975" s="41"/>
      <c r="HH975" s="41"/>
      <c r="HI975" s="41"/>
      <c r="HJ975" s="41"/>
      <c r="HK975" s="41"/>
      <c r="HL975" s="41"/>
      <c r="HM975" s="41"/>
      <c r="HN975" s="41"/>
      <c r="HO975" s="41"/>
      <c r="HP975" s="41"/>
      <c r="HQ975" s="41"/>
      <c r="HR975" s="41"/>
      <c r="HS975" s="41"/>
      <c r="HT975" s="41"/>
      <c r="HU975" s="41"/>
      <c r="HV975" s="41"/>
      <c r="HW975" s="41"/>
      <c r="HX975" s="41"/>
      <c r="HY975" s="41"/>
      <c r="HZ975" s="41"/>
      <c r="IA975" s="41"/>
      <c r="IB975" s="41"/>
      <c r="IC975" s="41"/>
      <c r="ID975" s="41"/>
      <c r="IE975" s="41"/>
      <c r="IF975" s="41"/>
      <c r="IG975" s="41"/>
      <c r="IH975" s="41"/>
      <c r="II975" s="41"/>
      <c r="IJ975" s="41"/>
      <c r="IK975" s="41"/>
      <c r="IL975" s="41"/>
      <c r="IM975" s="41"/>
      <c r="IN975" s="41"/>
      <c r="IO975" s="41"/>
      <c r="IP975" s="41"/>
      <c r="IQ975" s="41"/>
      <c r="IR975" s="41"/>
      <c r="IS975" s="41"/>
      <c r="IT975" s="41"/>
      <c r="IU975" s="41"/>
      <c r="IV975" s="41"/>
      <c r="IW975" s="41"/>
      <c r="IX975" s="41"/>
    </row>
    <row r="976" spans="1:258" s="19" customFormat="1" ht="21.95" customHeight="1" x14ac:dyDescent="0.25">
      <c r="A976" s="52" t="s">
        <v>1462</v>
      </c>
      <c r="B976" s="28" t="s">
        <v>728</v>
      </c>
      <c r="C976" s="3">
        <f t="shared" si="534"/>
        <v>2959000</v>
      </c>
      <c r="D976" s="4">
        <f t="shared" si="533"/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5">
        <v>0</v>
      </c>
      <c r="L976" s="4">
        <v>0</v>
      </c>
      <c r="M976" s="4">
        <v>538</v>
      </c>
      <c r="N976" s="4">
        <f t="shared" si="537"/>
        <v>2959000</v>
      </c>
      <c r="O976" s="4">
        <v>0</v>
      </c>
      <c r="P976" s="4">
        <v>0</v>
      </c>
      <c r="Q976" s="4">
        <v>0</v>
      </c>
      <c r="R976" s="4">
        <f t="shared" si="531"/>
        <v>0</v>
      </c>
      <c r="S976" s="4">
        <v>0</v>
      </c>
      <c r="T976" s="6">
        <v>0</v>
      </c>
      <c r="U976" s="4">
        <v>0</v>
      </c>
      <c r="V976" s="7">
        <f t="shared" si="532"/>
        <v>5500</v>
      </c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  <c r="CF976" s="8"/>
      <c r="CG976" s="8"/>
      <c r="CH976" s="8"/>
      <c r="CI976" s="8"/>
      <c r="CJ976" s="8"/>
      <c r="CK976" s="8"/>
      <c r="CL976" s="8"/>
      <c r="CM976" s="8"/>
      <c r="CN976" s="8"/>
      <c r="CO976" s="8"/>
      <c r="CP976" s="8"/>
      <c r="CQ976" s="8"/>
      <c r="CR976" s="8"/>
      <c r="CS976" s="8"/>
      <c r="CT976" s="8"/>
      <c r="CU976" s="8"/>
      <c r="CV976" s="8"/>
      <c r="CW976" s="8"/>
      <c r="CX976" s="8"/>
      <c r="CY976" s="8"/>
      <c r="CZ976" s="8"/>
      <c r="DA976" s="8"/>
      <c r="DB976" s="8"/>
      <c r="DC976" s="8"/>
      <c r="DD976" s="8"/>
      <c r="DE976" s="8"/>
      <c r="DF976" s="8"/>
      <c r="DG976" s="8"/>
      <c r="DH976" s="8"/>
      <c r="DI976" s="8"/>
      <c r="DJ976" s="8"/>
      <c r="DK976" s="8"/>
      <c r="DL976" s="8"/>
      <c r="DM976" s="8"/>
      <c r="DN976" s="8"/>
      <c r="DO976" s="8"/>
      <c r="DP976" s="8"/>
      <c r="DQ976" s="8"/>
      <c r="DR976" s="8"/>
      <c r="DS976" s="8"/>
      <c r="DT976" s="8"/>
      <c r="DU976" s="8"/>
      <c r="DV976" s="8"/>
      <c r="DW976" s="8"/>
      <c r="DX976" s="8"/>
      <c r="DY976" s="8"/>
      <c r="DZ976" s="8"/>
      <c r="EA976" s="8"/>
      <c r="EB976" s="8"/>
      <c r="EC976" s="8"/>
      <c r="ED976" s="8"/>
      <c r="EE976" s="8"/>
      <c r="EF976" s="8"/>
      <c r="EG976" s="8"/>
      <c r="EH976" s="8"/>
      <c r="EI976" s="8"/>
      <c r="EJ976" s="8"/>
      <c r="EK976" s="8"/>
      <c r="EL976" s="8"/>
      <c r="EM976" s="8"/>
      <c r="EN976" s="8"/>
      <c r="EO976" s="8"/>
      <c r="EP976" s="8"/>
      <c r="EQ976" s="8"/>
      <c r="ER976" s="8"/>
      <c r="ES976" s="8"/>
      <c r="ET976" s="8"/>
      <c r="EU976" s="8"/>
      <c r="EV976" s="8"/>
      <c r="EW976" s="8"/>
      <c r="EX976" s="8"/>
      <c r="EY976" s="8"/>
      <c r="EZ976" s="8"/>
      <c r="FA976" s="8"/>
      <c r="FB976" s="8"/>
      <c r="FC976" s="8"/>
      <c r="FD976" s="8"/>
      <c r="FE976" s="8"/>
      <c r="FF976" s="8"/>
      <c r="FG976" s="8"/>
      <c r="FH976" s="8"/>
      <c r="FI976" s="8"/>
      <c r="FJ976" s="8"/>
      <c r="FK976" s="8"/>
      <c r="FL976" s="8"/>
      <c r="FM976" s="8"/>
      <c r="FN976" s="8"/>
      <c r="FO976" s="8"/>
      <c r="FP976" s="8"/>
      <c r="FQ976" s="8"/>
      <c r="FR976" s="8"/>
      <c r="FS976" s="8"/>
      <c r="FT976" s="8"/>
      <c r="FU976" s="8"/>
      <c r="FV976" s="8"/>
      <c r="FW976" s="8"/>
      <c r="FX976" s="8"/>
      <c r="FY976" s="8"/>
      <c r="FZ976" s="8"/>
      <c r="GA976" s="8"/>
      <c r="GB976" s="8"/>
      <c r="GC976" s="8"/>
      <c r="GD976" s="8"/>
      <c r="GE976" s="8"/>
      <c r="GF976" s="8"/>
      <c r="GG976" s="8"/>
      <c r="GH976" s="8"/>
      <c r="GI976" s="8"/>
      <c r="GJ976" s="8"/>
      <c r="GK976" s="8"/>
      <c r="GL976" s="8"/>
      <c r="GM976" s="8"/>
      <c r="GN976" s="8"/>
      <c r="GO976" s="8"/>
      <c r="GP976" s="8"/>
      <c r="GQ976" s="8"/>
      <c r="GR976" s="8"/>
      <c r="GS976" s="8"/>
      <c r="GT976" s="8"/>
      <c r="GU976" s="8"/>
      <c r="GV976" s="8"/>
      <c r="GW976" s="8"/>
      <c r="GX976" s="8"/>
      <c r="GY976" s="8"/>
      <c r="GZ976" s="8"/>
      <c r="HA976" s="8"/>
      <c r="HB976" s="8"/>
      <c r="HC976" s="8"/>
      <c r="HD976" s="8"/>
      <c r="HE976" s="8"/>
      <c r="HF976" s="8"/>
      <c r="HG976" s="8"/>
      <c r="HH976" s="8"/>
      <c r="HI976" s="8"/>
      <c r="HJ976" s="8"/>
      <c r="HK976" s="8"/>
      <c r="HL976" s="8"/>
      <c r="HM976" s="8"/>
      <c r="HN976" s="8"/>
      <c r="HO976" s="8"/>
      <c r="HP976" s="8"/>
      <c r="HQ976" s="8"/>
      <c r="HR976" s="8"/>
      <c r="HS976" s="8"/>
      <c r="HT976" s="8"/>
      <c r="HU976" s="8"/>
      <c r="HV976" s="8"/>
      <c r="HW976" s="8"/>
      <c r="HX976" s="8"/>
      <c r="HY976" s="8"/>
      <c r="HZ976" s="8"/>
      <c r="IA976" s="8"/>
      <c r="IB976" s="8"/>
      <c r="IC976" s="8"/>
      <c r="ID976" s="8"/>
      <c r="IE976" s="8"/>
      <c r="IF976" s="8"/>
      <c r="IG976" s="8"/>
      <c r="IH976" s="8"/>
      <c r="II976" s="8"/>
      <c r="IJ976" s="8"/>
      <c r="IK976" s="8"/>
      <c r="IL976" s="8"/>
      <c r="IM976" s="8"/>
      <c r="IN976" s="8"/>
      <c r="IO976" s="8"/>
      <c r="IP976" s="8"/>
      <c r="IQ976" s="8"/>
      <c r="IR976" s="8"/>
      <c r="IS976" s="8"/>
      <c r="IT976" s="8"/>
      <c r="IU976" s="8"/>
      <c r="IV976" s="8"/>
      <c r="IW976" s="8"/>
      <c r="IX976" s="8"/>
    </row>
    <row r="977" spans="1:258" s="7" customFormat="1" ht="21.95" customHeight="1" x14ac:dyDescent="0.25">
      <c r="A977" s="52" t="s">
        <v>1463</v>
      </c>
      <c r="B977" s="28" t="s">
        <v>803</v>
      </c>
      <c r="C977" s="3">
        <f t="shared" si="534"/>
        <v>3570600.0000000005</v>
      </c>
      <c r="D977" s="4">
        <f t="shared" si="533"/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5">
        <v>0</v>
      </c>
      <c r="L977" s="4">
        <v>0</v>
      </c>
      <c r="M977" s="6">
        <v>649.20000000000005</v>
      </c>
      <c r="N977" s="4">
        <f t="shared" si="537"/>
        <v>3570600.0000000005</v>
      </c>
      <c r="O977" s="4">
        <v>0</v>
      </c>
      <c r="P977" s="4">
        <v>0</v>
      </c>
      <c r="Q977" s="4">
        <v>0</v>
      </c>
      <c r="R977" s="4">
        <f t="shared" si="531"/>
        <v>0</v>
      </c>
      <c r="S977" s="4">
        <v>0</v>
      </c>
      <c r="T977" s="6">
        <v>0</v>
      </c>
      <c r="U977" s="4">
        <v>0</v>
      </c>
      <c r="V977" s="7">
        <f t="shared" si="532"/>
        <v>5500</v>
      </c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/>
      <c r="CC977" s="8"/>
      <c r="CD977" s="8"/>
      <c r="CE977" s="8"/>
      <c r="CF977" s="8"/>
      <c r="CG977" s="8"/>
      <c r="CH977" s="8"/>
      <c r="CI977" s="8"/>
      <c r="CJ977" s="8"/>
      <c r="CK977" s="8"/>
      <c r="CL977" s="8"/>
      <c r="CM977" s="8"/>
      <c r="CN977" s="8"/>
      <c r="CO977" s="8"/>
      <c r="CP977" s="8"/>
      <c r="CQ977" s="8"/>
      <c r="CR977" s="8"/>
      <c r="CS977" s="8"/>
      <c r="CT977" s="8"/>
      <c r="CU977" s="8"/>
      <c r="CV977" s="8"/>
      <c r="CW977" s="8"/>
      <c r="CX977" s="8"/>
      <c r="CY977" s="8"/>
      <c r="CZ977" s="8"/>
      <c r="DA977" s="8"/>
      <c r="DB977" s="8"/>
      <c r="DC977" s="8"/>
      <c r="DD977" s="8"/>
      <c r="DE977" s="8"/>
      <c r="DF977" s="8"/>
      <c r="DG977" s="8"/>
      <c r="DH977" s="8"/>
      <c r="DI977" s="8"/>
      <c r="DJ977" s="8"/>
      <c r="DK977" s="8"/>
      <c r="DL977" s="8"/>
      <c r="DM977" s="8"/>
      <c r="DN977" s="8"/>
      <c r="DO977" s="8"/>
      <c r="DP977" s="8"/>
      <c r="DQ977" s="8"/>
      <c r="DR977" s="8"/>
      <c r="DS977" s="8"/>
      <c r="DT977" s="8"/>
      <c r="DU977" s="8"/>
      <c r="DV977" s="8"/>
      <c r="DW977" s="8"/>
      <c r="DX977" s="8"/>
      <c r="DY977" s="8"/>
      <c r="DZ977" s="8"/>
      <c r="EA977" s="8"/>
      <c r="EB977" s="8"/>
      <c r="EC977" s="8"/>
      <c r="ED977" s="8"/>
      <c r="EE977" s="8"/>
      <c r="EF977" s="8"/>
      <c r="EG977" s="8"/>
      <c r="EH977" s="8"/>
      <c r="EI977" s="8"/>
      <c r="EJ977" s="8"/>
      <c r="EK977" s="8"/>
      <c r="EL977" s="8"/>
      <c r="EM977" s="8"/>
      <c r="EN977" s="8"/>
      <c r="EO977" s="8"/>
      <c r="EP977" s="8"/>
      <c r="EQ977" s="8"/>
      <c r="ER977" s="8"/>
      <c r="ES977" s="8"/>
      <c r="ET977" s="8"/>
      <c r="EU977" s="8"/>
      <c r="EV977" s="8"/>
      <c r="EW977" s="8"/>
      <c r="EX977" s="8"/>
      <c r="EY977" s="8"/>
      <c r="EZ977" s="8"/>
      <c r="FA977" s="8"/>
      <c r="FB977" s="8"/>
      <c r="FC977" s="8"/>
      <c r="FD977" s="8"/>
      <c r="FE977" s="8"/>
      <c r="FF977" s="8"/>
      <c r="FG977" s="8"/>
      <c r="FH977" s="8"/>
      <c r="FI977" s="8"/>
      <c r="FJ977" s="8"/>
      <c r="FK977" s="8"/>
      <c r="FL977" s="8"/>
      <c r="FM977" s="8"/>
      <c r="FN977" s="8"/>
      <c r="FO977" s="8"/>
      <c r="FP977" s="8"/>
      <c r="FQ977" s="8"/>
      <c r="FR977" s="8"/>
      <c r="FS977" s="8"/>
      <c r="FT977" s="8"/>
      <c r="FU977" s="8"/>
      <c r="FV977" s="8"/>
      <c r="FW977" s="8"/>
      <c r="FX977" s="8"/>
      <c r="FY977" s="8"/>
      <c r="FZ977" s="8"/>
      <c r="GA977" s="8"/>
      <c r="GB977" s="8"/>
      <c r="GC977" s="8"/>
      <c r="GD977" s="8"/>
      <c r="GE977" s="8"/>
      <c r="GF977" s="8"/>
      <c r="GG977" s="8"/>
      <c r="GH977" s="8"/>
      <c r="GI977" s="8"/>
      <c r="GJ977" s="8"/>
      <c r="GK977" s="8"/>
      <c r="GL977" s="8"/>
      <c r="GM977" s="8"/>
      <c r="GN977" s="8"/>
      <c r="GO977" s="8"/>
      <c r="GP977" s="8"/>
      <c r="GQ977" s="8"/>
      <c r="GR977" s="8"/>
      <c r="GS977" s="8"/>
      <c r="GT977" s="8"/>
      <c r="GU977" s="8"/>
      <c r="GV977" s="8"/>
      <c r="GW977" s="8"/>
      <c r="GX977" s="8"/>
      <c r="GY977" s="8"/>
      <c r="GZ977" s="8"/>
      <c r="HA977" s="8"/>
      <c r="HB977" s="8"/>
      <c r="HC977" s="8"/>
      <c r="HD977" s="8"/>
      <c r="HE977" s="8"/>
      <c r="HF977" s="8"/>
      <c r="HG977" s="8"/>
      <c r="HH977" s="8"/>
      <c r="HI977" s="8"/>
      <c r="HJ977" s="8"/>
      <c r="HK977" s="8"/>
      <c r="HL977" s="8"/>
      <c r="HM977" s="8"/>
      <c r="HN977" s="8"/>
      <c r="HO977" s="8"/>
      <c r="HP977" s="8"/>
      <c r="HQ977" s="8"/>
      <c r="HR977" s="8"/>
      <c r="HS977" s="8"/>
      <c r="HT977" s="8"/>
      <c r="HU977" s="8"/>
      <c r="HV977" s="8"/>
      <c r="HW977" s="8"/>
      <c r="HX977" s="8"/>
      <c r="HY977" s="8"/>
      <c r="HZ977" s="8"/>
      <c r="IA977" s="8"/>
      <c r="IB977" s="8"/>
      <c r="IC977" s="8"/>
      <c r="ID977" s="8"/>
      <c r="IE977" s="8"/>
      <c r="IF977" s="8"/>
      <c r="IG977" s="8"/>
      <c r="IH977" s="8"/>
      <c r="II977" s="8"/>
      <c r="IJ977" s="8"/>
      <c r="IK977" s="8"/>
      <c r="IL977" s="8"/>
      <c r="IM977" s="8"/>
      <c r="IN977" s="8"/>
      <c r="IO977" s="8"/>
      <c r="IP977" s="8"/>
      <c r="IQ977" s="8"/>
      <c r="IR977" s="8"/>
      <c r="IS977" s="8"/>
      <c r="IT977" s="8"/>
      <c r="IU977" s="8"/>
      <c r="IV977" s="8"/>
      <c r="IW977" s="8"/>
      <c r="IX977" s="8"/>
    </row>
    <row r="978" spans="1:258" s="19" customFormat="1" ht="21.95" customHeight="1" x14ac:dyDescent="0.25">
      <c r="A978" s="52" t="s">
        <v>1464</v>
      </c>
      <c r="B978" s="9" t="s">
        <v>804</v>
      </c>
      <c r="C978" s="3">
        <f t="shared" si="534"/>
        <v>3587100.0000000005</v>
      </c>
      <c r="D978" s="4">
        <f t="shared" si="533"/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5">
        <v>0</v>
      </c>
      <c r="L978" s="4">
        <v>0</v>
      </c>
      <c r="M978" s="6">
        <v>652.20000000000005</v>
      </c>
      <c r="N978" s="4">
        <f t="shared" si="537"/>
        <v>3587100.0000000005</v>
      </c>
      <c r="O978" s="4">
        <v>0</v>
      </c>
      <c r="P978" s="4">
        <v>0</v>
      </c>
      <c r="Q978" s="4">
        <v>0</v>
      </c>
      <c r="R978" s="4">
        <f t="shared" si="531"/>
        <v>0</v>
      </c>
      <c r="S978" s="4">
        <v>0</v>
      </c>
      <c r="T978" s="6">
        <v>0</v>
      </c>
      <c r="U978" s="4">
        <v>0</v>
      </c>
      <c r="V978" s="7">
        <f t="shared" si="532"/>
        <v>5500</v>
      </c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/>
      <c r="CC978" s="8"/>
      <c r="CD978" s="8"/>
      <c r="CE978" s="8"/>
      <c r="CF978" s="8"/>
      <c r="CG978" s="8"/>
      <c r="CH978" s="8"/>
      <c r="CI978" s="8"/>
      <c r="CJ978" s="8"/>
      <c r="CK978" s="8"/>
      <c r="CL978" s="8"/>
      <c r="CM978" s="8"/>
      <c r="CN978" s="8"/>
      <c r="CO978" s="8"/>
      <c r="CP978" s="8"/>
      <c r="CQ978" s="8"/>
      <c r="CR978" s="8"/>
      <c r="CS978" s="8"/>
      <c r="CT978" s="8"/>
      <c r="CU978" s="8"/>
      <c r="CV978" s="8"/>
      <c r="CW978" s="8"/>
      <c r="CX978" s="8"/>
      <c r="CY978" s="8"/>
      <c r="CZ978" s="8"/>
      <c r="DA978" s="8"/>
      <c r="DB978" s="8"/>
      <c r="DC978" s="8"/>
      <c r="DD978" s="8"/>
      <c r="DE978" s="8"/>
      <c r="DF978" s="8"/>
      <c r="DG978" s="8"/>
      <c r="DH978" s="8"/>
      <c r="DI978" s="8"/>
      <c r="DJ978" s="8"/>
      <c r="DK978" s="8"/>
      <c r="DL978" s="8"/>
      <c r="DM978" s="8"/>
      <c r="DN978" s="8"/>
      <c r="DO978" s="8"/>
      <c r="DP978" s="8"/>
      <c r="DQ978" s="8"/>
      <c r="DR978" s="8"/>
      <c r="DS978" s="8"/>
      <c r="DT978" s="8"/>
      <c r="DU978" s="8"/>
      <c r="DV978" s="8"/>
      <c r="DW978" s="8"/>
      <c r="DX978" s="8"/>
      <c r="DY978" s="8"/>
      <c r="DZ978" s="8"/>
      <c r="EA978" s="8"/>
      <c r="EB978" s="8"/>
      <c r="EC978" s="8"/>
      <c r="ED978" s="8"/>
      <c r="EE978" s="8"/>
      <c r="EF978" s="8"/>
      <c r="EG978" s="8"/>
      <c r="EH978" s="8"/>
      <c r="EI978" s="8"/>
      <c r="EJ978" s="8"/>
      <c r="EK978" s="8"/>
      <c r="EL978" s="8"/>
      <c r="EM978" s="8"/>
      <c r="EN978" s="8"/>
      <c r="EO978" s="8"/>
      <c r="EP978" s="8"/>
      <c r="EQ978" s="8"/>
      <c r="ER978" s="8"/>
      <c r="ES978" s="8"/>
      <c r="ET978" s="8"/>
      <c r="EU978" s="8"/>
      <c r="EV978" s="8"/>
      <c r="EW978" s="8"/>
      <c r="EX978" s="8"/>
      <c r="EY978" s="8"/>
      <c r="EZ978" s="8"/>
      <c r="FA978" s="8"/>
      <c r="FB978" s="8"/>
      <c r="FC978" s="8"/>
      <c r="FD978" s="8"/>
      <c r="FE978" s="8"/>
      <c r="FF978" s="8"/>
      <c r="FG978" s="8"/>
      <c r="FH978" s="8"/>
      <c r="FI978" s="8"/>
      <c r="FJ978" s="8"/>
      <c r="FK978" s="8"/>
      <c r="FL978" s="8"/>
      <c r="FM978" s="8"/>
      <c r="FN978" s="8"/>
      <c r="FO978" s="8"/>
      <c r="FP978" s="8"/>
      <c r="FQ978" s="8"/>
      <c r="FR978" s="8"/>
      <c r="FS978" s="8"/>
      <c r="FT978" s="8"/>
      <c r="FU978" s="8"/>
      <c r="FV978" s="8"/>
      <c r="FW978" s="8"/>
      <c r="FX978" s="8"/>
      <c r="FY978" s="8"/>
      <c r="FZ978" s="8"/>
      <c r="GA978" s="8"/>
      <c r="GB978" s="8"/>
      <c r="GC978" s="8"/>
      <c r="GD978" s="8"/>
      <c r="GE978" s="8"/>
      <c r="GF978" s="8"/>
      <c r="GG978" s="8"/>
      <c r="GH978" s="8"/>
      <c r="GI978" s="8"/>
      <c r="GJ978" s="8"/>
      <c r="GK978" s="8"/>
      <c r="GL978" s="8"/>
      <c r="GM978" s="8"/>
      <c r="GN978" s="8"/>
      <c r="GO978" s="8"/>
      <c r="GP978" s="8"/>
      <c r="GQ978" s="8"/>
      <c r="GR978" s="8"/>
      <c r="GS978" s="8"/>
      <c r="GT978" s="8"/>
      <c r="GU978" s="8"/>
      <c r="GV978" s="8"/>
      <c r="GW978" s="8"/>
      <c r="GX978" s="8"/>
      <c r="GY978" s="8"/>
      <c r="GZ978" s="8"/>
      <c r="HA978" s="8"/>
      <c r="HB978" s="8"/>
      <c r="HC978" s="8"/>
      <c r="HD978" s="8"/>
      <c r="HE978" s="8"/>
      <c r="HF978" s="8"/>
      <c r="HG978" s="8"/>
      <c r="HH978" s="8"/>
      <c r="HI978" s="8"/>
      <c r="HJ978" s="8"/>
      <c r="HK978" s="8"/>
      <c r="HL978" s="8"/>
      <c r="HM978" s="8"/>
      <c r="HN978" s="8"/>
      <c r="HO978" s="8"/>
      <c r="HP978" s="8"/>
      <c r="HQ978" s="8"/>
      <c r="HR978" s="8"/>
      <c r="HS978" s="8"/>
      <c r="HT978" s="8"/>
      <c r="HU978" s="8"/>
      <c r="HV978" s="8"/>
      <c r="HW978" s="8"/>
      <c r="HX978" s="8"/>
      <c r="HY978" s="8"/>
      <c r="HZ978" s="8"/>
      <c r="IA978" s="8"/>
      <c r="IB978" s="8"/>
      <c r="IC978" s="8"/>
      <c r="ID978" s="8"/>
      <c r="IE978" s="8"/>
      <c r="IF978" s="8"/>
      <c r="IG978" s="8"/>
      <c r="IH978" s="8"/>
      <c r="II978" s="8"/>
      <c r="IJ978" s="8"/>
      <c r="IK978" s="8"/>
      <c r="IL978" s="8"/>
      <c r="IM978" s="8"/>
      <c r="IN978" s="8"/>
      <c r="IO978" s="8"/>
      <c r="IP978" s="8"/>
      <c r="IQ978" s="8"/>
      <c r="IR978" s="8"/>
      <c r="IS978" s="8"/>
      <c r="IT978" s="8"/>
      <c r="IU978" s="8"/>
      <c r="IV978" s="8"/>
      <c r="IW978" s="8"/>
      <c r="IX978" s="8"/>
    </row>
    <row r="979" spans="1:258" s="19" customFormat="1" ht="21.95" customHeight="1" x14ac:dyDescent="0.25">
      <c r="A979" s="52" t="s">
        <v>1465</v>
      </c>
      <c r="B979" s="9" t="s">
        <v>805</v>
      </c>
      <c r="C979" s="3">
        <f t="shared" si="534"/>
        <v>2830848</v>
      </c>
      <c r="D979" s="4">
        <f t="shared" si="533"/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5">
        <v>0</v>
      </c>
      <c r="L979" s="4">
        <v>0</v>
      </c>
      <c r="M979" s="6">
        <v>768</v>
      </c>
      <c r="N979" s="4">
        <f>M979*3686</f>
        <v>2830848</v>
      </c>
      <c r="O979" s="4">
        <v>0</v>
      </c>
      <c r="P979" s="4">
        <v>0</v>
      </c>
      <c r="Q979" s="4">
        <v>0</v>
      </c>
      <c r="R979" s="4">
        <f t="shared" si="531"/>
        <v>0</v>
      </c>
      <c r="S979" s="4">
        <v>0</v>
      </c>
      <c r="T979" s="6">
        <v>0</v>
      </c>
      <c r="U979" s="4">
        <v>0</v>
      </c>
      <c r="V979" s="7">
        <f t="shared" si="532"/>
        <v>3686</v>
      </c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/>
      <c r="CC979" s="8"/>
      <c r="CD979" s="8"/>
      <c r="CE979" s="8"/>
      <c r="CF979" s="8"/>
      <c r="CG979" s="8"/>
      <c r="CH979" s="8"/>
      <c r="CI979" s="8"/>
      <c r="CJ979" s="8"/>
      <c r="CK979" s="8"/>
      <c r="CL979" s="8"/>
      <c r="CM979" s="8"/>
      <c r="CN979" s="8"/>
      <c r="CO979" s="8"/>
      <c r="CP979" s="8"/>
      <c r="CQ979" s="8"/>
      <c r="CR979" s="8"/>
      <c r="CS979" s="8"/>
      <c r="CT979" s="8"/>
      <c r="CU979" s="8"/>
      <c r="CV979" s="8"/>
      <c r="CW979" s="8"/>
      <c r="CX979" s="8"/>
      <c r="CY979" s="8"/>
      <c r="CZ979" s="8"/>
      <c r="DA979" s="8"/>
      <c r="DB979" s="8"/>
      <c r="DC979" s="8"/>
      <c r="DD979" s="8"/>
      <c r="DE979" s="8"/>
      <c r="DF979" s="8"/>
      <c r="DG979" s="8"/>
      <c r="DH979" s="8"/>
      <c r="DI979" s="8"/>
      <c r="DJ979" s="8"/>
      <c r="DK979" s="8"/>
      <c r="DL979" s="8"/>
      <c r="DM979" s="8"/>
      <c r="DN979" s="8"/>
      <c r="DO979" s="8"/>
      <c r="DP979" s="8"/>
      <c r="DQ979" s="8"/>
      <c r="DR979" s="8"/>
      <c r="DS979" s="8"/>
      <c r="DT979" s="8"/>
      <c r="DU979" s="8"/>
      <c r="DV979" s="8"/>
      <c r="DW979" s="8"/>
      <c r="DX979" s="8"/>
      <c r="DY979" s="8"/>
      <c r="DZ979" s="8"/>
      <c r="EA979" s="8"/>
      <c r="EB979" s="8"/>
      <c r="EC979" s="8"/>
      <c r="ED979" s="8"/>
      <c r="EE979" s="8"/>
      <c r="EF979" s="8"/>
      <c r="EG979" s="8"/>
      <c r="EH979" s="8"/>
      <c r="EI979" s="8"/>
      <c r="EJ979" s="8"/>
      <c r="EK979" s="8"/>
      <c r="EL979" s="8"/>
      <c r="EM979" s="8"/>
      <c r="EN979" s="8"/>
      <c r="EO979" s="8"/>
      <c r="EP979" s="8"/>
      <c r="EQ979" s="8"/>
      <c r="ER979" s="8"/>
      <c r="ES979" s="8"/>
      <c r="ET979" s="8"/>
      <c r="EU979" s="8"/>
      <c r="EV979" s="8"/>
      <c r="EW979" s="8"/>
      <c r="EX979" s="8"/>
      <c r="EY979" s="8"/>
      <c r="EZ979" s="8"/>
      <c r="FA979" s="8"/>
      <c r="FB979" s="8"/>
      <c r="FC979" s="8"/>
      <c r="FD979" s="8"/>
      <c r="FE979" s="8"/>
      <c r="FF979" s="8"/>
      <c r="FG979" s="8"/>
      <c r="FH979" s="8"/>
      <c r="FI979" s="8"/>
      <c r="FJ979" s="8"/>
      <c r="FK979" s="8"/>
      <c r="FL979" s="8"/>
      <c r="FM979" s="8"/>
      <c r="FN979" s="8"/>
      <c r="FO979" s="8"/>
      <c r="FP979" s="8"/>
      <c r="FQ979" s="8"/>
      <c r="FR979" s="8"/>
      <c r="FS979" s="8"/>
      <c r="FT979" s="8"/>
      <c r="FU979" s="8"/>
      <c r="FV979" s="8"/>
      <c r="FW979" s="8"/>
      <c r="FX979" s="8"/>
      <c r="FY979" s="8"/>
      <c r="FZ979" s="8"/>
      <c r="GA979" s="8"/>
      <c r="GB979" s="8"/>
      <c r="GC979" s="8"/>
      <c r="GD979" s="8"/>
      <c r="GE979" s="8"/>
      <c r="GF979" s="8"/>
      <c r="GG979" s="8"/>
      <c r="GH979" s="8"/>
      <c r="GI979" s="8"/>
      <c r="GJ979" s="8"/>
      <c r="GK979" s="8"/>
      <c r="GL979" s="8"/>
      <c r="GM979" s="8"/>
      <c r="GN979" s="8"/>
      <c r="GO979" s="8"/>
      <c r="GP979" s="8"/>
      <c r="GQ979" s="8"/>
      <c r="GR979" s="8"/>
      <c r="GS979" s="8"/>
      <c r="GT979" s="8"/>
      <c r="GU979" s="8"/>
      <c r="GV979" s="8"/>
      <c r="GW979" s="8"/>
      <c r="GX979" s="8"/>
      <c r="GY979" s="8"/>
      <c r="GZ979" s="8"/>
      <c r="HA979" s="8"/>
      <c r="HB979" s="8"/>
      <c r="HC979" s="8"/>
      <c r="HD979" s="8"/>
      <c r="HE979" s="8"/>
      <c r="HF979" s="8"/>
      <c r="HG979" s="8"/>
      <c r="HH979" s="8"/>
      <c r="HI979" s="8"/>
      <c r="HJ979" s="8"/>
      <c r="HK979" s="8"/>
      <c r="HL979" s="8"/>
      <c r="HM979" s="8"/>
      <c r="HN979" s="8"/>
      <c r="HO979" s="8"/>
      <c r="HP979" s="8"/>
      <c r="HQ979" s="8"/>
      <c r="HR979" s="8"/>
      <c r="HS979" s="8"/>
      <c r="HT979" s="8"/>
      <c r="HU979" s="8"/>
      <c r="HV979" s="8"/>
      <c r="HW979" s="8"/>
      <c r="HX979" s="8"/>
      <c r="HY979" s="8"/>
      <c r="HZ979" s="8"/>
      <c r="IA979" s="8"/>
      <c r="IB979" s="8"/>
      <c r="IC979" s="8"/>
      <c r="ID979" s="8"/>
      <c r="IE979" s="8"/>
      <c r="IF979" s="8"/>
      <c r="IG979" s="8"/>
      <c r="IH979" s="8"/>
      <c r="II979" s="8"/>
      <c r="IJ979" s="8"/>
      <c r="IK979" s="8"/>
      <c r="IL979" s="8"/>
      <c r="IM979" s="8"/>
      <c r="IN979" s="8"/>
      <c r="IO979" s="8"/>
      <c r="IP979" s="8"/>
      <c r="IQ979" s="8"/>
      <c r="IR979" s="8"/>
      <c r="IS979" s="8"/>
      <c r="IT979" s="8"/>
      <c r="IU979" s="8"/>
      <c r="IV979" s="8"/>
      <c r="IW979" s="8"/>
      <c r="IX979" s="8"/>
    </row>
    <row r="980" spans="1:258" ht="21.95" customHeight="1" x14ac:dyDescent="0.25">
      <c r="A980" s="52" t="s">
        <v>1466</v>
      </c>
      <c r="B980" s="28" t="s">
        <v>484</v>
      </c>
      <c r="C980" s="3">
        <f>D980+L980+N980+P980+R980+S980+T980+U980</f>
        <v>6004635</v>
      </c>
      <c r="D980" s="4">
        <f>SUM(E980:J980)</f>
        <v>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5">
        <v>0</v>
      </c>
      <c r="L980" s="4">
        <v>0</v>
      </c>
      <c r="M980" s="4">
        <v>1132.95</v>
      </c>
      <c r="N980" s="4">
        <f>M980*5300</f>
        <v>6004635</v>
      </c>
      <c r="O980" s="4">
        <v>0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7">
        <f>N980/M980</f>
        <v>5300</v>
      </c>
    </row>
    <row r="981" spans="1:258" ht="21.95" customHeight="1" x14ac:dyDescent="0.25">
      <c r="A981" s="52" t="s">
        <v>1467</v>
      </c>
      <c r="B981" s="28" t="s">
        <v>806</v>
      </c>
      <c r="C981" s="3">
        <f t="shared" si="534"/>
        <v>3138300</v>
      </c>
      <c r="D981" s="4">
        <f t="shared" si="533"/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5">
        <v>0</v>
      </c>
      <c r="L981" s="4">
        <v>0</v>
      </c>
      <c r="M981" s="6">
        <v>570.6</v>
      </c>
      <c r="N981" s="4">
        <f t="shared" ref="N981" si="538">M981*5500</f>
        <v>3138300</v>
      </c>
      <c r="O981" s="4">
        <v>0</v>
      </c>
      <c r="P981" s="4">
        <v>0</v>
      </c>
      <c r="Q981" s="4">
        <v>0</v>
      </c>
      <c r="R981" s="4">
        <f t="shared" si="531"/>
        <v>0</v>
      </c>
      <c r="S981" s="4">
        <v>0</v>
      </c>
      <c r="T981" s="6">
        <v>0</v>
      </c>
      <c r="U981" s="4">
        <v>0</v>
      </c>
      <c r="V981" s="7">
        <f t="shared" si="532"/>
        <v>5500</v>
      </c>
    </row>
    <row r="982" spans="1:258" ht="21.95" customHeight="1" x14ac:dyDescent="0.25">
      <c r="A982" s="52" t="s">
        <v>1468</v>
      </c>
      <c r="B982" s="28" t="s">
        <v>807</v>
      </c>
      <c r="C982" s="3">
        <f t="shared" si="534"/>
        <v>3117399.9999999995</v>
      </c>
      <c r="D982" s="4">
        <f t="shared" si="533"/>
        <v>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  <c r="K982" s="5">
        <v>0</v>
      </c>
      <c r="L982" s="4">
        <v>0</v>
      </c>
      <c r="M982" s="6">
        <v>566.79999999999995</v>
      </c>
      <c r="N982" s="4">
        <f t="shared" ref="N982:N988" si="539">M982*5500</f>
        <v>3117399.9999999995</v>
      </c>
      <c r="O982" s="4">
        <v>0</v>
      </c>
      <c r="P982" s="4">
        <v>0</v>
      </c>
      <c r="Q982" s="4">
        <v>0</v>
      </c>
      <c r="R982" s="4">
        <f t="shared" si="531"/>
        <v>0</v>
      </c>
      <c r="S982" s="4">
        <v>0</v>
      </c>
      <c r="T982" s="6">
        <v>0</v>
      </c>
      <c r="U982" s="4">
        <v>0</v>
      </c>
      <c r="V982" s="7">
        <f t="shared" si="532"/>
        <v>5500</v>
      </c>
    </row>
    <row r="983" spans="1:258" ht="21.95" customHeight="1" x14ac:dyDescent="0.25">
      <c r="A983" s="52" t="s">
        <v>1469</v>
      </c>
      <c r="B983" s="28" t="s">
        <v>808</v>
      </c>
      <c r="C983" s="3">
        <f t="shared" si="534"/>
        <v>3117399.9999999995</v>
      </c>
      <c r="D983" s="4">
        <f t="shared" si="533"/>
        <v>0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5">
        <v>0</v>
      </c>
      <c r="L983" s="4">
        <v>0</v>
      </c>
      <c r="M983" s="6">
        <v>566.79999999999995</v>
      </c>
      <c r="N983" s="4">
        <f t="shared" si="539"/>
        <v>3117399.9999999995</v>
      </c>
      <c r="O983" s="4">
        <v>0</v>
      </c>
      <c r="P983" s="4">
        <v>0</v>
      </c>
      <c r="Q983" s="4">
        <v>0</v>
      </c>
      <c r="R983" s="4">
        <f t="shared" si="531"/>
        <v>0</v>
      </c>
      <c r="S983" s="4">
        <v>0</v>
      </c>
      <c r="T983" s="6">
        <v>0</v>
      </c>
      <c r="U983" s="4">
        <v>0</v>
      </c>
      <c r="V983" s="7">
        <f t="shared" si="532"/>
        <v>5500</v>
      </c>
    </row>
    <row r="984" spans="1:258" s="42" customFormat="1" ht="21.95" customHeight="1" x14ac:dyDescent="0.25">
      <c r="A984" s="52" t="s">
        <v>1470</v>
      </c>
      <c r="B984" s="9" t="s">
        <v>729</v>
      </c>
      <c r="C984" s="3">
        <f t="shared" si="534"/>
        <v>3119050</v>
      </c>
      <c r="D984" s="4">
        <f t="shared" si="533"/>
        <v>0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5">
        <v>0</v>
      </c>
      <c r="L984" s="4">
        <v>0</v>
      </c>
      <c r="M984" s="4">
        <v>567.1</v>
      </c>
      <c r="N984" s="4">
        <f t="shared" si="539"/>
        <v>3119050</v>
      </c>
      <c r="O984" s="4">
        <v>0</v>
      </c>
      <c r="P984" s="4">
        <v>0</v>
      </c>
      <c r="Q984" s="4">
        <v>0</v>
      </c>
      <c r="R984" s="4">
        <f t="shared" si="531"/>
        <v>0</v>
      </c>
      <c r="S984" s="4">
        <v>0</v>
      </c>
      <c r="T984" s="6">
        <v>0</v>
      </c>
      <c r="U984" s="4">
        <v>0</v>
      </c>
      <c r="V984" s="7">
        <f t="shared" si="532"/>
        <v>5500</v>
      </c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  <c r="CF984" s="8"/>
      <c r="CG984" s="8"/>
      <c r="CH984" s="8"/>
      <c r="CI984" s="8"/>
      <c r="CJ984" s="8"/>
      <c r="CK984" s="8"/>
      <c r="CL984" s="8"/>
      <c r="CM984" s="8"/>
      <c r="CN984" s="8"/>
      <c r="CO984" s="8"/>
      <c r="CP984" s="8"/>
      <c r="CQ984" s="8"/>
      <c r="CR984" s="8"/>
      <c r="CS984" s="8"/>
      <c r="CT984" s="8"/>
      <c r="CU984" s="8"/>
      <c r="CV984" s="8"/>
      <c r="CW984" s="8"/>
      <c r="CX984" s="8"/>
      <c r="CY984" s="8"/>
      <c r="CZ984" s="8"/>
      <c r="DA984" s="8"/>
      <c r="DB984" s="8"/>
      <c r="DC984" s="8"/>
      <c r="DD984" s="8"/>
      <c r="DE984" s="8"/>
      <c r="DF984" s="8"/>
      <c r="DG984" s="8"/>
      <c r="DH984" s="8"/>
      <c r="DI984" s="8"/>
      <c r="DJ984" s="8"/>
      <c r="DK984" s="8"/>
      <c r="DL984" s="8"/>
      <c r="DM984" s="8"/>
      <c r="DN984" s="8"/>
      <c r="DO984" s="8"/>
      <c r="DP984" s="8"/>
      <c r="DQ984" s="8"/>
      <c r="DR984" s="8"/>
      <c r="DS984" s="8"/>
      <c r="DT984" s="8"/>
      <c r="DU984" s="8"/>
      <c r="DV984" s="8"/>
      <c r="DW984" s="8"/>
      <c r="DX984" s="8"/>
      <c r="DY984" s="8"/>
      <c r="DZ984" s="8"/>
      <c r="EA984" s="8"/>
      <c r="EB984" s="8"/>
      <c r="EC984" s="8"/>
      <c r="ED984" s="8"/>
      <c r="EE984" s="8"/>
      <c r="EF984" s="8"/>
      <c r="EG984" s="8"/>
      <c r="EH984" s="8"/>
      <c r="EI984" s="8"/>
      <c r="EJ984" s="8"/>
      <c r="EK984" s="8"/>
      <c r="EL984" s="8"/>
      <c r="EM984" s="8"/>
      <c r="EN984" s="8"/>
      <c r="EO984" s="8"/>
      <c r="EP984" s="8"/>
      <c r="EQ984" s="8"/>
      <c r="ER984" s="8"/>
      <c r="ES984" s="8"/>
      <c r="ET984" s="8"/>
      <c r="EU984" s="8"/>
      <c r="EV984" s="8"/>
      <c r="EW984" s="8"/>
      <c r="EX984" s="8"/>
      <c r="EY984" s="8"/>
      <c r="EZ984" s="8"/>
      <c r="FA984" s="8"/>
      <c r="FB984" s="8"/>
      <c r="FC984" s="8"/>
      <c r="FD984" s="8"/>
      <c r="FE984" s="8"/>
      <c r="FF984" s="8"/>
      <c r="FG984" s="8"/>
      <c r="FH984" s="8"/>
      <c r="FI984" s="8"/>
      <c r="FJ984" s="8"/>
      <c r="FK984" s="8"/>
      <c r="FL984" s="8"/>
      <c r="FM984" s="8"/>
      <c r="FN984" s="8"/>
      <c r="FO984" s="8"/>
      <c r="FP984" s="8"/>
      <c r="FQ984" s="8"/>
      <c r="FR984" s="8"/>
      <c r="FS984" s="8"/>
      <c r="FT984" s="8"/>
      <c r="FU984" s="8"/>
      <c r="FV984" s="8"/>
      <c r="FW984" s="8"/>
      <c r="FX984" s="8"/>
      <c r="FY984" s="8"/>
      <c r="FZ984" s="8"/>
      <c r="GA984" s="8"/>
      <c r="GB984" s="8"/>
      <c r="GC984" s="8"/>
      <c r="GD984" s="8"/>
      <c r="GE984" s="8"/>
      <c r="GF984" s="8"/>
      <c r="GG984" s="8"/>
      <c r="GH984" s="8"/>
      <c r="GI984" s="8"/>
      <c r="GJ984" s="8"/>
      <c r="GK984" s="8"/>
      <c r="GL984" s="8"/>
      <c r="GM984" s="8"/>
      <c r="GN984" s="8"/>
      <c r="GO984" s="8"/>
      <c r="GP984" s="8"/>
      <c r="GQ984" s="8"/>
      <c r="GR984" s="8"/>
      <c r="GS984" s="8"/>
      <c r="GT984" s="8"/>
      <c r="GU984" s="8"/>
      <c r="GV984" s="8"/>
      <c r="GW984" s="8"/>
      <c r="GX984" s="8"/>
      <c r="GY984" s="8"/>
      <c r="GZ984" s="8"/>
      <c r="HA984" s="8"/>
      <c r="HB984" s="8"/>
      <c r="HC984" s="8"/>
      <c r="HD984" s="8"/>
      <c r="HE984" s="8"/>
      <c r="HF984" s="8"/>
      <c r="HG984" s="8"/>
      <c r="HH984" s="8"/>
      <c r="HI984" s="8"/>
      <c r="HJ984" s="8"/>
      <c r="HK984" s="8"/>
      <c r="HL984" s="8"/>
      <c r="HM984" s="8"/>
      <c r="HN984" s="8"/>
      <c r="HO984" s="8"/>
      <c r="HP984" s="8"/>
      <c r="HQ984" s="8"/>
      <c r="HR984" s="8"/>
      <c r="HS984" s="8"/>
      <c r="HT984" s="8"/>
      <c r="HU984" s="8"/>
      <c r="HV984" s="8"/>
      <c r="HW984" s="8"/>
      <c r="HX984" s="8"/>
      <c r="HY984" s="8"/>
      <c r="HZ984" s="8"/>
      <c r="IA984" s="8"/>
      <c r="IB984" s="8"/>
      <c r="IC984" s="8"/>
      <c r="ID984" s="8"/>
      <c r="IE984" s="8"/>
      <c r="IF984" s="8"/>
      <c r="IG984" s="8"/>
      <c r="IH984" s="8"/>
      <c r="II984" s="8"/>
      <c r="IJ984" s="8"/>
      <c r="IK984" s="8"/>
      <c r="IL984" s="8"/>
      <c r="IM984" s="8"/>
      <c r="IN984" s="8"/>
      <c r="IO984" s="8"/>
      <c r="IP984" s="8"/>
      <c r="IQ984" s="8"/>
      <c r="IR984" s="8"/>
      <c r="IS984" s="8"/>
      <c r="IT984" s="8"/>
      <c r="IU984" s="8"/>
      <c r="IV984" s="8"/>
      <c r="IW984" s="8"/>
      <c r="IX984" s="8"/>
    </row>
    <row r="985" spans="1:258" s="42" customFormat="1" ht="21.95" customHeight="1" x14ac:dyDescent="0.25">
      <c r="A985" s="52" t="s">
        <v>1471</v>
      </c>
      <c r="B985" s="9" t="s">
        <v>730</v>
      </c>
      <c r="C985" s="3">
        <f t="shared" si="534"/>
        <v>2861649.9999999995</v>
      </c>
      <c r="D985" s="4">
        <f t="shared" si="533"/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5">
        <v>0</v>
      </c>
      <c r="L985" s="4">
        <v>0</v>
      </c>
      <c r="M985" s="6">
        <v>520.29999999999995</v>
      </c>
      <c r="N985" s="4">
        <f t="shared" si="539"/>
        <v>2861649.9999999995</v>
      </c>
      <c r="O985" s="4">
        <v>0</v>
      </c>
      <c r="P985" s="4">
        <v>0</v>
      </c>
      <c r="Q985" s="4">
        <v>0</v>
      </c>
      <c r="R985" s="4">
        <f t="shared" si="531"/>
        <v>0</v>
      </c>
      <c r="S985" s="4">
        <v>0</v>
      </c>
      <c r="T985" s="6">
        <v>0</v>
      </c>
      <c r="U985" s="4">
        <v>0</v>
      </c>
      <c r="V985" s="7">
        <f t="shared" si="532"/>
        <v>5500</v>
      </c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  <c r="CF985" s="8"/>
      <c r="CG985" s="8"/>
      <c r="CH985" s="8"/>
      <c r="CI985" s="8"/>
      <c r="CJ985" s="8"/>
      <c r="CK985" s="8"/>
      <c r="CL985" s="8"/>
      <c r="CM985" s="8"/>
      <c r="CN985" s="8"/>
      <c r="CO985" s="8"/>
      <c r="CP985" s="8"/>
      <c r="CQ985" s="8"/>
      <c r="CR985" s="8"/>
      <c r="CS985" s="8"/>
      <c r="CT985" s="8"/>
      <c r="CU985" s="8"/>
      <c r="CV985" s="8"/>
      <c r="CW985" s="8"/>
      <c r="CX985" s="8"/>
      <c r="CY985" s="8"/>
      <c r="CZ985" s="8"/>
      <c r="DA985" s="8"/>
      <c r="DB985" s="8"/>
      <c r="DC985" s="8"/>
      <c r="DD985" s="8"/>
      <c r="DE985" s="8"/>
      <c r="DF985" s="8"/>
      <c r="DG985" s="8"/>
      <c r="DH985" s="8"/>
      <c r="DI985" s="8"/>
      <c r="DJ985" s="8"/>
      <c r="DK985" s="8"/>
      <c r="DL985" s="8"/>
      <c r="DM985" s="8"/>
      <c r="DN985" s="8"/>
      <c r="DO985" s="8"/>
      <c r="DP985" s="8"/>
      <c r="DQ985" s="8"/>
      <c r="DR985" s="8"/>
      <c r="DS985" s="8"/>
      <c r="DT985" s="8"/>
      <c r="DU985" s="8"/>
      <c r="DV985" s="8"/>
      <c r="DW985" s="8"/>
      <c r="DX985" s="8"/>
      <c r="DY985" s="8"/>
      <c r="DZ985" s="8"/>
      <c r="EA985" s="8"/>
      <c r="EB985" s="8"/>
      <c r="EC985" s="8"/>
      <c r="ED985" s="8"/>
      <c r="EE985" s="8"/>
      <c r="EF985" s="8"/>
      <c r="EG985" s="8"/>
      <c r="EH985" s="8"/>
      <c r="EI985" s="8"/>
      <c r="EJ985" s="8"/>
      <c r="EK985" s="8"/>
      <c r="EL985" s="8"/>
      <c r="EM985" s="8"/>
      <c r="EN985" s="8"/>
      <c r="EO985" s="8"/>
      <c r="EP985" s="8"/>
      <c r="EQ985" s="8"/>
      <c r="ER985" s="8"/>
      <c r="ES985" s="8"/>
      <c r="ET985" s="8"/>
      <c r="EU985" s="8"/>
      <c r="EV985" s="8"/>
      <c r="EW985" s="8"/>
      <c r="EX985" s="8"/>
      <c r="EY985" s="8"/>
      <c r="EZ985" s="8"/>
      <c r="FA985" s="8"/>
      <c r="FB985" s="8"/>
      <c r="FC985" s="8"/>
      <c r="FD985" s="8"/>
      <c r="FE985" s="8"/>
      <c r="FF985" s="8"/>
      <c r="FG985" s="8"/>
      <c r="FH985" s="8"/>
      <c r="FI985" s="8"/>
      <c r="FJ985" s="8"/>
      <c r="FK985" s="8"/>
      <c r="FL985" s="8"/>
      <c r="FM985" s="8"/>
      <c r="FN985" s="8"/>
      <c r="FO985" s="8"/>
      <c r="FP985" s="8"/>
      <c r="FQ985" s="8"/>
      <c r="FR985" s="8"/>
      <c r="FS985" s="8"/>
      <c r="FT985" s="8"/>
      <c r="FU985" s="8"/>
      <c r="FV985" s="8"/>
      <c r="FW985" s="8"/>
      <c r="FX985" s="8"/>
      <c r="FY985" s="8"/>
      <c r="FZ985" s="8"/>
      <c r="GA985" s="8"/>
      <c r="GB985" s="8"/>
      <c r="GC985" s="8"/>
      <c r="GD985" s="8"/>
      <c r="GE985" s="8"/>
      <c r="GF985" s="8"/>
      <c r="GG985" s="8"/>
      <c r="GH985" s="8"/>
      <c r="GI985" s="8"/>
      <c r="GJ985" s="8"/>
      <c r="GK985" s="8"/>
      <c r="GL985" s="8"/>
      <c r="GM985" s="8"/>
      <c r="GN985" s="8"/>
      <c r="GO985" s="8"/>
      <c r="GP985" s="8"/>
      <c r="GQ985" s="8"/>
      <c r="GR985" s="8"/>
      <c r="GS985" s="8"/>
      <c r="GT985" s="8"/>
      <c r="GU985" s="8"/>
      <c r="GV985" s="8"/>
      <c r="GW985" s="8"/>
      <c r="GX985" s="8"/>
      <c r="GY985" s="8"/>
      <c r="GZ985" s="8"/>
      <c r="HA985" s="8"/>
      <c r="HB985" s="8"/>
      <c r="HC985" s="8"/>
      <c r="HD985" s="8"/>
      <c r="HE985" s="8"/>
      <c r="HF985" s="8"/>
      <c r="HG985" s="8"/>
      <c r="HH985" s="8"/>
      <c r="HI985" s="8"/>
      <c r="HJ985" s="8"/>
      <c r="HK985" s="8"/>
      <c r="HL985" s="8"/>
      <c r="HM985" s="8"/>
      <c r="HN985" s="8"/>
      <c r="HO985" s="8"/>
      <c r="HP985" s="8"/>
      <c r="HQ985" s="8"/>
      <c r="HR985" s="8"/>
      <c r="HS985" s="8"/>
      <c r="HT985" s="8"/>
      <c r="HU985" s="8"/>
      <c r="HV985" s="8"/>
      <c r="HW985" s="8"/>
      <c r="HX985" s="8"/>
      <c r="HY985" s="8"/>
      <c r="HZ985" s="8"/>
      <c r="IA985" s="8"/>
      <c r="IB985" s="8"/>
      <c r="IC985" s="8"/>
      <c r="ID985" s="8"/>
      <c r="IE985" s="8"/>
      <c r="IF985" s="8"/>
      <c r="IG985" s="8"/>
      <c r="IH985" s="8"/>
      <c r="II985" s="8"/>
      <c r="IJ985" s="8"/>
      <c r="IK985" s="8"/>
      <c r="IL985" s="8"/>
      <c r="IM985" s="8"/>
      <c r="IN985" s="8"/>
      <c r="IO985" s="8"/>
      <c r="IP985" s="8"/>
      <c r="IQ985" s="8"/>
      <c r="IR985" s="8"/>
      <c r="IS985" s="8"/>
      <c r="IT985" s="8"/>
      <c r="IU985" s="8"/>
      <c r="IV985" s="8"/>
      <c r="IW985" s="8"/>
      <c r="IX985" s="8"/>
    </row>
    <row r="986" spans="1:258" s="42" customFormat="1" ht="21.95" customHeight="1" x14ac:dyDescent="0.25">
      <c r="A986" s="52" t="s">
        <v>1472</v>
      </c>
      <c r="B986" s="9" t="s">
        <v>731</v>
      </c>
      <c r="C986" s="3">
        <f t="shared" si="534"/>
        <v>2653750</v>
      </c>
      <c r="D986" s="4">
        <f t="shared" si="533"/>
        <v>0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5">
        <v>0</v>
      </c>
      <c r="L986" s="4">
        <v>0</v>
      </c>
      <c r="M986" s="4">
        <v>482.5</v>
      </c>
      <c r="N986" s="4">
        <f t="shared" si="539"/>
        <v>2653750</v>
      </c>
      <c r="O986" s="4">
        <v>0</v>
      </c>
      <c r="P986" s="4">
        <v>0</v>
      </c>
      <c r="Q986" s="4">
        <v>0</v>
      </c>
      <c r="R986" s="4">
        <f t="shared" si="531"/>
        <v>0</v>
      </c>
      <c r="S986" s="4">
        <v>0</v>
      </c>
      <c r="T986" s="6">
        <v>0</v>
      </c>
      <c r="U986" s="4">
        <v>0</v>
      </c>
      <c r="V986" s="7">
        <f t="shared" si="532"/>
        <v>5500</v>
      </c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  <c r="CF986" s="8"/>
      <c r="CG986" s="8"/>
      <c r="CH986" s="8"/>
      <c r="CI986" s="8"/>
      <c r="CJ986" s="8"/>
      <c r="CK986" s="8"/>
      <c r="CL986" s="8"/>
      <c r="CM986" s="8"/>
      <c r="CN986" s="8"/>
      <c r="CO986" s="8"/>
      <c r="CP986" s="8"/>
      <c r="CQ986" s="8"/>
      <c r="CR986" s="8"/>
      <c r="CS986" s="8"/>
      <c r="CT986" s="8"/>
      <c r="CU986" s="8"/>
      <c r="CV986" s="8"/>
      <c r="CW986" s="8"/>
      <c r="CX986" s="8"/>
      <c r="CY986" s="8"/>
      <c r="CZ986" s="8"/>
      <c r="DA986" s="8"/>
      <c r="DB986" s="8"/>
      <c r="DC986" s="8"/>
      <c r="DD986" s="8"/>
      <c r="DE986" s="8"/>
      <c r="DF986" s="8"/>
      <c r="DG986" s="8"/>
      <c r="DH986" s="8"/>
      <c r="DI986" s="8"/>
      <c r="DJ986" s="8"/>
      <c r="DK986" s="8"/>
      <c r="DL986" s="8"/>
      <c r="DM986" s="8"/>
      <c r="DN986" s="8"/>
      <c r="DO986" s="8"/>
      <c r="DP986" s="8"/>
      <c r="DQ986" s="8"/>
      <c r="DR986" s="8"/>
      <c r="DS986" s="8"/>
      <c r="DT986" s="8"/>
      <c r="DU986" s="8"/>
      <c r="DV986" s="8"/>
      <c r="DW986" s="8"/>
      <c r="DX986" s="8"/>
      <c r="DY986" s="8"/>
      <c r="DZ986" s="8"/>
      <c r="EA986" s="8"/>
      <c r="EB986" s="8"/>
      <c r="EC986" s="8"/>
      <c r="ED986" s="8"/>
      <c r="EE986" s="8"/>
      <c r="EF986" s="8"/>
      <c r="EG986" s="8"/>
      <c r="EH986" s="8"/>
      <c r="EI986" s="8"/>
      <c r="EJ986" s="8"/>
      <c r="EK986" s="8"/>
      <c r="EL986" s="8"/>
      <c r="EM986" s="8"/>
      <c r="EN986" s="8"/>
      <c r="EO986" s="8"/>
      <c r="EP986" s="8"/>
      <c r="EQ986" s="8"/>
      <c r="ER986" s="8"/>
      <c r="ES986" s="8"/>
      <c r="ET986" s="8"/>
      <c r="EU986" s="8"/>
      <c r="EV986" s="8"/>
      <c r="EW986" s="8"/>
      <c r="EX986" s="8"/>
      <c r="EY986" s="8"/>
      <c r="EZ986" s="8"/>
      <c r="FA986" s="8"/>
      <c r="FB986" s="8"/>
      <c r="FC986" s="8"/>
      <c r="FD986" s="8"/>
      <c r="FE986" s="8"/>
      <c r="FF986" s="8"/>
      <c r="FG986" s="8"/>
      <c r="FH986" s="8"/>
      <c r="FI986" s="8"/>
      <c r="FJ986" s="8"/>
      <c r="FK986" s="8"/>
      <c r="FL986" s="8"/>
      <c r="FM986" s="8"/>
      <c r="FN986" s="8"/>
      <c r="FO986" s="8"/>
      <c r="FP986" s="8"/>
      <c r="FQ986" s="8"/>
      <c r="FR986" s="8"/>
      <c r="FS986" s="8"/>
      <c r="FT986" s="8"/>
      <c r="FU986" s="8"/>
      <c r="FV986" s="8"/>
      <c r="FW986" s="8"/>
      <c r="FX986" s="8"/>
      <c r="FY986" s="8"/>
      <c r="FZ986" s="8"/>
      <c r="GA986" s="8"/>
      <c r="GB986" s="8"/>
      <c r="GC986" s="8"/>
      <c r="GD986" s="8"/>
      <c r="GE986" s="8"/>
      <c r="GF986" s="8"/>
      <c r="GG986" s="8"/>
      <c r="GH986" s="8"/>
      <c r="GI986" s="8"/>
      <c r="GJ986" s="8"/>
      <c r="GK986" s="8"/>
      <c r="GL986" s="8"/>
      <c r="GM986" s="8"/>
      <c r="GN986" s="8"/>
      <c r="GO986" s="8"/>
      <c r="GP986" s="8"/>
      <c r="GQ986" s="8"/>
      <c r="GR986" s="8"/>
      <c r="GS986" s="8"/>
      <c r="GT986" s="8"/>
      <c r="GU986" s="8"/>
      <c r="GV986" s="8"/>
      <c r="GW986" s="8"/>
      <c r="GX986" s="8"/>
      <c r="GY986" s="8"/>
      <c r="GZ986" s="8"/>
      <c r="HA986" s="8"/>
      <c r="HB986" s="8"/>
      <c r="HC986" s="8"/>
      <c r="HD986" s="8"/>
      <c r="HE986" s="8"/>
      <c r="HF986" s="8"/>
      <c r="HG986" s="8"/>
      <c r="HH986" s="8"/>
      <c r="HI986" s="8"/>
      <c r="HJ986" s="8"/>
      <c r="HK986" s="8"/>
      <c r="HL986" s="8"/>
      <c r="HM986" s="8"/>
      <c r="HN986" s="8"/>
      <c r="HO986" s="8"/>
      <c r="HP986" s="8"/>
      <c r="HQ986" s="8"/>
      <c r="HR986" s="8"/>
      <c r="HS986" s="8"/>
      <c r="HT986" s="8"/>
      <c r="HU986" s="8"/>
      <c r="HV986" s="8"/>
      <c r="HW986" s="8"/>
      <c r="HX986" s="8"/>
      <c r="HY986" s="8"/>
      <c r="HZ986" s="8"/>
      <c r="IA986" s="8"/>
      <c r="IB986" s="8"/>
      <c r="IC986" s="8"/>
      <c r="ID986" s="8"/>
      <c r="IE986" s="8"/>
      <c r="IF986" s="8"/>
      <c r="IG986" s="8"/>
      <c r="IH986" s="8"/>
      <c r="II986" s="8"/>
      <c r="IJ986" s="8"/>
      <c r="IK986" s="8"/>
      <c r="IL986" s="8"/>
      <c r="IM986" s="8"/>
      <c r="IN986" s="8"/>
      <c r="IO986" s="8"/>
      <c r="IP986" s="8"/>
      <c r="IQ986" s="8"/>
      <c r="IR986" s="8"/>
      <c r="IS986" s="8"/>
      <c r="IT986" s="8"/>
      <c r="IU986" s="8"/>
      <c r="IV986" s="8"/>
      <c r="IW986" s="8"/>
      <c r="IX986" s="8"/>
    </row>
    <row r="987" spans="1:258" ht="21.95" customHeight="1" x14ac:dyDescent="0.25">
      <c r="A987" s="52" t="s">
        <v>1473</v>
      </c>
      <c r="B987" s="9" t="s">
        <v>732</v>
      </c>
      <c r="C987" s="3">
        <f t="shared" si="534"/>
        <v>1430000</v>
      </c>
      <c r="D987" s="4">
        <f t="shared" si="533"/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5">
        <v>0</v>
      </c>
      <c r="L987" s="4">
        <v>0</v>
      </c>
      <c r="M987" s="4">
        <v>260</v>
      </c>
      <c r="N987" s="4">
        <f t="shared" si="539"/>
        <v>1430000</v>
      </c>
      <c r="O987" s="4">
        <v>0</v>
      </c>
      <c r="P987" s="4">
        <v>0</v>
      </c>
      <c r="Q987" s="4">
        <v>0</v>
      </c>
      <c r="R987" s="4">
        <f t="shared" si="531"/>
        <v>0</v>
      </c>
      <c r="S987" s="4">
        <v>0</v>
      </c>
      <c r="T987" s="6">
        <v>0</v>
      </c>
      <c r="U987" s="4">
        <v>0</v>
      </c>
      <c r="V987" s="7">
        <f t="shared" si="532"/>
        <v>5500</v>
      </c>
    </row>
    <row r="988" spans="1:258" ht="21.95" customHeight="1" x14ac:dyDescent="0.25">
      <c r="A988" s="52" t="s">
        <v>1474</v>
      </c>
      <c r="B988" s="9" t="s">
        <v>733</v>
      </c>
      <c r="C988" s="3">
        <f t="shared" si="534"/>
        <v>1397000</v>
      </c>
      <c r="D988" s="4">
        <f t="shared" si="533"/>
        <v>0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5">
        <v>0</v>
      </c>
      <c r="L988" s="4">
        <v>0</v>
      </c>
      <c r="M988" s="4">
        <v>254</v>
      </c>
      <c r="N988" s="4">
        <f t="shared" si="539"/>
        <v>1397000</v>
      </c>
      <c r="O988" s="4">
        <v>0</v>
      </c>
      <c r="P988" s="4">
        <v>0</v>
      </c>
      <c r="Q988" s="4">
        <v>0</v>
      </c>
      <c r="R988" s="4">
        <f t="shared" si="531"/>
        <v>0</v>
      </c>
      <c r="S988" s="4">
        <v>0</v>
      </c>
      <c r="T988" s="6">
        <v>0</v>
      </c>
      <c r="U988" s="4">
        <v>0</v>
      </c>
      <c r="V988" s="7">
        <f t="shared" si="532"/>
        <v>5500</v>
      </c>
    </row>
    <row r="989" spans="1:258" ht="21.95" customHeight="1" x14ac:dyDescent="0.25">
      <c r="A989" s="52" t="s">
        <v>1475</v>
      </c>
      <c r="B989" s="9" t="s">
        <v>1204</v>
      </c>
      <c r="C989" s="3">
        <f t="shared" si="534"/>
        <v>3340621.8</v>
      </c>
      <c r="D989" s="4">
        <f t="shared" si="533"/>
        <v>0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5">
        <v>0</v>
      </c>
      <c r="L989" s="4">
        <v>0</v>
      </c>
      <c r="M989" s="6">
        <v>906.3</v>
      </c>
      <c r="N989" s="4">
        <f>M989*3686</f>
        <v>3340621.8</v>
      </c>
      <c r="O989" s="4">
        <v>0</v>
      </c>
      <c r="P989" s="4">
        <v>0</v>
      </c>
      <c r="Q989" s="4">
        <v>0</v>
      </c>
      <c r="R989" s="4">
        <f t="shared" si="531"/>
        <v>0</v>
      </c>
      <c r="S989" s="4">
        <v>0</v>
      </c>
      <c r="T989" s="6">
        <v>0</v>
      </c>
      <c r="U989" s="4">
        <v>0</v>
      </c>
      <c r="V989" s="7">
        <f t="shared" si="532"/>
        <v>3686</v>
      </c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  <c r="BZ989" s="19"/>
      <c r="CA989" s="19"/>
      <c r="CB989" s="19"/>
      <c r="CC989" s="19"/>
      <c r="CD989" s="19"/>
      <c r="CE989" s="19"/>
      <c r="CF989" s="19"/>
      <c r="CG989" s="19"/>
      <c r="CH989" s="19"/>
      <c r="CI989" s="19"/>
      <c r="CJ989" s="19"/>
      <c r="CK989" s="19"/>
      <c r="CL989" s="19"/>
      <c r="CM989" s="19"/>
      <c r="CN989" s="19"/>
      <c r="CO989" s="19"/>
      <c r="CP989" s="19"/>
      <c r="CQ989" s="19"/>
      <c r="CR989" s="19"/>
      <c r="CS989" s="19"/>
      <c r="CT989" s="19"/>
      <c r="CU989" s="19"/>
      <c r="CV989" s="19"/>
      <c r="CW989" s="19"/>
      <c r="CX989" s="19"/>
      <c r="CY989" s="19"/>
      <c r="CZ989" s="19"/>
      <c r="DA989" s="19"/>
      <c r="DB989" s="19"/>
      <c r="DC989" s="19"/>
      <c r="DD989" s="19"/>
      <c r="DE989" s="19"/>
      <c r="DF989" s="19"/>
      <c r="DG989" s="19"/>
      <c r="DH989" s="19"/>
      <c r="DI989" s="19"/>
      <c r="DJ989" s="19"/>
      <c r="DK989" s="19"/>
      <c r="DL989" s="19"/>
      <c r="DM989" s="19"/>
      <c r="DN989" s="19"/>
      <c r="DO989" s="19"/>
      <c r="DP989" s="19"/>
      <c r="DQ989" s="19"/>
      <c r="DR989" s="19"/>
      <c r="DS989" s="19"/>
      <c r="DT989" s="19"/>
      <c r="DU989" s="19"/>
      <c r="DV989" s="19"/>
      <c r="DW989" s="19"/>
      <c r="DX989" s="19"/>
      <c r="DY989" s="19"/>
      <c r="DZ989" s="19"/>
      <c r="EA989" s="19"/>
      <c r="EB989" s="19"/>
      <c r="EC989" s="19"/>
      <c r="ED989" s="19"/>
      <c r="EE989" s="19"/>
      <c r="EF989" s="19"/>
      <c r="EG989" s="19"/>
      <c r="EH989" s="19"/>
      <c r="EI989" s="19"/>
      <c r="EJ989" s="19"/>
      <c r="EK989" s="19"/>
      <c r="EL989" s="19"/>
      <c r="EM989" s="19"/>
      <c r="EN989" s="19"/>
      <c r="EO989" s="19"/>
      <c r="EP989" s="19"/>
      <c r="EQ989" s="19"/>
      <c r="ER989" s="19"/>
      <c r="ES989" s="19"/>
      <c r="ET989" s="19"/>
      <c r="EU989" s="19"/>
      <c r="EV989" s="19"/>
      <c r="EW989" s="19"/>
      <c r="EX989" s="19"/>
      <c r="EY989" s="19"/>
      <c r="EZ989" s="19"/>
      <c r="FA989" s="19"/>
      <c r="FB989" s="19"/>
      <c r="FC989" s="19"/>
      <c r="FD989" s="19"/>
      <c r="FE989" s="19"/>
      <c r="FF989" s="19"/>
      <c r="FG989" s="19"/>
      <c r="FH989" s="19"/>
      <c r="FI989" s="19"/>
      <c r="FJ989" s="19"/>
      <c r="FK989" s="19"/>
      <c r="FL989" s="19"/>
      <c r="FM989" s="19"/>
      <c r="FN989" s="19"/>
      <c r="FO989" s="19"/>
      <c r="FP989" s="19"/>
      <c r="FQ989" s="19"/>
      <c r="FR989" s="19"/>
      <c r="FS989" s="19"/>
      <c r="FT989" s="19"/>
      <c r="FU989" s="19"/>
      <c r="FV989" s="19"/>
      <c r="FW989" s="19"/>
      <c r="FX989" s="19"/>
      <c r="FY989" s="19"/>
      <c r="FZ989" s="19"/>
      <c r="GA989" s="19"/>
      <c r="GB989" s="19"/>
      <c r="GC989" s="19"/>
      <c r="GD989" s="19"/>
      <c r="GE989" s="19"/>
      <c r="GF989" s="19"/>
      <c r="GG989" s="19"/>
      <c r="GH989" s="19"/>
      <c r="GI989" s="19"/>
      <c r="GJ989" s="19"/>
      <c r="GK989" s="19"/>
      <c r="GL989" s="19"/>
      <c r="GM989" s="19"/>
      <c r="GN989" s="19"/>
      <c r="GO989" s="19"/>
      <c r="GP989" s="19"/>
      <c r="GQ989" s="19"/>
      <c r="GR989" s="19"/>
      <c r="GS989" s="19"/>
      <c r="GT989" s="19"/>
      <c r="GU989" s="19"/>
      <c r="GV989" s="19"/>
      <c r="GW989" s="19"/>
      <c r="GX989" s="19"/>
      <c r="GY989" s="19"/>
      <c r="GZ989" s="19"/>
      <c r="HA989" s="19"/>
      <c r="HB989" s="19"/>
      <c r="HC989" s="19"/>
      <c r="HD989" s="19"/>
      <c r="HE989" s="19"/>
      <c r="HF989" s="19"/>
      <c r="HG989" s="19"/>
      <c r="HH989" s="19"/>
      <c r="HI989" s="19"/>
      <c r="HJ989" s="19"/>
      <c r="HK989" s="19"/>
      <c r="HL989" s="19"/>
      <c r="HM989" s="19"/>
      <c r="HN989" s="19"/>
      <c r="HO989" s="19"/>
      <c r="HP989" s="19"/>
      <c r="HQ989" s="19"/>
      <c r="HR989" s="19"/>
      <c r="HS989" s="19"/>
      <c r="HT989" s="19"/>
      <c r="HU989" s="19"/>
      <c r="HV989" s="19"/>
      <c r="HW989" s="19"/>
      <c r="HX989" s="19"/>
      <c r="HY989" s="19"/>
      <c r="HZ989" s="19"/>
      <c r="IA989" s="19"/>
      <c r="IB989" s="19"/>
      <c r="IC989" s="19"/>
      <c r="ID989" s="19"/>
      <c r="IE989" s="19"/>
      <c r="IF989" s="19"/>
      <c r="IG989" s="19"/>
      <c r="IH989" s="19"/>
      <c r="II989" s="19"/>
      <c r="IJ989" s="19"/>
      <c r="IK989" s="19"/>
      <c r="IL989" s="19"/>
      <c r="IM989" s="19"/>
      <c r="IN989" s="19"/>
      <c r="IO989" s="19"/>
      <c r="IP989" s="19"/>
      <c r="IQ989" s="19"/>
      <c r="IR989" s="19"/>
      <c r="IS989" s="19"/>
      <c r="IT989" s="19"/>
      <c r="IU989" s="19"/>
      <c r="IV989" s="19"/>
      <c r="IW989" s="19"/>
      <c r="IX989" s="19"/>
    </row>
    <row r="990" spans="1:258" ht="21.95" customHeight="1" x14ac:dyDescent="0.25">
      <c r="A990" s="52" t="s">
        <v>1476</v>
      </c>
      <c r="B990" s="9" t="s">
        <v>734</v>
      </c>
      <c r="C990" s="3">
        <f t="shared" si="534"/>
        <v>2171950</v>
      </c>
      <c r="D990" s="4">
        <f t="shared" si="533"/>
        <v>0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5">
        <v>0</v>
      </c>
      <c r="L990" s="4">
        <v>0</v>
      </c>
      <c r="M990" s="4">
        <v>394.9</v>
      </c>
      <c r="N990" s="4">
        <f t="shared" ref="N990:N997" si="540">M990*5500</f>
        <v>2171950</v>
      </c>
      <c r="O990" s="4">
        <v>0</v>
      </c>
      <c r="P990" s="4">
        <v>0</v>
      </c>
      <c r="Q990" s="4">
        <v>0</v>
      </c>
      <c r="R990" s="4">
        <f t="shared" si="531"/>
        <v>0</v>
      </c>
      <c r="S990" s="4">
        <v>0</v>
      </c>
      <c r="T990" s="6">
        <v>0</v>
      </c>
      <c r="U990" s="4">
        <v>0</v>
      </c>
      <c r="V990" s="7">
        <f t="shared" si="532"/>
        <v>5500</v>
      </c>
    </row>
    <row r="991" spans="1:258" ht="21.95" customHeight="1" x14ac:dyDescent="0.25">
      <c r="A991" s="52" t="s">
        <v>1477</v>
      </c>
      <c r="B991" s="9" t="s">
        <v>809</v>
      </c>
      <c r="C991" s="3">
        <f t="shared" si="534"/>
        <v>1092300</v>
      </c>
      <c r="D991" s="4">
        <f t="shared" si="533"/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5">
        <v>0</v>
      </c>
      <c r="L991" s="4">
        <v>0</v>
      </c>
      <c r="M991" s="6">
        <v>198.6</v>
      </c>
      <c r="N991" s="4">
        <f t="shared" si="540"/>
        <v>1092300</v>
      </c>
      <c r="O991" s="4">
        <v>0</v>
      </c>
      <c r="P991" s="4">
        <v>0</v>
      </c>
      <c r="Q991" s="4">
        <v>0</v>
      </c>
      <c r="R991" s="4">
        <f t="shared" si="531"/>
        <v>0</v>
      </c>
      <c r="S991" s="4">
        <v>0</v>
      </c>
      <c r="T991" s="6">
        <v>0</v>
      </c>
      <c r="U991" s="4">
        <v>0</v>
      </c>
      <c r="V991" s="7">
        <f t="shared" si="532"/>
        <v>5500</v>
      </c>
    </row>
    <row r="992" spans="1:258" ht="21.95" customHeight="1" x14ac:dyDescent="0.25">
      <c r="A992" s="52" t="s">
        <v>1478</v>
      </c>
      <c r="B992" s="9" t="s">
        <v>735</v>
      </c>
      <c r="C992" s="3">
        <f t="shared" si="534"/>
        <v>1589500</v>
      </c>
      <c r="D992" s="4">
        <f t="shared" si="533"/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5">
        <v>0</v>
      </c>
      <c r="L992" s="4">
        <v>0</v>
      </c>
      <c r="M992" s="4">
        <v>289</v>
      </c>
      <c r="N992" s="4">
        <f t="shared" si="540"/>
        <v>1589500</v>
      </c>
      <c r="O992" s="4">
        <v>0</v>
      </c>
      <c r="P992" s="4">
        <v>0</v>
      </c>
      <c r="Q992" s="4">
        <v>0</v>
      </c>
      <c r="R992" s="4">
        <f t="shared" si="531"/>
        <v>0</v>
      </c>
      <c r="S992" s="4">
        <v>0</v>
      </c>
      <c r="T992" s="6">
        <v>0</v>
      </c>
      <c r="U992" s="4">
        <v>0</v>
      </c>
      <c r="V992" s="7">
        <f t="shared" si="532"/>
        <v>5500</v>
      </c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  <c r="BZ992" s="19"/>
      <c r="CA992" s="19"/>
      <c r="CB992" s="19"/>
      <c r="CC992" s="19"/>
      <c r="CD992" s="19"/>
      <c r="CE992" s="19"/>
      <c r="CF992" s="19"/>
      <c r="CG992" s="19"/>
      <c r="CH992" s="19"/>
      <c r="CI992" s="19"/>
      <c r="CJ992" s="19"/>
      <c r="CK992" s="19"/>
      <c r="CL992" s="19"/>
      <c r="CM992" s="19"/>
      <c r="CN992" s="19"/>
      <c r="CO992" s="19"/>
      <c r="CP992" s="19"/>
      <c r="CQ992" s="19"/>
      <c r="CR992" s="19"/>
      <c r="CS992" s="19"/>
      <c r="CT992" s="19"/>
      <c r="CU992" s="19"/>
      <c r="CV992" s="19"/>
      <c r="CW992" s="19"/>
      <c r="CX992" s="19"/>
      <c r="CY992" s="19"/>
      <c r="CZ992" s="19"/>
      <c r="DA992" s="19"/>
      <c r="DB992" s="19"/>
      <c r="DC992" s="19"/>
      <c r="DD992" s="19"/>
      <c r="DE992" s="19"/>
      <c r="DF992" s="19"/>
      <c r="DG992" s="19"/>
      <c r="DH992" s="19"/>
      <c r="DI992" s="19"/>
      <c r="DJ992" s="19"/>
      <c r="DK992" s="19"/>
      <c r="DL992" s="19"/>
      <c r="DM992" s="19"/>
      <c r="DN992" s="19"/>
      <c r="DO992" s="19"/>
      <c r="DP992" s="19"/>
      <c r="DQ992" s="19"/>
      <c r="DR992" s="19"/>
      <c r="DS992" s="19"/>
      <c r="DT992" s="19"/>
      <c r="DU992" s="19"/>
      <c r="DV992" s="19"/>
      <c r="DW992" s="19"/>
      <c r="DX992" s="19"/>
      <c r="DY992" s="19"/>
      <c r="DZ992" s="19"/>
      <c r="EA992" s="19"/>
      <c r="EB992" s="19"/>
      <c r="EC992" s="19"/>
      <c r="ED992" s="19"/>
      <c r="EE992" s="19"/>
      <c r="EF992" s="19"/>
      <c r="EG992" s="19"/>
      <c r="EH992" s="19"/>
      <c r="EI992" s="19"/>
      <c r="EJ992" s="19"/>
      <c r="EK992" s="19"/>
      <c r="EL992" s="19"/>
      <c r="EM992" s="19"/>
      <c r="EN992" s="19"/>
      <c r="EO992" s="19"/>
      <c r="EP992" s="19"/>
      <c r="EQ992" s="19"/>
      <c r="ER992" s="19"/>
      <c r="ES992" s="19"/>
      <c r="ET992" s="19"/>
      <c r="EU992" s="19"/>
      <c r="EV992" s="19"/>
      <c r="EW992" s="19"/>
      <c r="EX992" s="19"/>
      <c r="EY992" s="19"/>
      <c r="EZ992" s="19"/>
      <c r="FA992" s="19"/>
      <c r="FB992" s="19"/>
      <c r="FC992" s="19"/>
      <c r="FD992" s="19"/>
      <c r="FE992" s="19"/>
      <c r="FF992" s="19"/>
      <c r="FG992" s="19"/>
      <c r="FH992" s="19"/>
      <c r="FI992" s="19"/>
      <c r="FJ992" s="19"/>
      <c r="FK992" s="19"/>
      <c r="FL992" s="19"/>
      <c r="FM992" s="19"/>
      <c r="FN992" s="19"/>
      <c r="FO992" s="19"/>
      <c r="FP992" s="19"/>
      <c r="FQ992" s="19"/>
      <c r="FR992" s="19"/>
      <c r="FS992" s="19"/>
      <c r="FT992" s="19"/>
      <c r="FU992" s="19"/>
      <c r="FV992" s="19"/>
      <c r="FW992" s="19"/>
      <c r="FX992" s="19"/>
      <c r="FY992" s="19"/>
      <c r="FZ992" s="19"/>
      <c r="GA992" s="19"/>
      <c r="GB992" s="19"/>
      <c r="GC992" s="19"/>
      <c r="GD992" s="19"/>
      <c r="GE992" s="19"/>
      <c r="GF992" s="19"/>
      <c r="GG992" s="19"/>
      <c r="GH992" s="19"/>
      <c r="GI992" s="19"/>
    </row>
    <row r="993" spans="1:258" ht="21.95" customHeight="1" x14ac:dyDescent="0.25">
      <c r="A993" s="52" t="s">
        <v>1479</v>
      </c>
      <c r="B993" s="28" t="s">
        <v>810</v>
      </c>
      <c r="C993" s="3">
        <f t="shared" si="534"/>
        <v>3155350.0000000005</v>
      </c>
      <c r="D993" s="4">
        <f t="shared" si="533"/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5">
        <v>0</v>
      </c>
      <c r="L993" s="4">
        <v>0</v>
      </c>
      <c r="M993" s="6">
        <v>573.70000000000005</v>
      </c>
      <c r="N993" s="4">
        <f t="shared" si="540"/>
        <v>3155350.0000000005</v>
      </c>
      <c r="O993" s="4">
        <v>0</v>
      </c>
      <c r="P993" s="4">
        <v>0</v>
      </c>
      <c r="Q993" s="4">
        <v>0</v>
      </c>
      <c r="R993" s="4">
        <f t="shared" si="531"/>
        <v>0</v>
      </c>
      <c r="S993" s="4">
        <v>0</v>
      </c>
      <c r="T993" s="6">
        <v>0</v>
      </c>
      <c r="U993" s="4">
        <v>0</v>
      </c>
      <c r="V993" s="7">
        <f t="shared" si="532"/>
        <v>5500</v>
      </c>
    </row>
    <row r="994" spans="1:258" ht="21.95" customHeight="1" x14ac:dyDescent="0.25">
      <c r="A994" s="52" t="s">
        <v>1480</v>
      </c>
      <c r="B994" s="9" t="s">
        <v>737</v>
      </c>
      <c r="C994" s="3">
        <f>D994+L994+N994+P994+R994+S994+T994+U994</f>
        <v>2898500</v>
      </c>
      <c r="D994" s="4">
        <f>SUM(E994:J994)</f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5">
        <v>0</v>
      </c>
      <c r="L994" s="4">
        <v>0</v>
      </c>
      <c r="M994" s="6">
        <v>527</v>
      </c>
      <c r="N994" s="4">
        <f>M994*5500</f>
        <v>2898500</v>
      </c>
      <c r="O994" s="4">
        <v>0</v>
      </c>
      <c r="P994" s="4">
        <v>0</v>
      </c>
      <c r="Q994" s="4">
        <v>0</v>
      </c>
      <c r="R994" s="4">
        <f>Q994*3000</f>
        <v>0</v>
      </c>
      <c r="S994" s="4">
        <v>0</v>
      </c>
      <c r="T994" s="6">
        <v>0</v>
      </c>
      <c r="U994" s="4">
        <v>0</v>
      </c>
      <c r="V994" s="7">
        <f>N994/M994</f>
        <v>5500</v>
      </c>
    </row>
    <row r="995" spans="1:258" ht="21.95" customHeight="1" x14ac:dyDescent="0.25">
      <c r="A995" s="52" t="s">
        <v>1481</v>
      </c>
      <c r="B995" s="9" t="s">
        <v>736</v>
      </c>
      <c r="C995" s="3">
        <f t="shared" si="534"/>
        <v>7791516.5</v>
      </c>
      <c r="D995" s="4">
        <f t="shared" si="533"/>
        <v>3525916.5</v>
      </c>
      <c r="E995" s="4">
        <f>350*1500.39</f>
        <v>525136.5</v>
      </c>
      <c r="F995" s="4">
        <f>1050*1500.39</f>
        <v>1575409.5</v>
      </c>
      <c r="G995" s="4">
        <f>300*1500.39</f>
        <v>450117.00000000006</v>
      </c>
      <c r="H995" s="4">
        <f>400*1500.39</f>
        <v>600156</v>
      </c>
      <c r="I995" s="4">
        <f>250*1500.39</f>
        <v>375097.5</v>
      </c>
      <c r="J995" s="4">
        <v>0</v>
      </c>
      <c r="K995" s="5">
        <v>0</v>
      </c>
      <c r="L995" s="4">
        <v>0</v>
      </c>
      <c r="M995" s="4">
        <v>576</v>
      </c>
      <c r="N995" s="4">
        <f t="shared" si="540"/>
        <v>3168000</v>
      </c>
      <c r="O995" s="4">
        <v>438</v>
      </c>
      <c r="P995" s="4">
        <v>525600</v>
      </c>
      <c r="Q995" s="4">
        <v>0</v>
      </c>
      <c r="R995" s="4">
        <f t="shared" si="531"/>
        <v>0</v>
      </c>
      <c r="S995" s="4">
        <v>472000</v>
      </c>
      <c r="T995" s="6">
        <v>0</v>
      </c>
      <c r="U995" s="4">
        <v>100000</v>
      </c>
      <c r="V995" s="7">
        <f t="shared" si="532"/>
        <v>5500</v>
      </c>
    </row>
    <row r="996" spans="1:258" ht="21.95" customHeight="1" x14ac:dyDescent="0.25">
      <c r="A996" s="52" t="s">
        <v>1482</v>
      </c>
      <c r="B996" s="9" t="s">
        <v>811</v>
      </c>
      <c r="C996" s="3">
        <f t="shared" si="534"/>
        <v>5931200.0000000009</v>
      </c>
      <c r="D996" s="4">
        <f t="shared" si="533"/>
        <v>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12">
        <v>0</v>
      </c>
      <c r="L996" s="6">
        <v>0</v>
      </c>
      <c r="M996" s="6">
        <v>1078.4000000000001</v>
      </c>
      <c r="N996" s="4">
        <f t="shared" si="540"/>
        <v>5931200.0000000009</v>
      </c>
      <c r="O996" s="4">
        <v>0</v>
      </c>
      <c r="P996" s="4">
        <v>0</v>
      </c>
      <c r="Q996" s="4">
        <v>0</v>
      </c>
      <c r="R996" s="4">
        <f t="shared" si="531"/>
        <v>0</v>
      </c>
      <c r="S996" s="4">
        <v>0</v>
      </c>
      <c r="T996" s="6">
        <v>0</v>
      </c>
      <c r="U996" s="4">
        <v>0</v>
      </c>
      <c r="V996" s="7">
        <f t="shared" si="532"/>
        <v>5500</v>
      </c>
    </row>
    <row r="997" spans="1:258" s="19" customFormat="1" ht="21.95" customHeight="1" x14ac:dyDescent="0.25">
      <c r="A997" s="52" t="s">
        <v>1483</v>
      </c>
      <c r="B997" s="9" t="s">
        <v>812</v>
      </c>
      <c r="C997" s="3">
        <f t="shared" si="534"/>
        <v>5973000</v>
      </c>
      <c r="D997" s="4">
        <f t="shared" si="533"/>
        <v>0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  <c r="K997" s="5">
        <v>0</v>
      </c>
      <c r="L997" s="4">
        <v>0</v>
      </c>
      <c r="M997" s="6">
        <v>1086</v>
      </c>
      <c r="N997" s="4">
        <f t="shared" si="540"/>
        <v>5973000</v>
      </c>
      <c r="O997" s="4">
        <v>0</v>
      </c>
      <c r="P997" s="4">
        <v>0</v>
      </c>
      <c r="Q997" s="4">
        <v>0</v>
      </c>
      <c r="R997" s="4">
        <f t="shared" si="531"/>
        <v>0</v>
      </c>
      <c r="S997" s="4">
        <v>0</v>
      </c>
      <c r="T997" s="6">
        <v>0</v>
      </c>
      <c r="U997" s="4">
        <v>0</v>
      </c>
      <c r="V997" s="7">
        <f t="shared" si="532"/>
        <v>5500</v>
      </c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  <c r="CF997" s="8"/>
      <c r="CG997" s="8"/>
      <c r="CH997" s="8"/>
      <c r="CI997" s="8"/>
      <c r="CJ997" s="8"/>
      <c r="CK997" s="8"/>
      <c r="CL997" s="8"/>
      <c r="CM997" s="8"/>
      <c r="CN997" s="8"/>
      <c r="CO997" s="8"/>
      <c r="CP997" s="8"/>
      <c r="CQ997" s="8"/>
      <c r="CR997" s="8"/>
      <c r="CS997" s="8"/>
      <c r="CT997" s="8"/>
      <c r="CU997" s="8"/>
      <c r="CV997" s="8"/>
      <c r="CW997" s="8"/>
      <c r="CX997" s="8"/>
      <c r="CY997" s="8"/>
      <c r="CZ997" s="8"/>
      <c r="DA997" s="8"/>
      <c r="DB997" s="8"/>
      <c r="DC997" s="8"/>
      <c r="DD997" s="8"/>
      <c r="DE997" s="8"/>
      <c r="DF997" s="8"/>
      <c r="DG997" s="8"/>
      <c r="DH997" s="8"/>
      <c r="DI997" s="8"/>
      <c r="DJ997" s="8"/>
      <c r="DK997" s="8"/>
      <c r="DL997" s="8"/>
      <c r="DM997" s="8"/>
      <c r="DN997" s="8"/>
      <c r="DO997" s="8"/>
      <c r="DP997" s="8"/>
      <c r="DQ997" s="8"/>
      <c r="DR997" s="8"/>
      <c r="DS997" s="8"/>
      <c r="DT997" s="8"/>
      <c r="DU997" s="8"/>
      <c r="DV997" s="8"/>
      <c r="DW997" s="8"/>
      <c r="DX997" s="8"/>
      <c r="DY997" s="8"/>
      <c r="DZ997" s="8"/>
      <c r="EA997" s="8"/>
      <c r="EB997" s="8"/>
      <c r="EC997" s="8"/>
      <c r="ED997" s="8"/>
      <c r="EE997" s="8"/>
      <c r="EF997" s="8"/>
      <c r="EG997" s="8"/>
      <c r="EH997" s="8"/>
      <c r="EI997" s="8"/>
      <c r="EJ997" s="8"/>
      <c r="EK997" s="8"/>
      <c r="EL997" s="8"/>
      <c r="EM997" s="8"/>
      <c r="EN997" s="8"/>
      <c r="EO997" s="8"/>
      <c r="EP997" s="8"/>
      <c r="EQ997" s="8"/>
      <c r="ER997" s="8"/>
      <c r="ES997" s="8"/>
      <c r="ET997" s="8"/>
      <c r="EU997" s="8"/>
      <c r="EV997" s="8"/>
      <c r="EW997" s="8"/>
      <c r="EX997" s="8"/>
      <c r="EY997" s="8"/>
      <c r="EZ997" s="8"/>
      <c r="FA997" s="8"/>
      <c r="FB997" s="8"/>
      <c r="FC997" s="8"/>
      <c r="FD997" s="8"/>
      <c r="FE997" s="8"/>
      <c r="FF997" s="8"/>
      <c r="FG997" s="8"/>
      <c r="FH997" s="8"/>
      <c r="FI997" s="8"/>
      <c r="FJ997" s="8"/>
      <c r="FK997" s="8"/>
      <c r="FL997" s="8"/>
      <c r="FM997" s="8"/>
      <c r="FN997" s="8"/>
      <c r="FO997" s="8"/>
      <c r="FP997" s="8"/>
      <c r="FQ997" s="8"/>
      <c r="FR997" s="8"/>
      <c r="FS997" s="8"/>
      <c r="FT997" s="8"/>
      <c r="FU997" s="8"/>
      <c r="FV997" s="8"/>
      <c r="FW997" s="8"/>
      <c r="FX997" s="8"/>
      <c r="FY997" s="8"/>
      <c r="FZ997" s="8"/>
      <c r="GA997" s="8"/>
      <c r="GB997" s="8"/>
      <c r="GC997" s="8"/>
      <c r="GD997" s="8"/>
      <c r="GE997" s="8"/>
      <c r="GF997" s="8"/>
      <c r="GG997" s="8"/>
      <c r="GH997" s="8"/>
      <c r="GI997" s="8"/>
      <c r="GJ997" s="8"/>
      <c r="GK997" s="8"/>
      <c r="GL997" s="8"/>
      <c r="GM997" s="8"/>
      <c r="GN997" s="8"/>
      <c r="GO997" s="8"/>
      <c r="GP997" s="8"/>
      <c r="GQ997" s="8"/>
      <c r="GR997" s="8"/>
      <c r="GS997" s="8"/>
      <c r="GT997" s="8"/>
      <c r="GU997" s="8"/>
      <c r="GV997" s="8"/>
      <c r="GW997" s="8"/>
      <c r="GX997" s="8"/>
      <c r="GY997" s="8"/>
      <c r="GZ997" s="8"/>
      <c r="HA997" s="8"/>
      <c r="HB997" s="8"/>
      <c r="HC997" s="8"/>
      <c r="HD997" s="8"/>
      <c r="HE997" s="8"/>
      <c r="HF997" s="8"/>
      <c r="HG997" s="8"/>
      <c r="HH997" s="8"/>
      <c r="HI997" s="8"/>
      <c r="HJ997" s="8"/>
      <c r="HK997" s="8"/>
      <c r="HL997" s="8"/>
      <c r="HM997" s="8"/>
      <c r="HN997" s="8"/>
      <c r="HO997" s="8"/>
      <c r="HP997" s="8"/>
      <c r="HQ997" s="8"/>
      <c r="HR997" s="8"/>
      <c r="HS997" s="8"/>
      <c r="HT997" s="8"/>
      <c r="HU997" s="8"/>
      <c r="HV997" s="8"/>
      <c r="HW997" s="8"/>
      <c r="HX997" s="8"/>
      <c r="HY997" s="8"/>
      <c r="HZ997" s="8"/>
      <c r="IA997" s="8"/>
      <c r="IB997" s="8"/>
      <c r="IC997" s="8"/>
      <c r="ID997" s="8"/>
      <c r="IE997" s="8"/>
      <c r="IF997" s="8"/>
      <c r="IG997" s="8"/>
      <c r="IH997" s="8"/>
      <c r="II997" s="8"/>
      <c r="IJ997" s="8"/>
      <c r="IK997" s="8"/>
      <c r="IL997" s="8"/>
      <c r="IM997" s="8"/>
      <c r="IN997" s="8"/>
      <c r="IO997" s="8"/>
      <c r="IP997" s="8"/>
      <c r="IQ997" s="8"/>
      <c r="IR997" s="8"/>
      <c r="IS997" s="8"/>
      <c r="IT997" s="8"/>
      <c r="IU997" s="8"/>
      <c r="IV997" s="8"/>
      <c r="IW997" s="8"/>
      <c r="IX997" s="8"/>
    </row>
    <row r="998" spans="1:258" ht="21.95" customHeight="1" x14ac:dyDescent="0.25">
      <c r="A998" s="52" t="s">
        <v>1484</v>
      </c>
      <c r="B998" s="9" t="s">
        <v>738</v>
      </c>
      <c r="C998" s="3">
        <f>D998+L998+N998+P998+R998+S998+T998+U998</f>
        <v>88864265</v>
      </c>
      <c r="D998" s="4">
        <f>SUM(E998:J998)</f>
        <v>37294265</v>
      </c>
      <c r="E998" s="4">
        <f>350*15869.9</f>
        <v>5554465</v>
      </c>
      <c r="F998" s="4">
        <f>1050*15869.9</f>
        <v>16663395</v>
      </c>
      <c r="G998" s="4">
        <f>300*15869.9</f>
        <v>4760970</v>
      </c>
      <c r="H998" s="4">
        <f>400*15869.9</f>
        <v>6347960</v>
      </c>
      <c r="I998" s="4">
        <f>250*15869.9</f>
        <v>3967475</v>
      </c>
      <c r="J998" s="4">
        <v>0</v>
      </c>
      <c r="K998" s="5">
        <v>0</v>
      </c>
      <c r="L998" s="4">
        <v>0</v>
      </c>
      <c r="M998" s="6">
        <v>5060</v>
      </c>
      <c r="N998" s="4">
        <f>M998*5500</f>
        <v>27830000</v>
      </c>
      <c r="O998" s="4">
        <v>0</v>
      </c>
      <c r="P998" s="4">
        <v>0</v>
      </c>
      <c r="Q998" s="4">
        <v>7880</v>
      </c>
      <c r="R998" s="4">
        <f>Q998*3000</f>
        <v>23640000</v>
      </c>
      <c r="S998" s="4">
        <v>0</v>
      </c>
      <c r="T998" s="6">
        <v>0</v>
      </c>
      <c r="U998" s="4">
        <v>100000</v>
      </c>
      <c r="V998" s="7">
        <f>N998/M998</f>
        <v>5500</v>
      </c>
    </row>
    <row r="999" spans="1:258" ht="21.95" customHeight="1" x14ac:dyDescent="0.25">
      <c r="A999" s="52" t="s">
        <v>1485</v>
      </c>
      <c r="B999" s="9" t="s">
        <v>829</v>
      </c>
      <c r="C999" s="3">
        <f t="shared" si="534"/>
        <v>4644000</v>
      </c>
      <c r="D999" s="4">
        <f t="shared" si="533"/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5">
        <v>0</v>
      </c>
      <c r="L999" s="4">
        <v>0</v>
      </c>
      <c r="M999" s="6">
        <v>0</v>
      </c>
      <c r="N999" s="6">
        <v>0</v>
      </c>
      <c r="O999" s="4">
        <v>0</v>
      </c>
      <c r="P999" s="4">
        <v>0</v>
      </c>
      <c r="Q999" s="4">
        <v>1548</v>
      </c>
      <c r="R999" s="4">
        <f t="shared" si="531"/>
        <v>4644000</v>
      </c>
      <c r="S999" s="4">
        <v>0</v>
      </c>
      <c r="T999" s="6">
        <v>0</v>
      </c>
      <c r="U999" s="4">
        <v>0</v>
      </c>
      <c r="V999" s="7" t="e">
        <f t="shared" si="532"/>
        <v>#DIV/0!</v>
      </c>
    </row>
    <row r="1000" spans="1:258" ht="21.95" customHeight="1" x14ac:dyDescent="0.25">
      <c r="A1000" s="52" t="s">
        <v>1486</v>
      </c>
      <c r="B1000" s="9" t="s">
        <v>813</v>
      </c>
      <c r="C1000" s="3">
        <f t="shared" si="534"/>
        <v>1167100</v>
      </c>
      <c r="D1000" s="4">
        <f t="shared" si="533"/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5">
        <v>0</v>
      </c>
      <c r="L1000" s="4">
        <v>0</v>
      </c>
      <c r="M1000" s="6">
        <v>212.2</v>
      </c>
      <c r="N1000" s="4">
        <f t="shared" ref="N1000" si="541">M1000*5500</f>
        <v>1167100</v>
      </c>
      <c r="O1000" s="4">
        <v>0</v>
      </c>
      <c r="P1000" s="4">
        <v>0</v>
      </c>
      <c r="Q1000" s="4">
        <v>0</v>
      </c>
      <c r="R1000" s="4">
        <f t="shared" si="531"/>
        <v>0</v>
      </c>
      <c r="S1000" s="4">
        <v>0</v>
      </c>
      <c r="T1000" s="6">
        <v>0</v>
      </c>
      <c r="U1000" s="4">
        <v>0</v>
      </c>
      <c r="V1000" s="7">
        <f t="shared" si="532"/>
        <v>5500</v>
      </c>
    </row>
    <row r="1001" spans="1:258" ht="21.95" customHeight="1" x14ac:dyDescent="0.25">
      <c r="A1001" s="52" t="s">
        <v>1487</v>
      </c>
      <c r="B1001" s="28" t="s">
        <v>739</v>
      </c>
      <c r="C1001" s="3">
        <f t="shared" si="534"/>
        <v>1754500</v>
      </c>
      <c r="D1001" s="4">
        <f t="shared" si="533"/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5">
        <v>0</v>
      </c>
      <c r="L1001" s="4">
        <v>0</v>
      </c>
      <c r="M1001" s="6">
        <v>319</v>
      </c>
      <c r="N1001" s="4">
        <f t="shared" ref="N1001" si="542">M1001*5500</f>
        <v>1754500</v>
      </c>
      <c r="O1001" s="4">
        <v>0</v>
      </c>
      <c r="P1001" s="4">
        <v>0</v>
      </c>
      <c r="Q1001" s="4">
        <v>0</v>
      </c>
      <c r="R1001" s="4">
        <f t="shared" si="531"/>
        <v>0</v>
      </c>
      <c r="S1001" s="4">
        <v>0</v>
      </c>
      <c r="T1001" s="6">
        <v>0</v>
      </c>
      <c r="U1001" s="4">
        <v>0</v>
      </c>
      <c r="V1001" s="7">
        <f t="shared" si="532"/>
        <v>5500</v>
      </c>
    </row>
    <row r="1002" spans="1:258" s="19" customFormat="1" ht="21.95" customHeight="1" x14ac:dyDescent="0.25">
      <c r="A1002" s="52" t="s">
        <v>1488</v>
      </c>
      <c r="B1002" s="9" t="s">
        <v>814</v>
      </c>
      <c r="C1002" s="3">
        <f t="shared" si="534"/>
        <v>3538560</v>
      </c>
      <c r="D1002" s="4">
        <f t="shared" si="533"/>
        <v>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5">
        <v>0</v>
      </c>
      <c r="L1002" s="4">
        <v>0</v>
      </c>
      <c r="M1002" s="6">
        <v>960</v>
      </c>
      <c r="N1002" s="4">
        <f>M1002*3686</f>
        <v>3538560</v>
      </c>
      <c r="O1002" s="4">
        <v>0</v>
      </c>
      <c r="P1002" s="4">
        <v>0</v>
      </c>
      <c r="Q1002" s="4">
        <v>0</v>
      </c>
      <c r="R1002" s="4">
        <f t="shared" si="531"/>
        <v>0</v>
      </c>
      <c r="S1002" s="4">
        <v>0</v>
      </c>
      <c r="T1002" s="6">
        <v>0</v>
      </c>
      <c r="U1002" s="4">
        <v>0</v>
      </c>
      <c r="V1002" s="7">
        <f t="shared" si="532"/>
        <v>3686</v>
      </c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  <c r="CS1002" s="8"/>
      <c r="CT1002" s="8"/>
      <c r="CU1002" s="8"/>
      <c r="CV1002" s="8"/>
      <c r="CW1002" s="8"/>
      <c r="CX1002" s="8"/>
      <c r="CY1002" s="8"/>
      <c r="CZ1002" s="8"/>
      <c r="DA1002" s="8"/>
      <c r="DB1002" s="8"/>
      <c r="DC1002" s="8"/>
      <c r="DD1002" s="8"/>
      <c r="DE1002" s="8"/>
      <c r="DF1002" s="8"/>
      <c r="DG1002" s="8"/>
      <c r="DH1002" s="8"/>
      <c r="DI1002" s="8"/>
      <c r="DJ1002" s="8"/>
      <c r="DK1002" s="8"/>
      <c r="DL1002" s="8"/>
      <c r="DM1002" s="8"/>
      <c r="DN1002" s="8"/>
      <c r="DO1002" s="8"/>
      <c r="DP1002" s="8"/>
      <c r="DQ1002" s="8"/>
      <c r="DR1002" s="8"/>
      <c r="DS1002" s="8"/>
      <c r="DT1002" s="8"/>
      <c r="DU1002" s="8"/>
      <c r="DV1002" s="8"/>
      <c r="DW1002" s="8"/>
      <c r="DX1002" s="8"/>
      <c r="DY1002" s="8"/>
      <c r="DZ1002" s="8"/>
      <c r="EA1002" s="8"/>
      <c r="EB1002" s="8"/>
      <c r="EC1002" s="8"/>
      <c r="ED1002" s="8"/>
      <c r="EE1002" s="8"/>
      <c r="EF1002" s="8"/>
      <c r="EG1002" s="8"/>
      <c r="EH1002" s="8"/>
      <c r="EI1002" s="8"/>
      <c r="EJ1002" s="8"/>
      <c r="EK1002" s="8"/>
      <c r="EL1002" s="8"/>
      <c r="EM1002" s="8"/>
      <c r="EN1002" s="8"/>
      <c r="EO1002" s="8"/>
      <c r="EP1002" s="8"/>
      <c r="EQ1002" s="8"/>
      <c r="ER1002" s="8"/>
      <c r="ES1002" s="8"/>
      <c r="ET1002" s="8"/>
      <c r="EU1002" s="8"/>
      <c r="EV1002" s="8"/>
      <c r="EW1002" s="8"/>
      <c r="EX1002" s="8"/>
      <c r="EY1002" s="8"/>
      <c r="EZ1002" s="8"/>
      <c r="FA1002" s="8"/>
      <c r="FB1002" s="8"/>
      <c r="FC1002" s="8"/>
      <c r="FD1002" s="8"/>
      <c r="FE1002" s="8"/>
      <c r="FF1002" s="8"/>
      <c r="FG1002" s="8"/>
      <c r="FH1002" s="8"/>
      <c r="FI1002" s="8"/>
      <c r="FJ1002" s="8"/>
      <c r="FK1002" s="8"/>
      <c r="FL1002" s="8"/>
      <c r="FM1002" s="8"/>
      <c r="FN1002" s="8"/>
      <c r="FO1002" s="8"/>
      <c r="FP1002" s="8"/>
      <c r="FQ1002" s="8"/>
      <c r="FR1002" s="8"/>
      <c r="FS1002" s="8"/>
      <c r="FT1002" s="8"/>
      <c r="FU1002" s="8"/>
      <c r="FV1002" s="8"/>
      <c r="FW1002" s="8"/>
      <c r="FX1002" s="8"/>
      <c r="FY1002" s="8"/>
      <c r="FZ1002" s="8"/>
      <c r="GA1002" s="8"/>
      <c r="GB1002" s="8"/>
      <c r="GC1002" s="8"/>
      <c r="GD1002" s="8"/>
      <c r="GE1002" s="8"/>
      <c r="GF1002" s="8"/>
      <c r="GG1002" s="8"/>
      <c r="GH1002" s="8"/>
      <c r="GI1002" s="8"/>
      <c r="GJ1002" s="8"/>
      <c r="GK1002" s="8"/>
      <c r="GL1002" s="8"/>
      <c r="GM1002" s="8"/>
      <c r="GN1002" s="8"/>
      <c r="GO1002" s="8"/>
      <c r="GP1002" s="8"/>
      <c r="GQ1002" s="8"/>
      <c r="GR1002" s="8"/>
      <c r="GS1002" s="8"/>
      <c r="GT1002" s="8"/>
      <c r="GU1002" s="8"/>
      <c r="GV1002" s="8"/>
      <c r="GW1002" s="8"/>
      <c r="GX1002" s="8"/>
      <c r="GY1002" s="8"/>
      <c r="GZ1002" s="8"/>
      <c r="HA1002" s="8"/>
      <c r="HB1002" s="8"/>
      <c r="HC1002" s="8"/>
      <c r="HD1002" s="8"/>
      <c r="HE1002" s="8"/>
      <c r="HF1002" s="8"/>
      <c r="HG1002" s="8"/>
      <c r="HH1002" s="8"/>
      <c r="HI1002" s="8"/>
      <c r="HJ1002" s="8"/>
      <c r="HK1002" s="8"/>
      <c r="HL1002" s="8"/>
      <c r="HM1002" s="8"/>
      <c r="HN1002" s="8"/>
      <c r="HO1002" s="8"/>
      <c r="HP1002" s="8"/>
      <c r="HQ1002" s="8"/>
      <c r="HR1002" s="8"/>
      <c r="HS1002" s="8"/>
      <c r="HT1002" s="8"/>
      <c r="HU1002" s="8"/>
      <c r="HV1002" s="8"/>
      <c r="HW1002" s="8"/>
      <c r="HX1002" s="8"/>
      <c r="HY1002" s="8"/>
      <c r="HZ1002" s="8"/>
      <c r="IA1002" s="8"/>
      <c r="IB1002" s="8"/>
      <c r="IC1002" s="8"/>
      <c r="ID1002" s="8"/>
      <c r="IE1002" s="8"/>
      <c r="IF1002" s="8"/>
      <c r="IG1002" s="8"/>
      <c r="IH1002" s="8"/>
      <c r="II1002" s="8"/>
      <c r="IJ1002" s="8"/>
      <c r="IK1002" s="8"/>
      <c r="IL1002" s="8"/>
      <c r="IM1002" s="8"/>
      <c r="IN1002" s="8"/>
      <c r="IO1002" s="8"/>
      <c r="IP1002" s="8"/>
      <c r="IQ1002" s="8"/>
      <c r="IR1002" s="8"/>
      <c r="IS1002" s="8"/>
      <c r="IT1002" s="8"/>
      <c r="IU1002" s="8"/>
      <c r="IV1002" s="8"/>
      <c r="IW1002" s="8"/>
      <c r="IX1002" s="8"/>
    </row>
    <row r="1003" spans="1:258" ht="21.95" customHeight="1" x14ac:dyDescent="0.25">
      <c r="A1003" s="52" t="s">
        <v>1489</v>
      </c>
      <c r="B1003" s="9" t="s">
        <v>470</v>
      </c>
      <c r="C1003" s="3">
        <f>D1003+L1003+N1003+P1003+R1003+S1003+T1003+U1003</f>
        <v>11528050</v>
      </c>
      <c r="D1003" s="4">
        <f>SUM(E1003:J1003)</f>
        <v>11428050</v>
      </c>
      <c r="E1003" s="4">
        <f>350*4863</f>
        <v>1702050</v>
      </c>
      <c r="F1003" s="4">
        <f>1050*4863</f>
        <v>5106150</v>
      </c>
      <c r="G1003" s="4">
        <f>300*4863</f>
        <v>1458900</v>
      </c>
      <c r="H1003" s="4">
        <f>400*4863</f>
        <v>1945200</v>
      </c>
      <c r="I1003" s="4">
        <f>250*4863</f>
        <v>1215750</v>
      </c>
      <c r="J1003" s="4">
        <v>0</v>
      </c>
      <c r="K1003" s="5">
        <v>0</v>
      </c>
      <c r="L1003" s="4">
        <v>0</v>
      </c>
      <c r="M1003" s="4">
        <v>0</v>
      </c>
      <c r="N1003" s="4">
        <v>0</v>
      </c>
      <c r="O1003" s="4">
        <v>0</v>
      </c>
      <c r="P1003" s="4">
        <v>0</v>
      </c>
      <c r="Q1003" s="4">
        <v>0</v>
      </c>
      <c r="R1003" s="4">
        <f>Q1003*3000</f>
        <v>0</v>
      </c>
      <c r="S1003" s="4">
        <v>0</v>
      </c>
      <c r="T1003" s="6">
        <v>0</v>
      </c>
      <c r="U1003" s="4">
        <v>100000</v>
      </c>
      <c r="V1003" s="7" t="e">
        <f>N1003/M1003</f>
        <v>#DIV/0!</v>
      </c>
    </row>
    <row r="1004" spans="1:258" ht="21.95" customHeight="1" x14ac:dyDescent="0.25">
      <c r="A1004" s="52" t="s">
        <v>1490</v>
      </c>
      <c r="B1004" s="9" t="s">
        <v>456</v>
      </c>
      <c r="C1004" s="3">
        <f>D1004+L1004+N1004+P1004+R1004+S1004+T1004+U1004</f>
        <v>19375875</v>
      </c>
      <c r="D1004" s="4">
        <f>SUM(E1004:J1004)</f>
        <v>19275875</v>
      </c>
      <c r="E1004" s="4">
        <f>350*8202.5</f>
        <v>2870875</v>
      </c>
      <c r="F1004" s="4">
        <f>1050*8202.5</f>
        <v>8612625</v>
      </c>
      <c r="G1004" s="4">
        <f>300*8202.5</f>
        <v>2460750</v>
      </c>
      <c r="H1004" s="4">
        <f>400*8202.5</f>
        <v>3281000</v>
      </c>
      <c r="I1004" s="4">
        <f>250*8202.5</f>
        <v>2050625</v>
      </c>
      <c r="J1004" s="4">
        <v>0</v>
      </c>
      <c r="K1004" s="5">
        <v>0</v>
      </c>
      <c r="L1004" s="4">
        <v>0</v>
      </c>
      <c r="M1004" s="4">
        <v>0</v>
      </c>
      <c r="N1004" s="4">
        <v>0</v>
      </c>
      <c r="O1004" s="4">
        <v>0</v>
      </c>
      <c r="P1004" s="4">
        <v>0</v>
      </c>
      <c r="Q1004" s="4">
        <v>0</v>
      </c>
      <c r="R1004" s="4">
        <f>Q1004*3000</f>
        <v>0</v>
      </c>
      <c r="S1004" s="4">
        <v>0</v>
      </c>
      <c r="T1004" s="6">
        <v>0</v>
      </c>
      <c r="U1004" s="4">
        <v>100000</v>
      </c>
      <c r="V1004" s="7" t="e">
        <f>N1004/M1004</f>
        <v>#DIV/0!</v>
      </c>
    </row>
    <row r="1005" spans="1:258" ht="21.95" customHeight="1" x14ac:dyDescent="0.25">
      <c r="A1005" s="52" t="s">
        <v>1491</v>
      </c>
      <c r="B1005" s="9" t="s">
        <v>740</v>
      </c>
      <c r="C1005" s="3">
        <f t="shared" si="534"/>
        <v>2176790</v>
      </c>
      <c r="D1005" s="4">
        <f t="shared" si="533"/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5">
        <v>0</v>
      </c>
      <c r="L1005" s="4">
        <v>0</v>
      </c>
      <c r="M1005" s="4">
        <v>395.78</v>
      </c>
      <c r="N1005" s="4">
        <f t="shared" ref="N1005:N1007" si="543">M1005*5500</f>
        <v>2176790</v>
      </c>
      <c r="O1005" s="4">
        <v>0</v>
      </c>
      <c r="P1005" s="4">
        <v>0</v>
      </c>
      <c r="Q1005" s="4">
        <v>0</v>
      </c>
      <c r="R1005" s="4">
        <f t="shared" si="531"/>
        <v>0</v>
      </c>
      <c r="S1005" s="4">
        <v>0</v>
      </c>
      <c r="T1005" s="6">
        <v>0</v>
      </c>
      <c r="U1005" s="4">
        <v>0</v>
      </c>
      <c r="V1005" s="7">
        <f t="shared" si="532"/>
        <v>5500</v>
      </c>
    </row>
    <row r="1006" spans="1:258" ht="21.95" customHeight="1" x14ac:dyDescent="0.25">
      <c r="A1006" s="52" t="s">
        <v>1492</v>
      </c>
      <c r="B1006" s="9" t="s">
        <v>815</v>
      </c>
      <c r="C1006" s="3">
        <f t="shared" si="534"/>
        <v>2095500</v>
      </c>
      <c r="D1006" s="4">
        <f t="shared" si="533"/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5">
        <v>0</v>
      </c>
      <c r="L1006" s="4">
        <v>0</v>
      </c>
      <c r="M1006" s="6">
        <v>381</v>
      </c>
      <c r="N1006" s="4">
        <f t="shared" si="543"/>
        <v>2095500</v>
      </c>
      <c r="O1006" s="4">
        <v>0</v>
      </c>
      <c r="P1006" s="4">
        <v>0</v>
      </c>
      <c r="Q1006" s="4">
        <v>0</v>
      </c>
      <c r="R1006" s="4">
        <f t="shared" si="531"/>
        <v>0</v>
      </c>
      <c r="S1006" s="4">
        <v>0</v>
      </c>
      <c r="T1006" s="6">
        <v>0</v>
      </c>
      <c r="U1006" s="4">
        <v>0</v>
      </c>
      <c r="V1006" s="7">
        <f t="shared" si="532"/>
        <v>5500</v>
      </c>
    </row>
    <row r="1007" spans="1:258" s="35" customFormat="1" ht="21.95" customHeight="1" x14ac:dyDescent="0.25">
      <c r="A1007" s="52" t="s">
        <v>1493</v>
      </c>
      <c r="B1007" s="9" t="s">
        <v>741</v>
      </c>
      <c r="C1007" s="3">
        <f t="shared" si="534"/>
        <v>1419000</v>
      </c>
      <c r="D1007" s="4">
        <f t="shared" si="533"/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5">
        <v>0</v>
      </c>
      <c r="L1007" s="4">
        <v>0</v>
      </c>
      <c r="M1007" s="6">
        <v>258</v>
      </c>
      <c r="N1007" s="4">
        <f t="shared" si="543"/>
        <v>1419000</v>
      </c>
      <c r="O1007" s="4">
        <v>0</v>
      </c>
      <c r="P1007" s="4">
        <v>0</v>
      </c>
      <c r="Q1007" s="4">
        <v>0</v>
      </c>
      <c r="R1007" s="4">
        <f t="shared" si="531"/>
        <v>0</v>
      </c>
      <c r="S1007" s="4">
        <v>0</v>
      </c>
      <c r="T1007" s="6">
        <v>0</v>
      </c>
      <c r="U1007" s="4">
        <v>0</v>
      </c>
      <c r="V1007" s="7">
        <f t="shared" si="532"/>
        <v>5500</v>
      </c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  <c r="BY1007" s="8"/>
      <c r="BZ1007" s="8"/>
      <c r="CA1007" s="8"/>
      <c r="CB1007" s="8"/>
      <c r="CC1007" s="8"/>
      <c r="CD1007" s="8"/>
      <c r="CE1007" s="8"/>
      <c r="CF1007" s="8"/>
      <c r="CG1007" s="8"/>
      <c r="CH1007" s="8"/>
      <c r="CI1007" s="8"/>
      <c r="CJ1007" s="8"/>
      <c r="CK1007" s="8"/>
      <c r="CL1007" s="8"/>
      <c r="CM1007" s="8"/>
      <c r="CN1007" s="8"/>
      <c r="CO1007" s="8"/>
      <c r="CP1007" s="8"/>
      <c r="CQ1007" s="8"/>
      <c r="CR1007" s="8"/>
      <c r="CS1007" s="8"/>
      <c r="CT1007" s="8"/>
      <c r="CU1007" s="8"/>
      <c r="CV1007" s="8"/>
      <c r="CW1007" s="8"/>
      <c r="CX1007" s="8"/>
      <c r="CY1007" s="8"/>
      <c r="CZ1007" s="8"/>
      <c r="DA1007" s="8"/>
      <c r="DB1007" s="8"/>
      <c r="DC1007" s="8"/>
      <c r="DD1007" s="8"/>
      <c r="DE1007" s="8"/>
      <c r="DF1007" s="8"/>
      <c r="DG1007" s="8"/>
      <c r="DH1007" s="8"/>
      <c r="DI1007" s="8"/>
      <c r="DJ1007" s="8"/>
      <c r="DK1007" s="8"/>
      <c r="DL1007" s="8"/>
      <c r="DM1007" s="8"/>
      <c r="DN1007" s="8"/>
      <c r="DO1007" s="8"/>
      <c r="DP1007" s="8"/>
      <c r="DQ1007" s="8"/>
      <c r="DR1007" s="8"/>
      <c r="DS1007" s="8"/>
      <c r="DT1007" s="8"/>
      <c r="DU1007" s="8"/>
      <c r="DV1007" s="8"/>
      <c r="DW1007" s="8"/>
      <c r="DX1007" s="8"/>
      <c r="DY1007" s="8"/>
      <c r="DZ1007" s="8"/>
      <c r="EA1007" s="8"/>
      <c r="EB1007" s="8"/>
      <c r="EC1007" s="8"/>
      <c r="ED1007" s="8"/>
      <c r="EE1007" s="8"/>
      <c r="EF1007" s="8"/>
      <c r="EG1007" s="8"/>
      <c r="EH1007" s="8"/>
      <c r="EI1007" s="8"/>
      <c r="EJ1007" s="8"/>
      <c r="EK1007" s="8"/>
      <c r="EL1007" s="8"/>
      <c r="EM1007" s="8"/>
      <c r="EN1007" s="8"/>
      <c r="EO1007" s="8"/>
      <c r="EP1007" s="8"/>
      <c r="EQ1007" s="8"/>
      <c r="ER1007" s="8"/>
      <c r="ES1007" s="8"/>
      <c r="ET1007" s="8"/>
      <c r="EU1007" s="8"/>
      <c r="EV1007" s="8"/>
      <c r="EW1007" s="8"/>
      <c r="EX1007" s="8"/>
      <c r="EY1007" s="8"/>
      <c r="EZ1007" s="8"/>
      <c r="FA1007" s="8"/>
      <c r="FB1007" s="8"/>
      <c r="FC1007" s="8"/>
      <c r="FD1007" s="8"/>
      <c r="FE1007" s="8"/>
      <c r="FF1007" s="8"/>
      <c r="FG1007" s="8"/>
      <c r="FH1007" s="8"/>
      <c r="FI1007" s="8"/>
      <c r="FJ1007" s="8"/>
      <c r="FK1007" s="8"/>
      <c r="FL1007" s="8"/>
      <c r="FM1007" s="8"/>
      <c r="FN1007" s="8"/>
      <c r="FO1007" s="8"/>
      <c r="FP1007" s="8"/>
      <c r="FQ1007" s="8"/>
      <c r="FR1007" s="8"/>
      <c r="FS1007" s="8"/>
      <c r="FT1007" s="8"/>
      <c r="FU1007" s="8"/>
      <c r="FV1007" s="8"/>
      <c r="FW1007" s="8"/>
      <c r="FX1007" s="8"/>
      <c r="FY1007" s="8"/>
      <c r="FZ1007" s="8"/>
      <c r="GA1007" s="8"/>
      <c r="GB1007" s="8"/>
      <c r="GC1007" s="8"/>
      <c r="GD1007" s="8"/>
      <c r="GE1007" s="8"/>
      <c r="GF1007" s="8"/>
      <c r="GG1007" s="8"/>
      <c r="GH1007" s="8"/>
      <c r="GI1007" s="8"/>
      <c r="GJ1007" s="8"/>
      <c r="GK1007" s="8"/>
      <c r="GL1007" s="8"/>
      <c r="GM1007" s="8"/>
      <c r="GN1007" s="8"/>
      <c r="GO1007" s="8"/>
      <c r="GP1007" s="8"/>
      <c r="GQ1007" s="8"/>
      <c r="GR1007" s="8"/>
      <c r="GS1007" s="8"/>
      <c r="GT1007" s="8"/>
      <c r="GU1007" s="8"/>
      <c r="GV1007" s="8"/>
      <c r="GW1007" s="8"/>
      <c r="GX1007" s="8"/>
      <c r="GY1007" s="8"/>
      <c r="GZ1007" s="8"/>
      <c r="HA1007" s="8"/>
      <c r="HB1007" s="8"/>
      <c r="HC1007" s="8"/>
      <c r="HD1007" s="8"/>
      <c r="HE1007" s="8"/>
      <c r="HF1007" s="8"/>
      <c r="HG1007" s="8"/>
      <c r="HH1007" s="8"/>
      <c r="HI1007" s="8"/>
      <c r="HJ1007" s="8"/>
      <c r="HK1007" s="8"/>
      <c r="HL1007" s="8"/>
      <c r="HM1007" s="8"/>
      <c r="HN1007" s="8"/>
      <c r="HO1007" s="8"/>
      <c r="HP1007" s="8"/>
      <c r="HQ1007" s="8"/>
      <c r="HR1007" s="8"/>
      <c r="HS1007" s="8"/>
      <c r="HT1007" s="8"/>
      <c r="HU1007" s="8"/>
      <c r="HV1007" s="8"/>
      <c r="HW1007" s="8"/>
      <c r="HX1007" s="8"/>
      <c r="HY1007" s="8"/>
      <c r="HZ1007" s="8"/>
      <c r="IA1007" s="8"/>
      <c r="IB1007" s="8"/>
      <c r="IC1007" s="8"/>
      <c r="ID1007" s="8"/>
      <c r="IE1007" s="8"/>
      <c r="IF1007" s="8"/>
      <c r="IG1007" s="8"/>
      <c r="IH1007" s="8"/>
      <c r="II1007" s="8"/>
      <c r="IJ1007" s="8"/>
      <c r="IK1007" s="8"/>
      <c r="IL1007" s="8"/>
      <c r="IM1007" s="8"/>
      <c r="IN1007" s="8"/>
      <c r="IO1007" s="8"/>
      <c r="IP1007" s="8"/>
      <c r="IQ1007" s="8"/>
      <c r="IR1007" s="8"/>
      <c r="IS1007" s="8"/>
      <c r="IT1007" s="8"/>
      <c r="IU1007" s="8"/>
      <c r="IV1007" s="8"/>
      <c r="IW1007" s="8"/>
      <c r="IX1007" s="8"/>
    </row>
    <row r="1008" spans="1:258" ht="21.95" customHeight="1" x14ac:dyDescent="0.25">
      <c r="A1008" s="52" t="s">
        <v>1494</v>
      </c>
      <c r="B1008" s="9" t="s">
        <v>742</v>
      </c>
      <c r="C1008" s="3">
        <f t="shared" si="534"/>
        <v>2845955</v>
      </c>
      <c r="D1008" s="4">
        <f t="shared" si="533"/>
        <v>663405</v>
      </c>
      <c r="E1008" s="4">
        <f>350*282.3</f>
        <v>98805</v>
      </c>
      <c r="F1008" s="4">
        <f>1050*282.3</f>
        <v>296415</v>
      </c>
      <c r="G1008" s="4">
        <f>300*282.3</f>
        <v>84690</v>
      </c>
      <c r="H1008" s="4">
        <f>400*282.3</f>
        <v>112920</v>
      </c>
      <c r="I1008" s="4">
        <f>250*282.3</f>
        <v>70575</v>
      </c>
      <c r="J1008" s="4">
        <v>0</v>
      </c>
      <c r="K1008" s="5">
        <v>0</v>
      </c>
      <c r="L1008" s="4">
        <v>0</v>
      </c>
      <c r="M1008" s="6">
        <v>202.1</v>
      </c>
      <c r="N1008" s="4">
        <f t="shared" ref="N1008" si="544">M1008*5500</f>
        <v>1111550</v>
      </c>
      <c r="O1008" s="4">
        <v>0</v>
      </c>
      <c r="P1008" s="4">
        <v>0</v>
      </c>
      <c r="Q1008" s="4">
        <v>357</v>
      </c>
      <c r="R1008" s="4">
        <f t="shared" si="531"/>
        <v>1071000</v>
      </c>
      <c r="S1008" s="4">
        <v>0</v>
      </c>
      <c r="T1008" s="6">
        <v>0</v>
      </c>
      <c r="U1008" s="4">
        <v>0</v>
      </c>
      <c r="V1008" s="7">
        <f t="shared" si="532"/>
        <v>5500</v>
      </c>
    </row>
    <row r="1009" spans="1:258" ht="21.95" customHeight="1" x14ac:dyDescent="0.25">
      <c r="A1009" s="52" t="s">
        <v>1495</v>
      </c>
      <c r="B1009" s="28" t="s">
        <v>816</v>
      </c>
      <c r="C1009" s="3">
        <f t="shared" si="534"/>
        <v>5170000</v>
      </c>
      <c r="D1009" s="4">
        <f t="shared" si="533"/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5">
        <v>0</v>
      </c>
      <c r="L1009" s="4">
        <v>0</v>
      </c>
      <c r="M1009" s="6">
        <v>940</v>
      </c>
      <c r="N1009" s="4">
        <f t="shared" ref="N1009:N1016" si="545">M1009*5500</f>
        <v>5170000</v>
      </c>
      <c r="O1009" s="4">
        <v>0</v>
      </c>
      <c r="P1009" s="4">
        <v>0</v>
      </c>
      <c r="Q1009" s="4">
        <v>0</v>
      </c>
      <c r="R1009" s="4">
        <f t="shared" si="531"/>
        <v>0</v>
      </c>
      <c r="S1009" s="4">
        <v>0</v>
      </c>
      <c r="T1009" s="6">
        <v>0</v>
      </c>
      <c r="U1009" s="4">
        <v>0</v>
      </c>
      <c r="V1009" s="7">
        <f t="shared" si="532"/>
        <v>5500</v>
      </c>
    </row>
    <row r="1010" spans="1:258" ht="21.95" customHeight="1" x14ac:dyDescent="0.25">
      <c r="A1010" s="52" t="s">
        <v>1496</v>
      </c>
      <c r="B1010" s="28" t="s">
        <v>817</v>
      </c>
      <c r="C1010" s="3">
        <f t="shared" si="534"/>
        <v>5131500</v>
      </c>
      <c r="D1010" s="4">
        <f t="shared" si="533"/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5">
        <v>0</v>
      </c>
      <c r="L1010" s="4">
        <v>0</v>
      </c>
      <c r="M1010" s="6">
        <v>933</v>
      </c>
      <c r="N1010" s="4">
        <f t="shared" si="545"/>
        <v>5131500</v>
      </c>
      <c r="O1010" s="4">
        <v>0</v>
      </c>
      <c r="P1010" s="4">
        <v>0</v>
      </c>
      <c r="Q1010" s="4">
        <v>0</v>
      </c>
      <c r="R1010" s="4">
        <f t="shared" si="531"/>
        <v>0</v>
      </c>
      <c r="S1010" s="4">
        <v>0</v>
      </c>
      <c r="T1010" s="6">
        <v>0</v>
      </c>
      <c r="U1010" s="4">
        <v>0</v>
      </c>
      <c r="V1010" s="7">
        <f t="shared" si="532"/>
        <v>5500</v>
      </c>
    </row>
    <row r="1011" spans="1:258" ht="21.95" customHeight="1" x14ac:dyDescent="0.25">
      <c r="A1011" s="52" t="s">
        <v>1497</v>
      </c>
      <c r="B1011" s="9" t="s">
        <v>818</v>
      </c>
      <c r="C1011" s="3">
        <f t="shared" si="534"/>
        <v>3465000</v>
      </c>
      <c r="D1011" s="4">
        <f t="shared" si="533"/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5">
        <v>0</v>
      </c>
      <c r="L1011" s="4">
        <v>0</v>
      </c>
      <c r="M1011" s="6">
        <v>630</v>
      </c>
      <c r="N1011" s="4">
        <f t="shared" si="545"/>
        <v>3465000</v>
      </c>
      <c r="O1011" s="4">
        <v>0</v>
      </c>
      <c r="P1011" s="4">
        <v>0</v>
      </c>
      <c r="Q1011" s="4">
        <v>0</v>
      </c>
      <c r="R1011" s="4">
        <f t="shared" si="531"/>
        <v>0</v>
      </c>
      <c r="S1011" s="4">
        <v>0</v>
      </c>
      <c r="T1011" s="6">
        <v>0</v>
      </c>
      <c r="U1011" s="4">
        <v>0</v>
      </c>
      <c r="V1011" s="7">
        <f t="shared" si="532"/>
        <v>5500</v>
      </c>
    </row>
    <row r="1012" spans="1:258" ht="21.95" customHeight="1" x14ac:dyDescent="0.25">
      <c r="A1012" s="52" t="s">
        <v>1498</v>
      </c>
      <c r="B1012" s="9" t="s">
        <v>819</v>
      </c>
      <c r="C1012" s="3">
        <f t="shared" si="534"/>
        <v>1661000</v>
      </c>
      <c r="D1012" s="4">
        <f t="shared" si="533"/>
        <v>0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5">
        <v>0</v>
      </c>
      <c r="L1012" s="4">
        <v>0</v>
      </c>
      <c r="M1012" s="6">
        <v>302</v>
      </c>
      <c r="N1012" s="4">
        <f t="shared" si="545"/>
        <v>1661000</v>
      </c>
      <c r="O1012" s="4">
        <v>0</v>
      </c>
      <c r="P1012" s="4">
        <v>0</v>
      </c>
      <c r="Q1012" s="4">
        <v>0</v>
      </c>
      <c r="R1012" s="4">
        <f t="shared" si="531"/>
        <v>0</v>
      </c>
      <c r="S1012" s="4">
        <v>0</v>
      </c>
      <c r="T1012" s="6">
        <v>0</v>
      </c>
      <c r="U1012" s="4">
        <v>0</v>
      </c>
      <c r="V1012" s="7">
        <f t="shared" si="532"/>
        <v>5500</v>
      </c>
    </row>
    <row r="1013" spans="1:258" ht="21.95" customHeight="1" x14ac:dyDescent="0.25">
      <c r="A1013" s="52" t="s">
        <v>1499</v>
      </c>
      <c r="B1013" s="9" t="s">
        <v>743</v>
      </c>
      <c r="C1013" s="3">
        <f t="shared" si="534"/>
        <v>1255650</v>
      </c>
      <c r="D1013" s="4">
        <f t="shared" si="533"/>
        <v>0</v>
      </c>
      <c r="E1013" s="4">
        <v>0</v>
      </c>
      <c r="F1013" s="4">
        <v>0</v>
      </c>
      <c r="G1013" s="4">
        <v>0</v>
      </c>
      <c r="H1013" s="4">
        <v>0</v>
      </c>
      <c r="I1013" s="4">
        <v>0</v>
      </c>
      <c r="J1013" s="4">
        <v>0</v>
      </c>
      <c r="K1013" s="5">
        <v>0</v>
      </c>
      <c r="L1013" s="4">
        <v>0</v>
      </c>
      <c r="M1013" s="6">
        <v>228.3</v>
      </c>
      <c r="N1013" s="4">
        <f t="shared" si="545"/>
        <v>1255650</v>
      </c>
      <c r="O1013" s="4">
        <v>0</v>
      </c>
      <c r="P1013" s="4">
        <v>0</v>
      </c>
      <c r="Q1013" s="4">
        <v>0</v>
      </c>
      <c r="R1013" s="4">
        <f t="shared" si="531"/>
        <v>0</v>
      </c>
      <c r="S1013" s="4">
        <v>0</v>
      </c>
      <c r="T1013" s="6">
        <v>0</v>
      </c>
      <c r="U1013" s="4">
        <v>0</v>
      </c>
      <c r="V1013" s="7">
        <f t="shared" si="532"/>
        <v>5500</v>
      </c>
    </row>
    <row r="1014" spans="1:258" ht="21.95" customHeight="1" x14ac:dyDescent="0.25">
      <c r="A1014" s="52" t="s">
        <v>1500</v>
      </c>
      <c r="B1014" s="9" t="s">
        <v>820</v>
      </c>
      <c r="C1014" s="3">
        <f t="shared" si="534"/>
        <v>1259500</v>
      </c>
      <c r="D1014" s="4">
        <f t="shared" si="533"/>
        <v>0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5">
        <v>0</v>
      </c>
      <c r="L1014" s="4">
        <v>0</v>
      </c>
      <c r="M1014" s="6">
        <v>229</v>
      </c>
      <c r="N1014" s="4">
        <f t="shared" si="545"/>
        <v>1259500</v>
      </c>
      <c r="O1014" s="4">
        <v>0</v>
      </c>
      <c r="P1014" s="4">
        <v>0</v>
      </c>
      <c r="Q1014" s="4">
        <v>0</v>
      </c>
      <c r="R1014" s="4">
        <f t="shared" si="531"/>
        <v>0</v>
      </c>
      <c r="S1014" s="4">
        <v>0</v>
      </c>
      <c r="T1014" s="6">
        <v>0</v>
      </c>
      <c r="U1014" s="4">
        <v>0</v>
      </c>
      <c r="V1014" s="7">
        <f t="shared" si="532"/>
        <v>5500</v>
      </c>
    </row>
    <row r="1015" spans="1:258" ht="21.95" customHeight="1" x14ac:dyDescent="0.25">
      <c r="A1015" s="52" t="s">
        <v>1501</v>
      </c>
      <c r="B1015" s="9" t="s">
        <v>821</v>
      </c>
      <c r="C1015" s="3">
        <f t="shared" si="534"/>
        <v>1589500</v>
      </c>
      <c r="D1015" s="4">
        <f t="shared" si="533"/>
        <v>0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5">
        <v>0</v>
      </c>
      <c r="L1015" s="4">
        <v>0</v>
      </c>
      <c r="M1015" s="6">
        <v>289</v>
      </c>
      <c r="N1015" s="4">
        <f t="shared" si="545"/>
        <v>1589500</v>
      </c>
      <c r="O1015" s="4">
        <v>0</v>
      </c>
      <c r="P1015" s="4">
        <v>0</v>
      </c>
      <c r="Q1015" s="4">
        <v>0</v>
      </c>
      <c r="R1015" s="4">
        <f t="shared" si="531"/>
        <v>0</v>
      </c>
      <c r="S1015" s="4">
        <v>0</v>
      </c>
      <c r="T1015" s="6">
        <v>0</v>
      </c>
      <c r="U1015" s="4">
        <v>0</v>
      </c>
      <c r="V1015" s="7">
        <f t="shared" si="532"/>
        <v>5500</v>
      </c>
    </row>
    <row r="1016" spans="1:258" ht="21.95" customHeight="1" x14ac:dyDescent="0.25">
      <c r="A1016" s="52" t="s">
        <v>1502</v>
      </c>
      <c r="B1016" s="9" t="s">
        <v>744</v>
      </c>
      <c r="C1016" s="3">
        <f t="shared" si="534"/>
        <v>2057000</v>
      </c>
      <c r="D1016" s="4">
        <f t="shared" si="533"/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5">
        <v>0</v>
      </c>
      <c r="L1016" s="4">
        <v>0</v>
      </c>
      <c r="M1016" s="4">
        <v>374</v>
      </c>
      <c r="N1016" s="4">
        <f t="shared" si="545"/>
        <v>2057000</v>
      </c>
      <c r="O1016" s="4">
        <v>0</v>
      </c>
      <c r="P1016" s="4">
        <v>0</v>
      </c>
      <c r="Q1016" s="4">
        <v>0</v>
      </c>
      <c r="R1016" s="4">
        <f t="shared" ref="R1016:R1058" si="546">Q1016*3000</f>
        <v>0</v>
      </c>
      <c r="S1016" s="4">
        <v>0</v>
      </c>
      <c r="T1016" s="6">
        <v>0</v>
      </c>
      <c r="U1016" s="4">
        <v>0</v>
      </c>
      <c r="V1016" s="7">
        <f t="shared" ref="V1016:V1058" si="547">N1016/M1016</f>
        <v>5500</v>
      </c>
    </row>
    <row r="1017" spans="1:258" ht="21.95" customHeight="1" x14ac:dyDescent="0.25">
      <c r="A1017" s="52" t="s">
        <v>1503</v>
      </c>
      <c r="B1017" s="9" t="s">
        <v>822</v>
      </c>
      <c r="C1017" s="3">
        <f>D1017+L1017+N1017+P1017+R1017+S1017+T1017+U1017</f>
        <v>2931500</v>
      </c>
      <c r="D1017" s="4">
        <f>SUM(E1017:J1017)</f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5">
        <v>0</v>
      </c>
      <c r="L1017" s="4">
        <v>0</v>
      </c>
      <c r="M1017" s="6">
        <v>533</v>
      </c>
      <c r="N1017" s="4">
        <f>M1017*5500</f>
        <v>2931500</v>
      </c>
      <c r="O1017" s="4">
        <v>0</v>
      </c>
      <c r="P1017" s="4">
        <v>0</v>
      </c>
      <c r="Q1017" s="4">
        <v>0</v>
      </c>
      <c r="R1017" s="4">
        <f>Q1017*3000</f>
        <v>0</v>
      </c>
      <c r="S1017" s="4">
        <v>0</v>
      </c>
      <c r="T1017" s="6">
        <v>0</v>
      </c>
      <c r="U1017" s="4">
        <v>0</v>
      </c>
      <c r="V1017" s="7">
        <f>N1017/M1017</f>
        <v>5500</v>
      </c>
    </row>
    <row r="1018" spans="1:258" ht="21.95" customHeight="1" x14ac:dyDescent="0.25">
      <c r="A1018" s="52" t="s">
        <v>1504</v>
      </c>
      <c r="B1018" s="9" t="s">
        <v>749</v>
      </c>
      <c r="C1018" s="3">
        <f>D1018+L1018+N1018+P1018+R1018+S1018+T1018+U1018</f>
        <v>7550400</v>
      </c>
      <c r="D1018" s="4">
        <f>SUM(E1018:J1018)</f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5">
        <v>0</v>
      </c>
      <c r="L1018" s="4">
        <v>0</v>
      </c>
      <c r="M1018" s="6">
        <v>1372.8</v>
      </c>
      <c r="N1018" s="4">
        <f>M1018*5500</f>
        <v>7550400</v>
      </c>
      <c r="O1018" s="4">
        <v>0</v>
      </c>
      <c r="P1018" s="4">
        <v>0</v>
      </c>
      <c r="Q1018" s="4">
        <v>0</v>
      </c>
      <c r="R1018" s="4">
        <f>Q1018*3000</f>
        <v>0</v>
      </c>
      <c r="S1018" s="4">
        <v>0</v>
      </c>
      <c r="T1018" s="6">
        <v>0</v>
      </c>
      <c r="U1018" s="4">
        <v>0</v>
      </c>
      <c r="V1018" s="7">
        <f>N1018/M1018</f>
        <v>5500</v>
      </c>
    </row>
    <row r="1019" spans="1:258" ht="21.95" customHeight="1" x14ac:dyDescent="0.25">
      <c r="A1019" s="52" t="s">
        <v>1505</v>
      </c>
      <c r="B1019" s="9" t="s">
        <v>745</v>
      </c>
      <c r="C1019" s="3">
        <f t="shared" si="534"/>
        <v>3437500</v>
      </c>
      <c r="D1019" s="4">
        <f t="shared" ref="D1019:D1058" si="548">SUM(E1019:J1019)</f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5">
        <v>0</v>
      </c>
      <c r="L1019" s="4">
        <v>0</v>
      </c>
      <c r="M1019" s="6">
        <v>625</v>
      </c>
      <c r="N1019" s="4">
        <f t="shared" ref="N1019:N1027" si="549">M1019*5500</f>
        <v>3437500</v>
      </c>
      <c r="O1019" s="4">
        <v>0</v>
      </c>
      <c r="P1019" s="4">
        <v>0</v>
      </c>
      <c r="Q1019" s="4">
        <v>0</v>
      </c>
      <c r="R1019" s="4">
        <f t="shared" si="546"/>
        <v>0</v>
      </c>
      <c r="S1019" s="4">
        <v>0</v>
      </c>
      <c r="T1019" s="6">
        <v>0</v>
      </c>
      <c r="U1019" s="4">
        <v>0</v>
      </c>
      <c r="V1019" s="7">
        <f t="shared" si="547"/>
        <v>5500</v>
      </c>
    </row>
    <row r="1020" spans="1:258" ht="21.95" customHeight="1" x14ac:dyDescent="0.25">
      <c r="A1020" s="52" t="s">
        <v>1506</v>
      </c>
      <c r="B1020" s="9" t="s">
        <v>746</v>
      </c>
      <c r="C1020" s="3">
        <f t="shared" si="534"/>
        <v>1859000</v>
      </c>
      <c r="D1020" s="4">
        <f t="shared" si="548"/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5">
        <v>0</v>
      </c>
      <c r="L1020" s="4">
        <v>0</v>
      </c>
      <c r="M1020" s="4">
        <v>338</v>
      </c>
      <c r="N1020" s="4">
        <f t="shared" si="549"/>
        <v>1859000</v>
      </c>
      <c r="O1020" s="4">
        <v>0</v>
      </c>
      <c r="P1020" s="4">
        <v>0</v>
      </c>
      <c r="Q1020" s="4">
        <v>0</v>
      </c>
      <c r="R1020" s="4">
        <f t="shared" si="546"/>
        <v>0</v>
      </c>
      <c r="S1020" s="4">
        <v>0</v>
      </c>
      <c r="T1020" s="6">
        <v>0</v>
      </c>
      <c r="U1020" s="4">
        <v>0</v>
      </c>
      <c r="V1020" s="7">
        <f t="shared" si="547"/>
        <v>5500</v>
      </c>
    </row>
    <row r="1021" spans="1:258" ht="21.95" customHeight="1" x14ac:dyDescent="0.25">
      <c r="A1021" s="52" t="s">
        <v>1507</v>
      </c>
      <c r="B1021" s="9" t="s">
        <v>747</v>
      </c>
      <c r="C1021" s="3">
        <f t="shared" si="534"/>
        <v>1458600</v>
      </c>
      <c r="D1021" s="4">
        <f t="shared" si="548"/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5">
        <v>0</v>
      </c>
      <c r="L1021" s="4">
        <v>0</v>
      </c>
      <c r="M1021" s="6">
        <v>265.2</v>
      </c>
      <c r="N1021" s="4">
        <f t="shared" si="549"/>
        <v>1458600</v>
      </c>
      <c r="O1021" s="4">
        <v>0</v>
      </c>
      <c r="P1021" s="4">
        <v>0</v>
      </c>
      <c r="Q1021" s="4">
        <v>0</v>
      </c>
      <c r="R1021" s="4">
        <f t="shared" si="546"/>
        <v>0</v>
      </c>
      <c r="S1021" s="4">
        <v>0</v>
      </c>
      <c r="T1021" s="6">
        <v>0</v>
      </c>
      <c r="U1021" s="4">
        <v>0</v>
      </c>
      <c r="V1021" s="7">
        <f t="shared" si="547"/>
        <v>5500</v>
      </c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  <c r="BR1021" s="7"/>
      <c r="BS1021" s="7"/>
      <c r="BT1021" s="7"/>
      <c r="BU1021" s="7"/>
      <c r="BV1021" s="7"/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K1021" s="7"/>
      <c r="CL1021" s="7"/>
      <c r="CM1021" s="7"/>
      <c r="CN1021" s="7"/>
      <c r="CO1021" s="7"/>
      <c r="CP1021" s="7"/>
      <c r="CQ1021" s="7"/>
      <c r="CR1021" s="7"/>
      <c r="CS1021" s="7"/>
      <c r="CT1021" s="7"/>
      <c r="CU1021" s="7"/>
      <c r="CV1021" s="7"/>
      <c r="CW1021" s="7"/>
      <c r="CX1021" s="7"/>
      <c r="CY1021" s="7"/>
      <c r="CZ1021" s="7"/>
      <c r="DA1021" s="7"/>
      <c r="DB1021" s="7"/>
      <c r="DC1021" s="7"/>
      <c r="DD1021" s="7"/>
      <c r="DE1021" s="7"/>
      <c r="DF1021" s="7"/>
      <c r="DG1021" s="7"/>
      <c r="DH1021" s="7"/>
      <c r="DI1021" s="7"/>
      <c r="DJ1021" s="7"/>
      <c r="DK1021" s="7"/>
      <c r="DL1021" s="7"/>
      <c r="DM1021" s="7"/>
      <c r="DN1021" s="7"/>
      <c r="DO1021" s="7"/>
      <c r="DP1021" s="7"/>
      <c r="DQ1021" s="7"/>
      <c r="DR1021" s="7"/>
      <c r="DS1021" s="7"/>
      <c r="DT1021" s="7"/>
      <c r="DU1021" s="7"/>
      <c r="DV1021" s="7"/>
      <c r="DW1021" s="7"/>
      <c r="DX1021" s="7"/>
      <c r="DY1021" s="7"/>
      <c r="DZ1021" s="7"/>
      <c r="EA1021" s="7"/>
      <c r="EB1021" s="7"/>
      <c r="EC1021" s="7"/>
      <c r="ED1021" s="7"/>
      <c r="EE1021" s="7"/>
      <c r="EF1021" s="7"/>
      <c r="EG1021" s="7"/>
      <c r="EH1021" s="7"/>
      <c r="EI1021" s="7"/>
      <c r="EJ1021" s="7"/>
      <c r="EK1021" s="7"/>
      <c r="EL1021" s="7"/>
      <c r="EM1021" s="7"/>
      <c r="EN1021" s="7"/>
      <c r="EO1021" s="7"/>
      <c r="EP1021" s="7"/>
      <c r="EQ1021" s="7"/>
      <c r="ER1021" s="7"/>
      <c r="ES1021" s="7"/>
      <c r="ET1021" s="7"/>
      <c r="EU1021" s="7"/>
      <c r="EV1021" s="7"/>
      <c r="EW1021" s="7"/>
      <c r="EX1021" s="7"/>
      <c r="EY1021" s="7"/>
      <c r="EZ1021" s="7"/>
      <c r="FA1021" s="7"/>
      <c r="FB1021" s="7"/>
      <c r="FC1021" s="7"/>
      <c r="FD1021" s="7"/>
      <c r="FE1021" s="7"/>
      <c r="FF1021" s="7"/>
      <c r="FG1021" s="7"/>
      <c r="FH1021" s="7"/>
      <c r="FI1021" s="7"/>
      <c r="FJ1021" s="7"/>
      <c r="FK1021" s="7"/>
      <c r="FL1021" s="7"/>
      <c r="FM1021" s="7"/>
      <c r="FN1021" s="7"/>
      <c r="FO1021" s="7"/>
      <c r="FP1021" s="7"/>
      <c r="FQ1021" s="7"/>
      <c r="FR1021" s="7"/>
      <c r="FS1021" s="7"/>
      <c r="FT1021" s="7"/>
      <c r="FU1021" s="7"/>
      <c r="FV1021" s="7"/>
      <c r="FW1021" s="7"/>
      <c r="FX1021" s="7"/>
      <c r="FY1021" s="7"/>
      <c r="FZ1021" s="7"/>
      <c r="GA1021" s="7"/>
      <c r="GB1021" s="7"/>
      <c r="GC1021" s="7"/>
      <c r="GD1021" s="7"/>
      <c r="GE1021" s="7"/>
      <c r="GF1021" s="7"/>
      <c r="GG1021" s="7"/>
      <c r="GH1021" s="7"/>
      <c r="GI1021" s="7"/>
      <c r="GJ1021" s="7"/>
      <c r="GK1021" s="7"/>
      <c r="GL1021" s="7"/>
      <c r="GM1021" s="7"/>
      <c r="GN1021" s="7"/>
      <c r="GO1021" s="7"/>
      <c r="GP1021" s="7"/>
      <c r="GQ1021" s="7"/>
      <c r="GR1021" s="7"/>
      <c r="GS1021" s="7"/>
      <c r="GT1021" s="7"/>
      <c r="GU1021" s="7"/>
      <c r="GV1021" s="7"/>
      <c r="GW1021" s="7"/>
      <c r="GX1021" s="7"/>
      <c r="GY1021" s="7"/>
      <c r="GZ1021" s="7"/>
      <c r="HA1021" s="7"/>
      <c r="HB1021" s="7"/>
      <c r="HC1021" s="7"/>
      <c r="HD1021" s="7"/>
      <c r="HE1021" s="7"/>
      <c r="HF1021" s="7"/>
      <c r="HG1021" s="7"/>
      <c r="HH1021" s="7"/>
      <c r="HI1021" s="7"/>
      <c r="HJ1021" s="7"/>
      <c r="HK1021" s="7"/>
      <c r="HL1021" s="7"/>
      <c r="HM1021" s="7"/>
      <c r="HN1021" s="7"/>
      <c r="HO1021" s="7"/>
      <c r="HP1021" s="7"/>
      <c r="HQ1021" s="7"/>
      <c r="HR1021" s="7"/>
      <c r="HS1021" s="7"/>
      <c r="HT1021" s="7"/>
      <c r="HU1021" s="7"/>
      <c r="HV1021" s="7"/>
      <c r="HW1021" s="7"/>
      <c r="HX1021" s="7"/>
      <c r="HY1021" s="7"/>
      <c r="HZ1021" s="7"/>
      <c r="IA1021" s="7"/>
      <c r="IB1021" s="7"/>
      <c r="IC1021" s="7"/>
      <c r="ID1021" s="7"/>
      <c r="IE1021" s="7"/>
      <c r="IF1021" s="7"/>
      <c r="IG1021" s="7"/>
      <c r="IH1021" s="7"/>
      <c r="II1021" s="7"/>
      <c r="IJ1021" s="7"/>
      <c r="IK1021" s="7"/>
      <c r="IL1021" s="7"/>
      <c r="IM1021" s="7"/>
      <c r="IN1021" s="7"/>
      <c r="IO1021" s="7"/>
      <c r="IP1021" s="7"/>
      <c r="IQ1021" s="7"/>
      <c r="IR1021" s="7"/>
      <c r="IS1021" s="7"/>
      <c r="IT1021" s="7"/>
      <c r="IU1021" s="7"/>
      <c r="IV1021" s="7"/>
      <c r="IW1021" s="7"/>
      <c r="IX1021" s="7"/>
    </row>
    <row r="1022" spans="1:258" ht="21.95" customHeight="1" x14ac:dyDescent="0.25">
      <c r="A1022" s="52" t="s">
        <v>1508</v>
      </c>
      <c r="B1022" s="9" t="s">
        <v>748</v>
      </c>
      <c r="C1022" s="3">
        <f t="shared" ref="C1022:C1080" si="550">D1022+L1022+N1022+P1022+R1022+S1022+T1022+U1022</f>
        <v>1456400</v>
      </c>
      <c r="D1022" s="4">
        <f t="shared" si="548"/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5">
        <v>0</v>
      </c>
      <c r="L1022" s="4">
        <v>0</v>
      </c>
      <c r="M1022" s="6">
        <v>264.8</v>
      </c>
      <c r="N1022" s="4">
        <f t="shared" si="549"/>
        <v>1456400</v>
      </c>
      <c r="O1022" s="4">
        <v>0</v>
      </c>
      <c r="P1022" s="4">
        <v>0</v>
      </c>
      <c r="Q1022" s="4">
        <v>0</v>
      </c>
      <c r="R1022" s="4">
        <f t="shared" si="546"/>
        <v>0</v>
      </c>
      <c r="S1022" s="4">
        <v>0</v>
      </c>
      <c r="T1022" s="6">
        <v>0</v>
      </c>
      <c r="U1022" s="4">
        <v>0</v>
      </c>
      <c r="V1022" s="7">
        <f t="shared" si="547"/>
        <v>5500</v>
      </c>
    </row>
    <row r="1023" spans="1:258" ht="21.95" customHeight="1" x14ac:dyDescent="0.25">
      <c r="A1023" s="52" t="s">
        <v>1509</v>
      </c>
      <c r="B1023" s="9" t="s">
        <v>823</v>
      </c>
      <c r="C1023" s="3">
        <f t="shared" si="550"/>
        <v>1837000</v>
      </c>
      <c r="D1023" s="4">
        <f t="shared" si="548"/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5">
        <v>0</v>
      </c>
      <c r="L1023" s="4">
        <v>0</v>
      </c>
      <c r="M1023" s="4">
        <v>334</v>
      </c>
      <c r="N1023" s="4">
        <f t="shared" si="549"/>
        <v>1837000</v>
      </c>
      <c r="O1023" s="4">
        <v>0</v>
      </c>
      <c r="P1023" s="4">
        <v>0</v>
      </c>
      <c r="Q1023" s="4">
        <v>0</v>
      </c>
      <c r="R1023" s="4">
        <f t="shared" si="546"/>
        <v>0</v>
      </c>
      <c r="S1023" s="4">
        <v>0</v>
      </c>
      <c r="T1023" s="6">
        <v>0</v>
      </c>
      <c r="U1023" s="4">
        <v>0</v>
      </c>
      <c r="V1023" s="7">
        <f t="shared" si="547"/>
        <v>5500</v>
      </c>
    </row>
    <row r="1024" spans="1:258" ht="21.95" customHeight="1" x14ac:dyDescent="0.25">
      <c r="A1024" s="52" t="s">
        <v>1510</v>
      </c>
      <c r="B1024" s="28" t="s">
        <v>750</v>
      </c>
      <c r="C1024" s="3">
        <f t="shared" si="550"/>
        <v>8041000</v>
      </c>
      <c r="D1024" s="4">
        <f t="shared" si="548"/>
        <v>0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5">
        <v>0</v>
      </c>
      <c r="L1024" s="4">
        <v>0</v>
      </c>
      <c r="M1024" s="4">
        <v>1462</v>
      </c>
      <c r="N1024" s="4">
        <f t="shared" si="549"/>
        <v>8041000</v>
      </c>
      <c r="O1024" s="4">
        <v>0</v>
      </c>
      <c r="P1024" s="4">
        <v>0</v>
      </c>
      <c r="Q1024" s="4">
        <v>0</v>
      </c>
      <c r="R1024" s="4">
        <f t="shared" si="546"/>
        <v>0</v>
      </c>
      <c r="S1024" s="4">
        <v>0</v>
      </c>
      <c r="T1024" s="6">
        <v>0</v>
      </c>
      <c r="U1024" s="4">
        <v>0</v>
      </c>
      <c r="V1024" s="7">
        <f t="shared" si="547"/>
        <v>5500</v>
      </c>
    </row>
    <row r="1025" spans="1:258" ht="21.95" customHeight="1" x14ac:dyDescent="0.25">
      <c r="A1025" s="52" t="s">
        <v>1511</v>
      </c>
      <c r="B1025" s="28" t="s">
        <v>752</v>
      </c>
      <c r="C1025" s="3">
        <f>D1025+L1025+N1025+P1025+R1025+S1025+T1025+U1025</f>
        <v>5742000</v>
      </c>
      <c r="D1025" s="4">
        <f>SUM(E1025:J1025)</f>
        <v>0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5">
        <v>0</v>
      </c>
      <c r="L1025" s="4">
        <v>0</v>
      </c>
      <c r="M1025" s="4">
        <v>1044</v>
      </c>
      <c r="N1025" s="4">
        <f>M1025*5500</f>
        <v>5742000</v>
      </c>
      <c r="O1025" s="4">
        <v>0</v>
      </c>
      <c r="P1025" s="4">
        <v>0</v>
      </c>
      <c r="Q1025" s="4">
        <v>0</v>
      </c>
      <c r="R1025" s="4">
        <f>Q1025*3000</f>
        <v>0</v>
      </c>
      <c r="S1025" s="4">
        <v>0</v>
      </c>
      <c r="T1025" s="6">
        <v>0</v>
      </c>
      <c r="U1025" s="4">
        <v>0</v>
      </c>
      <c r="V1025" s="7">
        <f>N1025/M1025</f>
        <v>5500</v>
      </c>
    </row>
    <row r="1026" spans="1:258" ht="21.95" customHeight="1" x14ac:dyDescent="0.25">
      <c r="A1026" s="52" t="s">
        <v>1512</v>
      </c>
      <c r="B1026" s="28" t="s">
        <v>753</v>
      </c>
      <c r="C1026" s="3">
        <f>D1026+L1026+N1026+P1026+R1026+S1026+T1026+U1026</f>
        <v>5703500</v>
      </c>
      <c r="D1026" s="4">
        <f>SUM(E1026:J1026)</f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5">
        <v>0</v>
      </c>
      <c r="L1026" s="4">
        <v>0</v>
      </c>
      <c r="M1026" s="4">
        <v>1037</v>
      </c>
      <c r="N1026" s="4">
        <f>M1026*5500</f>
        <v>5703500</v>
      </c>
      <c r="O1026" s="4">
        <v>0</v>
      </c>
      <c r="P1026" s="4">
        <v>0</v>
      </c>
      <c r="Q1026" s="4">
        <v>0</v>
      </c>
      <c r="R1026" s="4">
        <f>Q1026*3000</f>
        <v>0</v>
      </c>
      <c r="S1026" s="4">
        <v>0</v>
      </c>
      <c r="T1026" s="6">
        <v>0</v>
      </c>
      <c r="U1026" s="4">
        <v>0</v>
      </c>
      <c r="V1026" s="7">
        <f>N1026/M1026</f>
        <v>5500</v>
      </c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9"/>
      <c r="BS1026" s="19"/>
      <c r="BT1026" s="19"/>
      <c r="BU1026" s="19"/>
      <c r="BV1026" s="19"/>
      <c r="BW1026" s="19"/>
      <c r="BX1026" s="19"/>
      <c r="BY1026" s="19"/>
      <c r="BZ1026" s="19"/>
      <c r="CA1026" s="19"/>
      <c r="CB1026" s="19"/>
      <c r="CC1026" s="19"/>
      <c r="CD1026" s="19"/>
      <c r="CE1026" s="19"/>
      <c r="CF1026" s="19"/>
      <c r="CG1026" s="19"/>
      <c r="CH1026" s="19"/>
      <c r="CI1026" s="19"/>
      <c r="CJ1026" s="19"/>
      <c r="CK1026" s="19"/>
      <c r="CL1026" s="19"/>
      <c r="CM1026" s="19"/>
      <c r="CN1026" s="19"/>
      <c r="CO1026" s="19"/>
      <c r="CP1026" s="19"/>
      <c r="CQ1026" s="19"/>
      <c r="CR1026" s="19"/>
      <c r="CS1026" s="19"/>
      <c r="CT1026" s="19"/>
      <c r="CU1026" s="19"/>
      <c r="CV1026" s="19"/>
      <c r="CW1026" s="19"/>
      <c r="CX1026" s="19"/>
      <c r="CY1026" s="19"/>
      <c r="CZ1026" s="19"/>
      <c r="DA1026" s="19"/>
      <c r="DB1026" s="19"/>
      <c r="DC1026" s="19"/>
      <c r="DD1026" s="19"/>
      <c r="DE1026" s="19"/>
      <c r="DF1026" s="19"/>
      <c r="DG1026" s="19"/>
      <c r="DH1026" s="19"/>
      <c r="DI1026" s="19"/>
      <c r="DJ1026" s="19"/>
      <c r="DK1026" s="19"/>
      <c r="DL1026" s="19"/>
      <c r="DM1026" s="19"/>
      <c r="DN1026" s="19"/>
      <c r="DO1026" s="19"/>
      <c r="DP1026" s="19"/>
      <c r="DQ1026" s="19"/>
      <c r="DR1026" s="19"/>
      <c r="DS1026" s="19"/>
      <c r="DT1026" s="19"/>
      <c r="DU1026" s="19"/>
      <c r="DV1026" s="19"/>
      <c r="DW1026" s="19"/>
      <c r="DX1026" s="19"/>
      <c r="DY1026" s="19"/>
      <c r="DZ1026" s="19"/>
      <c r="EA1026" s="19"/>
      <c r="EB1026" s="19"/>
      <c r="EC1026" s="19"/>
      <c r="ED1026" s="19"/>
      <c r="EE1026" s="19"/>
      <c r="EF1026" s="19"/>
      <c r="EG1026" s="19"/>
      <c r="EH1026" s="19"/>
      <c r="EI1026" s="19"/>
      <c r="EJ1026" s="19"/>
      <c r="EK1026" s="19"/>
      <c r="EL1026" s="19"/>
      <c r="EM1026" s="19"/>
      <c r="EN1026" s="19"/>
      <c r="EO1026" s="19"/>
      <c r="EP1026" s="19"/>
      <c r="EQ1026" s="19"/>
      <c r="ER1026" s="19"/>
      <c r="ES1026" s="19"/>
      <c r="ET1026" s="19"/>
      <c r="EU1026" s="19"/>
      <c r="EV1026" s="19"/>
      <c r="EW1026" s="19"/>
      <c r="EX1026" s="19"/>
      <c r="EY1026" s="19"/>
      <c r="EZ1026" s="19"/>
      <c r="FA1026" s="19"/>
      <c r="FB1026" s="19"/>
      <c r="FC1026" s="19"/>
      <c r="FD1026" s="19"/>
      <c r="FE1026" s="19"/>
      <c r="FF1026" s="19"/>
      <c r="FG1026" s="19"/>
      <c r="FH1026" s="19"/>
      <c r="FI1026" s="19"/>
      <c r="FJ1026" s="19"/>
      <c r="FK1026" s="19"/>
      <c r="FL1026" s="19"/>
      <c r="FM1026" s="19"/>
      <c r="FN1026" s="19"/>
      <c r="FO1026" s="19"/>
      <c r="FP1026" s="19"/>
      <c r="FQ1026" s="19"/>
      <c r="FR1026" s="19"/>
      <c r="FS1026" s="19"/>
      <c r="FT1026" s="19"/>
      <c r="FU1026" s="19"/>
      <c r="FV1026" s="19"/>
      <c r="FW1026" s="19"/>
      <c r="FX1026" s="19"/>
      <c r="FY1026" s="19"/>
      <c r="FZ1026" s="19"/>
      <c r="GA1026" s="19"/>
      <c r="GB1026" s="19"/>
      <c r="GC1026" s="19"/>
      <c r="GD1026" s="19"/>
      <c r="GE1026" s="19"/>
      <c r="GF1026" s="19"/>
      <c r="GG1026" s="19"/>
      <c r="GH1026" s="19"/>
      <c r="GI1026" s="19"/>
      <c r="GJ1026" s="19"/>
      <c r="GK1026" s="19"/>
      <c r="GL1026" s="19"/>
      <c r="GM1026" s="19"/>
      <c r="GN1026" s="19"/>
      <c r="GO1026" s="19"/>
      <c r="GP1026" s="19"/>
      <c r="GQ1026" s="19"/>
      <c r="GR1026" s="19"/>
      <c r="GS1026" s="19"/>
      <c r="GT1026" s="19"/>
      <c r="GU1026" s="19"/>
      <c r="GV1026" s="19"/>
      <c r="GW1026" s="19"/>
      <c r="GX1026" s="19"/>
      <c r="GY1026" s="19"/>
      <c r="GZ1026" s="19"/>
      <c r="HA1026" s="19"/>
      <c r="HB1026" s="19"/>
      <c r="HC1026" s="19"/>
      <c r="HD1026" s="19"/>
      <c r="HE1026" s="19"/>
      <c r="HF1026" s="19"/>
      <c r="HG1026" s="19"/>
      <c r="HH1026" s="19"/>
      <c r="HI1026" s="19"/>
      <c r="HJ1026" s="19"/>
      <c r="HK1026" s="19"/>
      <c r="HL1026" s="19"/>
      <c r="HM1026" s="19"/>
      <c r="HN1026" s="19"/>
      <c r="HO1026" s="19"/>
      <c r="HP1026" s="19"/>
      <c r="HQ1026" s="19"/>
      <c r="HR1026" s="19"/>
      <c r="HS1026" s="19"/>
      <c r="HT1026" s="19"/>
      <c r="HU1026" s="19"/>
      <c r="HV1026" s="19"/>
      <c r="HW1026" s="19"/>
      <c r="HX1026" s="19"/>
      <c r="HY1026" s="19"/>
      <c r="HZ1026" s="19"/>
      <c r="IA1026" s="19"/>
      <c r="IB1026" s="19"/>
      <c r="IC1026" s="19"/>
      <c r="ID1026" s="19"/>
      <c r="IE1026" s="19"/>
      <c r="IF1026" s="19"/>
      <c r="IG1026" s="19"/>
      <c r="IH1026" s="19"/>
      <c r="II1026" s="19"/>
      <c r="IJ1026" s="19"/>
      <c r="IK1026" s="19"/>
      <c r="IL1026" s="19"/>
      <c r="IM1026" s="19"/>
      <c r="IN1026" s="19"/>
      <c r="IO1026" s="19"/>
      <c r="IP1026" s="19"/>
      <c r="IQ1026" s="19"/>
      <c r="IR1026" s="19"/>
      <c r="IS1026" s="19"/>
      <c r="IT1026" s="19"/>
      <c r="IU1026" s="19"/>
      <c r="IV1026" s="19"/>
      <c r="IW1026" s="19"/>
      <c r="IX1026" s="19"/>
    </row>
    <row r="1027" spans="1:258" ht="21.95" customHeight="1" x14ac:dyDescent="0.25">
      <c r="A1027" s="52" t="s">
        <v>1513</v>
      </c>
      <c r="B1027" s="28" t="s">
        <v>751</v>
      </c>
      <c r="C1027" s="3">
        <f t="shared" si="550"/>
        <v>5698000</v>
      </c>
      <c r="D1027" s="4">
        <f t="shared" si="548"/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5">
        <v>0</v>
      </c>
      <c r="L1027" s="4">
        <v>0</v>
      </c>
      <c r="M1027" s="4">
        <v>1036</v>
      </c>
      <c r="N1027" s="4">
        <f t="shared" si="549"/>
        <v>5698000</v>
      </c>
      <c r="O1027" s="4">
        <v>0</v>
      </c>
      <c r="P1027" s="4">
        <v>0</v>
      </c>
      <c r="Q1027" s="4">
        <v>0</v>
      </c>
      <c r="R1027" s="4">
        <f t="shared" si="546"/>
        <v>0</v>
      </c>
      <c r="S1027" s="4">
        <v>0</v>
      </c>
      <c r="T1027" s="6">
        <v>0</v>
      </c>
      <c r="U1027" s="4">
        <v>0</v>
      </c>
      <c r="V1027" s="7">
        <f t="shared" si="547"/>
        <v>5500</v>
      </c>
    </row>
    <row r="1028" spans="1:258" ht="21.95" customHeight="1" x14ac:dyDescent="0.25">
      <c r="A1028" s="52" t="s">
        <v>1514</v>
      </c>
      <c r="B1028" s="9" t="s">
        <v>754</v>
      </c>
      <c r="C1028" s="3">
        <f t="shared" si="550"/>
        <v>2670688.5</v>
      </c>
      <c r="D1028" s="4">
        <f t="shared" si="548"/>
        <v>2570688.5</v>
      </c>
      <c r="E1028" s="4">
        <f>350*1093.91</f>
        <v>382868.5</v>
      </c>
      <c r="F1028" s="4">
        <f>1050*1093.91</f>
        <v>1148605.5</v>
      </c>
      <c r="G1028" s="4">
        <f>300*1093.91</f>
        <v>328173</v>
      </c>
      <c r="H1028" s="4">
        <f>400*1093.91</f>
        <v>437564.00000000006</v>
      </c>
      <c r="I1028" s="4">
        <f>250*1093.91</f>
        <v>273477.5</v>
      </c>
      <c r="J1028" s="4">
        <v>0</v>
      </c>
      <c r="K1028" s="5">
        <v>0</v>
      </c>
      <c r="L1028" s="4">
        <v>0</v>
      </c>
      <c r="M1028" s="6">
        <v>0</v>
      </c>
      <c r="N1028" s="6">
        <v>0</v>
      </c>
      <c r="O1028" s="4">
        <v>0</v>
      </c>
      <c r="P1028" s="4">
        <v>0</v>
      </c>
      <c r="Q1028" s="4">
        <v>0</v>
      </c>
      <c r="R1028" s="4">
        <f t="shared" si="546"/>
        <v>0</v>
      </c>
      <c r="S1028" s="4">
        <v>0</v>
      </c>
      <c r="T1028" s="6">
        <v>0</v>
      </c>
      <c r="U1028" s="4">
        <v>100000</v>
      </c>
      <c r="V1028" s="7" t="e">
        <f t="shared" si="547"/>
        <v>#DIV/0!</v>
      </c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  <c r="GT1028" s="7"/>
      <c r="GU1028" s="7"/>
      <c r="GV1028" s="7"/>
      <c r="GW1028" s="7"/>
      <c r="GX1028" s="7"/>
      <c r="GY1028" s="7"/>
      <c r="GZ1028" s="7"/>
      <c r="HA1028" s="7"/>
      <c r="HB1028" s="7"/>
      <c r="HC1028" s="7"/>
      <c r="HD1028" s="7"/>
      <c r="HE1028" s="7"/>
      <c r="HF1028" s="7"/>
      <c r="HG1028" s="7"/>
      <c r="HH1028" s="7"/>
      <c r="HI1028" s="7"/>
      <c r="HJ1028" s="7"/>
      <c r="HK1028" s="7"/>
      <c r="HL1028" s="7"/>
      <c r="HM1028" s="7"/>
      <c r="HN1028" s="7"/>
      <c r="HO1028" s="7"/>
      <c r="HP1028" s="7"/>
      <c r="HQ1028" s="7"/>
      <c r="HR1028" s="7"/>
      <c r="HS1028" s="7"/>
      <c r="HT1028" s="7"/>
      <c r="HU1028" s="7"/>
      <c r="HV1028" s="7"/>
      <c r="HW1028" s="7"/>
      <c r="HX1028" s="7"/>
      <c r="HY1028" s="7"/>
      <c r="HZ1028" s="7"/>
      <c r="IA1028" s="7"/>
      <c r="IB1028" s="7"/>
      <c r="IC1028" s="7"/>
      <c r="ID1028" s="7"/>
      <c r="IE1028" s="7"/>
      <c r="IF1028" s="7"/>
      <c r="IG1028" s="7"/>
      <c r="IH1028" s="7"/>
      <c r="II1028" s="7"/>
      <c r="IJ1028" s="7"/>
      <c r="IK1028" s="7"/>
      <c r="IL1028" s="7"/>
      <c r="IM1028" s="7"/>
      <c r="IN1028" s="7"/>
      <c r="IO1028" s="7"/>
      <c r="IP1028" s="7"/>
      <c r="IQ1028" s="7"/>
      <c r="IR1028" s="7"/>
      <c r="IS1028" s="7"/>
      <c r="IT1028" s="7"/>
      <c r="IU1028" s="7"/>
      <c r="IV1028" s="7"/>
      <c r="IW1028" s="7"/>
      <c r="IX1028" s="7"/>
    </row>
    <row r="1029" spans="1:258" ht="21.95" customHeight="1" x14ac:dyDescent="0.25">
      <c r="A1029" s="52" t="s">
        <v>1515</v>
      </c>
      <c r="B1029" s="9" t="s">
        <v>755</v>
      </c>
      <c r="C1029" s="3">
        <f t="shared" si="550"/>
        <v>2738450</v>
      </c>
      <c r="D1029" s="4">
        <f t="shared" si="548"/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5">
        <v>0</v>
      </c>
      <c r="L1029" s="4">
        <v>0</v>
      </c>
      <c r="M1029" s="4">
        <v>497.9</v>
      </c>
      <c r="N1029" s="4">
        <f t="shared" ref="N1029:N1034" si="551">M1029*5500</f>
        <v>2738450</v>
      </c>
      <c r="O1029" s="4">
        <v>0</v>
      </c>
      <c r="P1029" s="4">
        <v>0</v>
      </c>
      <c r="Q1029" s="4">
        <v>0</v>
      </c>
      <c r="R1029" s="4">
        <f t="shared" si="546"/>
        <v>0</v>
      </c>
      <c r="S1029" s="4">
        <v>0</v>
      </c>
      <c r="T1029" s="6">
        <v>0</v>
      </c>
      <c r="U1029" s="4">
        <v>0</v>
      </c>
      <c r="V1029" s="7">
        <f t="shared" si="547"/>
        <v>5500</v>
      </c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9"/>
      <c r="BS1029" s="19"/>
      <c r="BT1029" s="19"/>
      <c r="BU1029" s="19"/>
      <c r="BV1029" s="19"/>
      <c r="BW1029" s="19"/>
      <c r="BX1029" s="19"/>
      <c r="BY1029" s="19"/>
      <c r="BZ1029" s="19"/>
      <c r="CA1029" s="19"/>
      <c r="CB1029" s="19"/>
      <c r="CC1029" s="19"/>
      <c r="CD1029" s="19"/>
      <c r="CE1029" s="19"/>
      <c r="CF1029" s="19"/>
      <c r="CG1029" s="19"/>
      <c r="CH1029" s="19"/>
      <c r="CI1029" s="19"/>
      <c r="CJ1029" s="19"/>
      <c r="CK1029" s="19"/>
      <c r="CL1029" s="19"/>
      <c r="CM1029" s="19"/>
      <c r="CN1029" s="19"/>
      <c r="CO1029" s="19"/>
      <c r="CP1029" s="19"/>
      <c r="CQ1029" s="19"/>
      <c r="CR1029" s="19"/>
      <c r="CS1029" s="19"/>
      <c r="CT1029" s="19"/>
      <c r="CU1029" s="19"/>
      <c r="CV1029" s="19"/>
      <c r="CW1029" s="19"/>
      <c r="CX1029" s="19"/>
      <c r="CY1029" s="19"/>
      <c r="CZ1029" s="19"/>
      <c r="DA1029" s="19"/>
      <c r="DB1029" s="19"/>
      <c r="DC1029" s="19"/>
      <c r="DD1029" s="19"/>
      <c r="DE1029" s="19"/>
      <c r="DF1029" s="19"/>
      <c r="DG1029" s="19"/>
      <c r="DH1029" s="19"/>
      <c r="DI1029" s="19"/>
      <c r="DJ1029" s="19"/>
      <c r="DK1029" s="19"/>
      <c r="DL1029" s="19"/>
      <c r="DM1029" s="19"/>
      <c r="DN1029" s="19"/>
      <c r="DO1029" s="19"/>
      <c r="DP1029" s="19"/>
      <c r="DQ1029" s="19"/>
      <c r="DR1029" s="19"/>
      <c r="DS1029" s="19"/>
      <c r="DT1029" s="19"/>
      <c r="DU1029" s="19"/>
      <c r="DV1029" s="19"/>
      <c r="DW1029" s="19"/>
      <c r="DX1029" s="19"/>
      <c r="DY1029" s="19"/>
      <c r="DZ1029" s="19"/>
      <c r="EA1029" s="19"/>
      <c r="EB1029" s="19"/>
      <c r="EC1029" s="19"/>
      <c r="ED1029" s="19"/>
      <c r="EE1029" s="19"/>
      <c r="EF1029" s="19"/>
      <c r="EG1029" s="19"/>
      <c r="EH1029" s="19"/>
      <c r="EI1029" s="19"/>
      <c r="EJ1029" s="19"/>
      <c r="EK1029" s="19"/>
      <c r="EL1029" s="19"/>
      <c r="EM1029" s="19"/>
      <c r="EN1029" s="19"/>
      <c r="EO1029" s="19"/>
      <c r="EP1029" s="19"/>
      <c r="EQ1029" s="19"/>
      <c r="ER1029" s="19"/>
      <c r="ES1029" s="19"/>
      <c r="ET1029" s="19"/>
      <c r="EU1029" s="19"/>
      <c r="EV1029" s="19"/>
      <c r="EW1029" s="19"/>
      <c r="EX1029" s="19"/>
      <c r="EY1029" s="19"/>
      <c r="EZ1029" s="19"/>
      <c r="FA1029" s="19"/>
      <c r="FB1029" s="19"/>
      <c r="FC1029" s="19"/>
      <c r="FD1029" s="19"/>
      <c r="FE1029" s="19"/>
      <c r="FF1029" s="19"/>
      <c r="FG1029" s="19"/>
      <c r="FH1029" s="19"/>
      <c r="FI1029" s="19"/>
      <c r="FJ1029" s="19"/>
      <c r="FK1029" s="19"/>
      <c r="FL1029" s="19"/>
      <c r="FM1029" s="19"/>
      <c r="FN1029" s="19"/>
      <c r="FO1029" s="19"/>
      <c r="FP1029" s="19"/>
      <c r="FQ1029" s="19"/>
      <c r="FR1029" s="19"/>
      <c r="FS1029" s="19"/>
      <c r="FT1029" s="19"/>
      <c r="FU1029" s="19"/>
      <c r="FV1029" s="19"/>
      <c r="FW1029" s="19"/>
      <c r="FX1029" s="19"/>
      <c r="FY1029" s="19"/>
      <c r="FZ1029" s="19"/>
      <c r="GA1029" s="19"/>
      <c r="GB1029" s="19"/>
      <c r="GC1029" s="19"/>
      <c r="GD1029" s="19"/>
      <c r="GE1029" s="19"/>
      <c r="GF1029" s="19"/>
      <c r="GG1029" s="19"/>
      <c r="GH1029" s="19"/>
      <c r="GI1029" s="19"/>
      <c r="GJ1029" s="19"/>
      <c r="GK1029" s="19"/>
      <c r="GL1029" s="19"/>
      <c r="GM1029" s="19"/>
      <c r="GN1029" s="19"/>
      <c r="GO1029" s="19"/>
      <c r="GP1029" s="19"/>
      <c r="GQ1029" s="19"/>
      <c r="GR1029" s="19"/>
      <c r="GS1029" s="19"/>
      <c r="GT1029" s="19"/>
      <c r="GU1029" s="19"/>
      <c r="GV1029" s="19"/>
      <c r="GW1029" s="19"/>
      <c r="GX1029" s="19"/>
      <c r="GY1029" s="19"/>
      <c r="GZ1029" s="19"/>
      <c r="HA1029" s="19"/>
      <c r="HB1029" s="19"/>
      <c r="HC1029" s="19"/>
      <c r="HD1029" s="19"/>
      <c r="HE1029" s="19"/>
      <c r="HF1029" s="19"/>
      <c r="HG1029" s="19"/>
      <c r="HH1029" s="19"/>
      <c r="HI1029" s="19"/>
      <c r="HJ1029" s="19"/>
      <c r="HK1029" s="19"/>
      <c r="HL1029" s="19"/>
      <c r="HM1029" s="19"/>
      <c r="HN1029" s="19"/>
      <c r="HO1029" s="19"/>
      <c r="HP1029" s="19"/>
      <c r="HQ1029" s="19"/>
      <c r="HR1029" s="19"/>
      <c r="HS1029" s="19"/>
      <c r="HT1029" s="19"/>
      <c r="HU1029" s="19"/>
      <c r="HV1029" s="19"/>
      <c r="HW1029" s="19"/>
      <c r="HX1029" s="19"/>
      <c r="HY1029" s="19"/>
      <c r="HZ1029" s="19"/>
      <c r="IA1029" s="19"/>
      <c r="IB1029" s="19"/>
      <c r="IC1029" s="19"/>
      <c r="ID1029" s="19"/>
      <c r="IE1029" s="19"/>
      <c r="IF1029" s="19"/>
      <c r="IG1029" s="19"/>
      <c r="IH1029" s="19"/>
      <c r="II1029" s="19"/>
      <c r="IJ1029" s="19"/>
      <c r="IK1029" s="19"/>
      <c r="IL1029" s="19"/>
      <c r="IM1029" s="19"/>
      <c r="IN1029" s="19"/>
      <c r="IO1029" s="19"/>
      <c r="IP1029" s="19"/>
      <c r="IQ1029" s="19"/>
      <c r="IR1029" s="19"/>
      <c r="IS1029" s="19"/>
      <c r="IT1029" s="19"/>
      <c r="IU1029" s="19"/>
      <c r="IV1029" s="19"/>
      <c r="IW1029" s="19"/>
      <c r="IX1029" s="19"/>
    </row>
    <row r="1030" spans="1:258" ht="21.95" customHeight="1" x14ac:dyDescent="0.25">
      <c r="A1030" s="52" t="s">
        <v>1516</v>
      </c>
      <c r="B1030" s="9" t="s">
        <v>758</v>
      </c>
      <c r="C1030" s="3">
        <f>D1030+L1030+N1030+P1030+R1030+S1030+T1030+U1030</f>
        <v>1452000</v>
      </c>
      <c r="D1030" s="4">
        <f>SUM(E1030:J1030)</f>
        <v>0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5">
        <v>0</v>
      </c>
      <c r="L1030" s="4">
        <v>0</v>
      </c>
      <c r="M1030" s="6">
        <v>264</v>
      </c>
      <c r="N1030" s="4">
        <f>M1030*5500</f>
        <v>1452000</v>
      </c>
      <c r="O1030" s="4">
        <v>0</v>
      </c>
      <c r="P1030" s="4">
        <v>0</v>
      </c>
      <c r="Q1030" s="4">
        <v>0</v>
      </c>
      <c r="R1030" s="4">
        <f>Q1030*3000</f>
        <v>0</v>
      </c>
      <c r="S1030" s="4">
        <v>0</v>
      </c>
      <c r="T1030" s="6">
        <v>0</v>
      </c>
      <c r="U1030" s="4">
        <v>0</v>
      </c>
      <c r="V1030" s="7">
        <f>N1030/M1030</f>
        <v>5500</v>
      </c>
    </row>
    <row r="1031" spans="1:258" ht="21.95" customHeight="1" x14ac:dyDescent="0.25">
      <c r="A1031" s="52" t="s">
        <v>1517</v>
      </c>
      <c r="B1031" s="9" t="s">
        <v>759</v>
      </c>
      <c r="C1031" s="3">
        <f>D1031+L1031+N1031+P1031+R1031+S1031+T1031+U1031</f>
        <v>1170000</v>
      </c>
      <c r="D1031" s="4">
        <f>SUM(E1031:J1031)</f>
        <v>0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12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390</v>
      </c>
      <c r="R1031" s="4">
        <f>Q1031*3000</f>
        <v>1170000</v>
      </c>
      <c r="S1031" s="6">
        <v>0</v>
      </c>
      <c r="T1031" s="6">
        <v>0</v>
      </c>
      <c r="U1031" s="6">
        <v>0</v>
      </c>
      <c r="V1031" s="7" t="e">
        <f>N1031/M1031</f>
        <v>#DIV/0!</v>
      </c>
    </row>
    <row r="1032" spans="1:258" ht="21.95" customHeight="1" x14ac:dyDescent="0.25">
      <c r="A1032" s="52" t="s">
        <v>1518</v>
      </c>
      <c r="B1032" s="9" t="s">
        <v>760</v>
      </c>
      <c r="C1032" s="3">
        <f>D1032+L1032+N1032+P1032+R1032+S1032+T1032+U1032</f>
        <v>1080000</v>
      </c>
      <c r="D1032" s="4">
        <f>SUM(E1032:J1032)</f>
        <v>0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5">
        <v>0</v>
      </c>
      <c r="L1032" s="4">
        <v>0</v>
      </c>
      <c r="M1032" s="6">
        <v>0</v>
      </c>
      <c r="N1032" s="6">
        <v>0</v>
      </c>
      <c r="O1032" s="4">
        <v>0</v>
      </c>
      <c r="P1032" s="4">
        <v>0</v>
      </c>
      <c r="Q1032" s="4">
        <v>360</v>
      </c>
      <c r="R1032" s="4">
        <f>Q1032*3000</f>
        <v>1080000</v>
      </c>
      <c r="S1032" s="4">
        <v>0</v>
      </c>
      <c r="T1032" s="6">
        <v>0</v>
      </c>
      <c r="U1032" s="4">
        <v>0</v>
      </c>
      <c r="V1032" s="7" t="e">
        <f>N1032/M1032</f>
        <v>#DIV/0!</v>
      </c>
      <c r="W1032" s="42"/>
      <c r="X1032" s="42"/>
      <c r="Y1032" s="42"/>
      <c r="Z1032" s="42"/>
      <c r="AA1032" s="42"/>
      <c r="AB1032" s="42"/>
      <c r="AC1032" s="42"/>
      <c r="AD1032" s="42"/>
      <c r="AE1032" s="42"/>
      <c r="AF1032" s="42"/>
      <c r="AG1032" s="42"/>
      <c r="AH1032" s="42"/>
      <c r="AI1032" s="42"/>
      <c r="AJ1032" s="42"/>
      <c r="AK1032" s="42"/>
      <c r="AL1032" s="42"/>
      <c r="AM1032" s="42"/>
      <c r="AN1032" s="42"/>
      <c r="AO1032" s="42"/>
      <c r="AP1032" s="42"/>
      <c r="AQ1032" s="42"/>
      <c r="AR1032" s="42"/>
      <c r="AS1032" s="42"/>
      <c r="AT1032" s="42"/>
      <c r="AU1032" s="42"/>
      <c r="AV1032" s="42"/>
      <c r="AW1032" s="42"/>
      <c r="AX1032" s="42"/>
      <c r="AY1032" s="42"/>
      <c r="AZ1032" s="42"/>
      <c r="BA1032" s="42"/>
      <c r="BB1032" s="42"/>
      <c r="BC1032" s="42"/>
      <c r="BD1032" s="42"/>
      <c r="BE1032" s="42"/>
      <c r="BF1032" s="42"/>
      <c r="BG1032" s="42"/>
      <c r="BH1032" s="42"/>
      <c r="BI1032" s="42"/>
      <c r="BJ1032" s="42"/>
      <c r="BK1032" s="42"/>
      <c r="BL1032" s="42"/>
      <c r="BM1032" s="42"/>
      <c r="BN1032" s="42"/>
      <c r="BO1032" s="42"/>
      <c r="BP1032" s="42"/>
      <c r="BQ1032" s="42"/>
      <c r="BR1032" s="42"/>
      <c r="BS1032" s="42"/>
      <c r="BT1032" s="42"/>
      <c r="BU1032" s="42"/>
      <c r="BV1032" s="42"/>
      <c r="BW1032" s="42"/>
      <c r="BX1032" s="42"/>
      <c r="BY1032" s="42"/>
      <c r="BZ1032" s="42"/>
      <c r="CA1032" s="42"/>
      <c r="CB1032" s="42"/>
      <c r="CC1032" s="42"/>
      <c r="CD1032" s="42"/>
      <c r="CE1032" s="42"/>
      <c r="CF1032" s="42"/>
      <c r="CG1032" s="42"/>
      <c r="CH1032" s="42"/>
      <c r="CI1032" s="42"/>
      <c r="CJ1032" s="42"/>
      <c r="CK1032" s="42"/>
      <c r="CL1032" s="42"/>
      <c r="CM1032" s="42"/>
      <c r="CN1032" s="42"/>
      <c r="CO1032" s="42"/>
      <c r="CP1032" s="42"/>
      <c r="CQ1032" s="42"/>
      <c r="CR1032" s="42"/>
      <c r="CS1032" s="42"/>
      <c r="CT1032" s="42"/>
      <c r="CU1032" s="42"/>
      <c r="CV1032" s="42"/>
      <c r="CW1032" s="42"/>
      <c r="CX1032" s="42"/>
      <c r="CY1032" s="42"/>
      <c r="CZ1032" s="42"/>
      <c r="DA1032" s="42"/>
      <c r="DB1032" s="42"/>
      <c r="DC1032" s="42"/>
      <c r="DD1032" s="42"/>
      <c r="DE1032" s="42"/>
      <c r="DF1032" s="42"/>
      <c r="DG1032" s="42"/>
      <c r="DH1032" s="42"/>
      <c r="DI1032" s="42"/>
      <c r="DJ1032" s="42"/>
      <c r="DK1032" s="42"/>
      <c r="DL1032" s="42"/>
      <c r="DM1032" s="42"/>
      <c r="DN1032" s="42"/>
      <c r="DO1032" s="42"/>
      <c r="DP1032" s="42"/>
      <c r="DQ1032" s="42"/>
      <c r="DR1032" s="42"/>
      <c r="DS1032" s="42"/>
      <c r="DT1032" s="42"/>
      <c r="DU1032" s="42"/>
      <c r="DV1032" s="42"/>
      <c r="DW1032" s="42"/>
      <c r="DX1032" s="42"/>
      <c r="DY1032" s="42"/>
      <c r="DZ1032" s="42"/>
      <c r="EA1032" s="42"/>
      <c r="EB1032" s="42"/>
      <c r="EC1032" s="42"/>
      <c r="ED1032" s="42"/>
      <c r="EE1032" s="42"/>
      <c r="EF1032" s="42"/>
      <c r="EG1032" s="42"/>
      <c r="EH1032" s="42"/>
      <c r="EI1032" s="42"/>
      <c r="EJ1032" s="42"/>
      <c r="EK1032" s="42"/>
      <c r="EL1032" s="42"/>
      <c r="EM1032" s="42"/>
      <c r="EN1032" s="42"/>
      <c r="EO1032" s="42"/>
      <c r="EP1032" s="42"/>
      <c r="EQ1032" s="42"/>
      <c r="ER1032" s="42"/>
      <c r="ES1032" s="42"/>
      <c r="ET1032" s="42"/>
      <c r="EU1032" s="42"/>
      <c r="EV1032" s="42"/>
      <c r="EW1032" s="42"/>
      <c r="EX1032" s="42"/>
      <c r="EY1032" s="42"/>
      <c r="EZ1032" s="42"/>
      <c r="FA1032" s="42"/>
      <c r="FB1032" s="42"/>
      <c r="FC1032" s="42"/>
      <c r="FD1032" s="42"/>
      <c r="FE1032" s="42"/>
      <c r="FF1032" s="42"/>
      <c r="FG1032" s="42"/>
      <c r="FH1032" s="42"/>
      <c r="FI1032" s="42"/>
      <c r="FJ1032" s="42"/>
      <c r="FK1032" s="42"/>
      <c r="FL1032" s="42"/>
      <c r="FM1032" s="42"/>
      <c r="FN1032" s="42"/>
      <c r="FO1032" s="42"/>
      <c r="FP1032" s="42"/>
      <c r="FQ1032" s="42"/>
      <c r="FR1032" s="42"/>
      <c r="FS1032" s="42"/>
      <c r="FT1032" s="42"/>
      <c r="FU1032" s="42"/>
      <c r="FV1032" s="42"/>
      <c r="FW1032" s="42"/>
      <c r="FX1032" s="42"/>
      <c r="FY1032" s="42"/>
      <c r="FZ1032" s="42"/>
      <c r="GA1032" s="42"/>
      <c r="GB1032" s="42"/>
      <c r="GC1032" s="42"/>
      <c r="GD1032" s="42"/>
      <c r="GE1032" s="42"/>
      <c r="GF1032" s="42"/>
      <c r="GG1032" s="42"/>
      <c r="GH1032" s="42"/>
      <c r="GI1032" s="42"/>
      <c r="GJ1032" s="42"/>
      <c r="GK1032" s="42"/>
      <c r="GL1032" s="42"/>
      <c r="GM1032" s="42"/>
      <c r="GN1032" s="42"/>
      <c r="GO1032" s="42"/>
      <c r="GP1032" s="42"/>
      <c r="GQ1032" s="42"/>
      <c r="GR1032" s="42"/>
      <c r="GS1032" s="42"/>
      <c r="GT1032" s="42"/>
      <c r="GU1032" s="42"/>
      <c r="GV1032" s="42"/>
      <c r="GW1032" s="42"/>
      <c r="GX1032" s="42"/>
      <c r="GY1032" s="42"/>
      <c r="GZ1032" s="42"/>
      <c r="HA1032" s="42"/>
      <c r="HB1032" s="42"/>
      <c r="HC1032" s="42"/>
      <c r="HD1032" s="42"/>
      <c r="HE1032" s="42"/>
      <c r="HF1032" s="42"/>
      <c r="HG1032" s="42"/>
      <c r="HH1032" s="42"/>
      <c r="HI1032" s="42"/>
      <c r="HJ1032" s="42"/>
      <c r="HK1032" s="42"/>
      <c r="HL1032" s="42"/>
      <c r="HM1032" s="42"/>
      <c r="HN1032" s="42"/>
      <c r="HO1032" s="42"/>
      <c r="HP1032" s="42"/>
      <c r="HQ1032" s="42"/>
      <c r="HR1032" s="42"/>
      <c r="HS1032" s="42"/>
      <c r="HT1032" s="42"/>
      <c r="HU1032" s="42"/>
      <c r="HV1032" s="42"/>
      <c r="HW1032" s="42"/>
      <c r="HX1032" s="42"/>
      <c r="HY1032" s="42"/>
      <c r="HZ1032" s="42"/>
      <c r="IA1032" s="42"/>
      <c r="IB1032" s="42"/>
      <c r="IC1032" s="42"/>
      <c r="ID1032" s="42"/>
      <c r="IE1032" s="42"/>
      <c r="IF1032" s="42"/>
      <c r="IG1032" s="42"/>
      <c r="IH1032" s="42"/>
      <c r="II1032" s="42"/>
      <c r="IJ1032" s="42"/>
      <c r="IK1032" s="42"/>
      <c r="IL1032" s="42"/>
      <c r="IM1032" s="42"/>
      <c r="IN1032" s="42"/>
      <c r="IO1032" s="42"/>
      <c r="IP1032" s="42"/>
      <c r="IQ1032" s="42"/>
      <c r="IR1032" s="42"/>
      <c r="IS1032" s="42"/>
      <c r="IT1032" s="42"/>
      <c r="IU1032" s="42"/>
      <c r="IV1032" s="42"/>
      <c r="IW1032" s="42"/>
      <c r="IX1032" s="42"/>
    </row>
    <row r="1033" spans="1:258" ht="21.95" customHeight="1" x14ac:dyDescent="0.25">
      <c r="A1033" s="52" t="s">
        <v>1519</v>
      </c>
      <c r="B1033" s="9" t="s">
        <v>756</v>
      </c>
      <c r="C1033" s="3">
        <f t="shared" si="550"/>
        <v>1474000</v>
      </c>
      <c r="D1033" s="4">
        <f t="shared" si="548"/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5">
        <v>0</v>
      </c>
      <c r="L1033" s="4">
        <v>0</v>
      </c>
      <c r="M1033" s="4">
        <v>268</v>
      </c>
      <c r="N1033" s="4">
        <f t="shared" si="551"/>
        <v>1474000</v>
      </c>
      <c r="O1033" s="4">
        <v>0</v>
      </c>
      <c r="P1033" s="4">
        <v>0</v>
      </c>
      <c r="Q1033" s="4">
        <v>0</v>
      </c>
      <c r="R1033" s="4">
        <f t="shared" si="546"/>
        <v>0</v>
      </c>
      <c r="S1033" s="4">
        <v>0</v>
      </c>
      <c r="T1033" s="6">
        <v>0</v>
      </c>
      <c r="U1033" s="4">
        <v>0</v>
      </c>
      <c r="V1033" s="7">
        <f t="shared" si="547"/>
        <v>5500</v>
      </c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9"/>
      <c r="BS1033" s="19"/>
      <c r="BT1033" s="19"/>
      <c r="BU1033" s="19"/>
      <c r="BV1033" s="19"/>
      <c r="BW1033" s="19"/>
      <c r="BX1033" s="19"/>
      <c r="BY1033" s="19"/>
      <c r="BZ1033" s="19"/>
      <c r="CA1033" s="19"/>
      <c r="CB1033" s="19"/>
      <c r="CC1033" s="19"/>
      <c r="CD1033" s="19"/>
      <c r="CE1033" s="19"/>
      <c r="CF1033" s="19"/>
      <c r="CG1033" s="19"/>
      <c r="CH1033" s="19"/>
      <c r="CI1033" s="19"/>
      <c r="CJ1033" s="19"/>
      <c r="CK1033" s="19"/>
      <c r="CL1033" s="19"/>
      <c r="CM1033" s="19"/>
      <c r="CN1033" s="19"/>
      <c r="CO1033" s="19"/>
      <c r="CP1033" s="19"/>
      <c r="CQ1033" s="19"/>
      <c r="CR1033" s="19"/>
      <c r="CS1033" s="19"/>
      <c r="CT1033" s="19"/>
      <c r="CU1033" s="19"/>
      <c r="CV1033" s="19"/>
      <c r="CW1033" s="19"/>
      <c r="CX1033" s="19"/>
      <c r="CY1033" s="19"/>
      <c r="CZ1033" s="19"/>
      <c r="DA1033" s="19"/>
      <c r="DB1033" s="19"/>
      <c r="DC1033" s="19"/>
      <c r="DD1033" s="19"/>
      <c r="DE1033" s="19"/>
      <c r="DF1033" s="19"/>
      <c r="DG1033" s="19"/>
      <c r="DH1033" s="19"/>
      <c r="DI1033" s="19"/>
      <c r="DJ1033" s="19"/>
      <c r="DK1033" s="19"/>
      <c r="DL1033" s="19"/>
      <c r="DM1033" s="19"/>
      <c r="DN1033" s="19"/>
      <c r="DO1033" s="19"/>
      <c r="DP1033" s="19"/>
      <c r="DQ1033" s="19"/>
      <c r="DR1033" s="19"/>
      <c r="DS1033" s="19"/>
      <c r="DT1033" s="19"/>
      <c r="DU1033" s="19"/>
      <c r="DV1033" s="19"/>
      <c r="DW1033" s="19"/>
      <c r="DX1033" s="19"/>
      <c r="DY1033" s="19"/>
      <c r="DZ1033" s="19"/>
      <c r="EA1033" s="19"/>
      <c r="EB1033" s="19"/>
      <c r="EC1033" s="19"/>
      <c r="ED1033" s="19"/>
      <c r="EE1033" s="19"/>
      <c r="EF1033" s="19"/>
      <c r="EG1033" s="19"/>
      <c r="EH1033" s="19"/>
      <c r="EI1033" s="19"/>
      <c r="EJ1033" s="19"/>
      <c r="EK1033" s="19"/>
      <c r="EL1033" s="19"/>
      <c r="EM1033" s="19"/>
      <c r="EN1033" s="19"/>
      <c r="EO1033" s="19"/>
      <c r="EP1033" s="19"/>
      <c r="EQ1033" s="19"/>
      <c r="ER1033" s="19"/>
      <c r="ES1033" s="19"/>
      <c r="ET1033" s="19"/>
      <c r="EU1033" s="19"/>
      <c r="EV1033" s="19"/>
      <c r="EW1033" s="19"/>
      <c r="EX1033" s="19"/>
      <c r="EY1033" s="19"/>
      <c r="EZ1033" s="19"/>
      <c r="FA1033" s="19"/>
      <c r="FB1033" s="19"/>
      <c r="FC1033" s="19"/>
      <c r="FD1033" s="19"/>
      <c r="FE1033" s="19"/>
      <c r="FF1033" s="19"/>
      <c r="FG1033" s="19"/>
      <c r="FH1033" s="19"/>
      <c r="FI1033" s="19"/>
      <c r="FJ1033" s="19"/>
      <c r="FK1033" s="19"/>
      <c r="FL1033" s="19"/>
      <c r="FM1033" s="19"/>
      <c r="FN1033" s="19"/>
      <c r="FO1033" s="19"/>
      <c r="FP1033" s="19"/>
      <c r="FQ1033" s="19"/>
      <c r="FR1033" s="19"/>
      <c r="FS1033" s="19"/>
      <c r="FT1033" s="19"/>
      <c r="FU1033" s="19"/>
      <c r="FV1033" s="19"/>
      <c r="FW1033" s="19"/>
      <c r="FX1033" s="19"/>
      <c r="FY1033" s="19"/>
      <c r="FZ1033" s="19"/>
      <c r="GA1033" s="19"/>
      <c r="GB1033" s="19"/>
      <c r="GC1033" s="19"/>
      <c r="GD1033" s="19"/>
      <c r="GE1033" s="19"/>
      <c r="GF1033" s="19"/>
      <c r="GG1033" s="19"/>
      <c r="GH1033" s="19"/>
      <c r="GI1033" s="19"/>
      <c r="GJ1033" s="19"/>
      <c r="GK1033" s="19"/>
      <c r="GL1033" s="19"/>
      <c r="GM1033" s="19"/>
      <c r="GN1033" s="19"/>
      <c r="GO1033" s="19"/>
      <c r="GP1033" s="19"/>
      <c r="GQ1033" s="19"/>
      <c r="GR1033" s="19"/>
      <c r="GS1033" s="19"/>
      <c r="GT1033" s="19"/>
      <c r="GU1033" s="19"/>
      <c r="GV1033" s="19"/>
      <c r="GW1033" s="19"/>
      <c r="GX1033" s="19"/>
      <c r="GY1033" s="19"/>
      <c r="GZ1033" s="19"/>
      <c r="HA1033" s="19"/>
      <c r="HB1033" s="19"/>
      <c r="HC1033" s="19"/>
      <c r="HD1033" s="19"/>
      <c r="HE1033" s="19"/>
      <c r="HF1033" s="19"/>
      <c r="HG1033" s="19"/>
      <c r="HH1033" s="19"/>
      <c r="HI1033" s="19"/>
      <c r="HJ1033" s="19"/>
      <c r="HK1033" s="19"/>
      <c r="HL1033" s="19"/>
      <c r="HM1033" s="19"/>
      <c r="HN1033" s="19"/>
      <c r="HO1033" s="19"/>
      <c r="HP1033" s="19"/>
      <c r="HQ1033" s="19"/>
      <c r="HR1033" s="19"/>
      <c r="HS1033" s="19"/>
      <c r="HT1033" s="19"/>
      <c r="HU1033" s="19"/>
      <c r="HV1033" s="19"/>
      <c r="HW1033" s="19"/>
      <c r="HX1033" s="19"/>
      <c r="HY1033" s="19"/>
      <c r="HZ1033" s="19"/>
      <c r="IA1033" s="19"/>
      <c r="IB1033" s="19"/>
      <c r="IC1033" s="19"/>
      <c r="ID1033" s="19"/>
      <c r="IE1033" s="19"/>
      <c r="IF1033" s="19"/>
      <c r="IG1033" s="19"/>
      <c r="IH1033" s="19"/>
      <c r="II1033" s="19"/>
      <c r="IJ1033" s="19"/>
      <c r="IK1033" s="19"/>
      <c r="IL1033" s="19"/>
      <c r="IM1033" s="19"/>
      <c r="IN1033" s="19"/>
      <c r="IO1033" s="19"/>
      <c r="IP1033" s="19"/>
      <c r="IQ1033" s="19"/>
      <c r="IR1033" s="19"/>
      <c r="IS1033" s="19"/>
      <c r="IT1033" s="19"/>
      <c r="IU1033" s="19"/>
      <c r="IV1033" s="19"/>
      <c r="IW1033" s="19"/>
      <c r="IX1033" s="19"/>
    </row>
    <row r="1034" spans="1:258" ht="21.95" customHeight="1" x14ac:dyDescent="0.25">
      <c r="A1034" s="52" t="s">
        <v>1520</v>
      </c>
      <c r="B1034" s="9" t="s">
        <v>757</v>
      </c>
      <c r="C1034" s="3">
        <f t="shared" si="550"/>
        <v>1556500</v>
      </c>
      <c r="D1034" s="4">
        <f t="shared" si="548"/>
        <v>0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5">
        <v>0</v>
      </c>
      <c r="L1034" s="4">
        <v>0</v>
      </c>
      <c r="M1034" s="6">
        <v>283</v>
      </c>
      <c r="N1034" s="4">
        <f t="shared" si="551"/>
        <v>1556500</v>
      </c>
      <c r="O1034" s="4">
        <v>0</v>
      </c>
      <c r="P1034" s="4">
        <v>0</v>
      </c>
      <c r="Q1034" s="4">
        <v>0</v>
      </c>
      <c r="R1034" s="4">
        <f t="shared" si="546"/>
        <v>0</v>
      </c>
      <c r="S1034" s="4">
        <v>0</v>
      </c>
      <c r="T1034" s="6">
        <v>0</v>
      </c>
      <c r="U1034" s="4">
        <v>0</v>
      </c>
      <c r="V1034" s="7">
        <f t="shared" si="547"/>
        <v>5500</v>
      </c>
    </row>
    <row r="1035" spans="1:258" ht="21.95" customHeight="1" x14ac:dyDescent="0.25">
      <c r="A1035" s="52" t="s">
        <v>1521</v>
      </c>
      <c r="B1035" s="9" t="s">
        <v>761</v>
      </c>
      <c r="C1035" s="3">
        <f t="shared" si="550"/>
        <v>1991550.0000000002</v>
      </c>
      <c r="D1035" s="4">
        <f t="shared" si="548"/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5">
        <v>0</v>
      </c>
      <c r="L1035" s="4">
        <v>0</v>
      </c>
      <c r="M1035" s="6">
        <v>362.1</v>
      </c>
      <c r="N1035" s="4">
        <f t="shared" ref="N1035:N1044" si="552">M1035*5500</f>
        <v>1991550.0000000002</v>
      </c>
      <c r="O1035" s="4">
        <v>0</v>
      </c>
      <c r="P1035" s="4">
        <v>0</v>
      </c>
      <c r="Q1035" s="4">
        <v>0</v>
      </c>
      <c r="R1035" s="4">
        <f t="shared" si="546"/>
        <v>0</v>
      </c>
      <c r="S1035" s="4">
        <v>0</v>
      </c>
      <c r="T1035" s="6">
        <v>0</v>
      </c>
      <c r="U1035" s="4">
        <v>0</v>
      </c>
      <c r="V1035" s="7">
        <f t="shared" si="547"/>
        <v>5500</v>
      </c>
      <c r="W1035" s="42"/>
      <c r="X1035" s="42"/>
      <c r="Y1035" s="42"/>
      <c r="Z1035" s="42"/>
      <c r="AA1035" s="42"/>
      <c r="AB1035" s="42"/>
      <c r="AC1035" s="42"/>
      <c r="AD1035" s="42"/>
      <c r="AE1035" s="42"/>
      <c r="AF1035" s="42"/>
      <c r="AG1035" s="42"/>
      <c r="AH1035" s="42"/>
      <c r="AI1035" s="42"/>
      <c r="AJ1035" s="42"/>
      <c r="AK1035" s="42"/>
      <c r="AL1035" s="42"/>
      <c r="AM1035" s="42"/>
      <c r="AN1035" s="42"/>
      <c r="AO1035" s="42"/>
      <c r="AP1035" s="42"/>
      <c r="AQ1035" s="42"/>
      <c r="AR1035" s="42"/>
      <c r="AS1035" s="42"/>
      <c r="AT1035" s="42"/>
      <c r="AU1035" s="42"/>
      <c r="AV1035" s="42"/>
      <c r="AW1035" s="42"/>
      <c r="AX1035" s="42"/>
      <c r="AY1035" s="42"/>
      <c r="AZ1035" s="42"/>
      <c r="BA1035" s="42"/>
      <c r="BB1035" s="42"/>
      <c r="BC1035" s="42"/>
      <c r="BD1035" s="42"/>
      <c r="BE1035" s="42"/>
      <c r="BF1035" s="42"/>
      <c r="BG1035" s="42"/>
      <c r="BH1035" s="42"/>
      <c r="BI1035" s="42"/>
      <c r="BJ1035" s="42"/>
      <c r="BK1035" s="42"/>
      <c r="BL1035" s="42"/>
      <c r="BM1035" s="42"/>
      <c r="BN1035" s="42"/>
      <c r="BO1035" s="42"/>
      <c r="BP1035" s="42"/>
      <c r="BQ1035" s="42"/>
      <c r="BR1035" s="42"/>
      <c r="BS1035" s="42"/>
      <c r="BT1035" s="42"/>
      <c r="BU1035" s="42"/>
      <c r="BV1035" s="42"/>
      <c r="BW1035" s="42"/>
      <c r="BX1035" s="42"/>
      <c r="BY1035" s="42"/>
      <c r="BZ1035" s="42"/>
      <c r="CA1035" s="42"/>
      <c r="CB1035" s="42"/>
      <c r="CC1035" s="42"/>
      <c r="CD1035" s="42"/>
      <c r="CE1035" s="42"/>
      <c r="CF1035" s="42"/>
      <c r="CG1035" s="42"/>
      <c r="CH1035" s="42"/>
      <c r="CI1035" s="42"/>
      <c r="CJ1035" s="42"/>
      <c r="CK1035" s="42"/>
      <c r="CL1035" s="42"/>
      <c r="CM1035" s="42"/>
      <c r="CN1035" s="42"/>
      <c r="CO1035" s="42"/>
      <c r="CP1035" s="42"/>
      <c r="CQ1035" s="42"/>
      <c r="CR1035" s="42"/>
      <c r="CS1035" s="42"/>
      <c r="CT1035" s="42"/>
      <c r="CU1035" s="42"/>
      <c r="CV1035" s="42"/>
      <c r="CW1035" s="42"/>
      <c r="CX1035" s="42"/>
      <c r="CY1035" s="42"/>
      <c r="CZ1035" s="42"/>
      <c r="DA1035" s="42"/>
      <c r="DB1035" s="42"/>
      <c r="DC1035" s="42"/>
      <c r="DD1035" s="42"/>
      <c r="DE1035" s="42"/>
      <c r="DF1035" s="42"/>
      <c r="DG1035" s="42"/>
      <c r="DH1035" s="42"/>
      <c r="DI1035" s="42"/>
      <c r="DJ1035" s="42"/>
      <c r="DK1035" s="42"/>
      <c r="DL1035" s="42"/>
      <c r="DM1035" s="42"/>
      <c r="DN1035" s="42"/>
      <c r="DO1035" s="42"/>
      <c r="DP1035" s="42"/>
      <c r="DQ1035" s="42"/>
      <c r="DR1035" s="42"/>
      <c r="DS1035" s="42"/>
      <c r="DT1035" s="42"/>
      <c r="DU1035" s="42"/>
      <c r="DV1035" s="42"/>
      <c r="DW1035" s="42"/>
      <c r="DX1035" s="42"/>
      <c r="DY1035" s="42"/>
      <c r="DZ1035" s="42"/>
      <c r="EA1035" s="42"/>
      <c r="EB1035" s="42"/>
      <c r="EC1035" s="42"/>
      <c r="ED1035" s="42"/>
      <c r="EE1035" s="42"/>
      <c r="EF1035" s="42"/>
      <c r="EG1035" s="42"/>
      <c r="EH1035" s="42"/>
      <c r="EI1035" s="42"/>
      <c r="EJ1035" s="42"/>
      <c r="EK1035" s="42"/>
      <c r="EL1035" s="42"/>
      <c r="EM1035" s="42"/>
      <c r="EN1035" s="42"/>
      <c r="EO1035" s="42"/>
      <c r="EP1035" s="42"/>
      <c r="EQ1035" s="42"/>
      <c r="ER1035" s="42"/>
      <c r="ES1035" s="42"/>
      <c r="ET1035" s="42"/>
      <c r="EU1035" s="42"/>
      <c r="EV1035" s="42"/>
      <c r="EW1035" s="42"/>
      <c r="EX1035" s="42"/>
      <c r="EY1035" s="42"/>
      <c r="EZ1035" s="42"/>
      <c r="FA1035" s="42"/>
      <c r="FB1035" s="42"/>
      <c r="FC1035" s="42"/>
      <c r="FD1035" s="42"/>
      <c r="FE1035" s="42"/>
      <c r="FF1035" s="42"/>
      <c r="FG1035" s="42"/>
      <c r="FH1035" s="42"/>
      <c r="FI1035" s="42"/>
      <c r="FJ1035" s="42"/>
      <c r="FK1035" s="42"/>
      <c r="FL1035" s="42"/>
      <c r="FM1035" s="42"/>
      <c r="FN1035" s="42"/>
      <c r="FO1035" s="42"/>
      <c r="FP1035" s="42"/>
      <c r="FQ1035" s="42"/>
      <c r="FR1035" s="42"/>
      <c r="FS1035" s="42"/>
      <c r="FT1035" s="42"/>
      <c r="FU1035" s="42"/>
      <c r="FV1035" s="42"/>
      <c r="FW1035" s="42"/>
      <c r="FX1035" s="42"/>
      <c r="FY1035" s="42"/>
      <c r="FZ1035" s="42"/>
      <c r="GA1035" s="42"/>
      <c r="GB1035" s="42"/>
      <c r="GC1035" s="42"/>
      <c r="GD1035" s="42"/>
      <c r="GE1035" s="42"/>
      <c r="GF1035" s="42"/>
      <c r="GG1035" s="42"/>
      <c r="GH1035" s="42"/>
      <c r="GI1035" s="42"/>
      <c r="GJ1035" s="42"/>
      <c r="GK1035" s="42"/>
      <c r="GL1035" s="42"/>
      <c r="GM1035" s="42"/>
      <c r="GN1035" s="42"/>
      <c r="GO1035" s="42"/>
      <c r="GP1035" s="42"/>
      <c r="GQ1035" s="42"/>
      <c r="GR1035" s="42"/>
      <c r="GS1035" s="42"/>
      <c r="GT1035" s="42"/>
      <c r="GU1035" s="42"/>
      <c r="GV1035" s="42"/>
      <c r="GW1035" s="42"/>
      <c r="GX1035" s="42"/>
      <c r="GY1035" s="42"/>
      <c r="GZ1035" s="42"/>
      <c r="HA1035" s="42"/>
      <c r="HB1035" s="42"/>
      <c r="HC1035" s="42"/>
      <c r="HD1035" s="42"/>
      <c r="HE1035" s="42"/>
      <c r="HF1035" s="42"/>
      <c r="HG1035" s="42"/>
      <c r="HH1035" s="42"/>
      <c r="HI1035" s="42"/>
      <c r="HJ1035" s="42"/>
      <c r="HK1035" s="42"/>
      <c r="HL1035" s="42"/>
      <c r="HM1035" s="42"/>
      <c r="HN1035" s="42"/>
      <c r="HO1035" s="42"/>
      <c r="HP1035" s="42"/>
      <c r="HQ1035" s="42"/>
      <c r="HR1035" s="42"/>
      <c r="HS1035" s="42"/>
      <c r="HT1035" s="42"/>
      <c r="HU1035" s="42"/>
      <c r="HV1035" s="42"/>
      <c r="HW1035" s="42"/>
      <c r="HX1035" s="42"/>
      <c r="HY1035" s="42"/>
      <c r="HZ1035" s="42"/>
      <c r="IA1035" s="42"/>
      <c r="IB1035" s="42"/>
      <c r="IC1035" s="42"/>
      <c r="ID1035" s="42"/>
      <c r="IE1035" s="42"/>
      <c r="IF1035" s="42"/>
      <c r="IG1035" s="42"/>
      <c r="IH1035" s="42"/>
      <c r="II1035" s="42"/>
      <c r="IJ1035" s="42"/>
      <c r="IK1035" s="42"/>
      <c r="IL1035" s="42"/>
      <c r="IM1035" s="42"/>
      <c r="IN1035" s="42"/>
      <c r="IO1035" s="42"/>
      <c r="IP1035" s="42"/>
      <c r="IQ1035" s="42"/>
      <c r="IR1035" s="42"/>
      <c r="IS1035" s="42"/>
      <c r="IT1035" s="42"/>
      <c r="IU1035" s="42"/>
      <c r="IV1035" s="42"/>
      <c r="IW1035" s="42"/>
      <c r="IX1035" s="42"/>
    </row>
    <row r="1036" spans="1:258" ht="21.95" customHeight="1" x14ac:dyDescent="0.25">
      <c r="A1036" s="52" t="s">
        <v>1614</v>
      </c>
      <c r="B1036" s="9" t="s">
        <v>762</v>
      </c>
      <c r="C1036" s="3">
        <f t="shared" si="550"/>
        <v>1355750</v>
      </c>
      <c r="D1036" s="4">
        <f t="shared" si="548"/>
        <v>0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5">
        <v>0</v>
      </c>
      <c r="L1036" s="4">
        <v>0</v>
      </c>
      <c r="M1036" s="6">
        <v>246.5</v>
      </c>
      <c r="N1036" s="4">
        <f t="shared" si="552"/>
        <v>1355750</v>
      </c>
      <c r="O1036" s="4">
        <v>0</v>
      </c>
      <c r="P1036" s="4">
        <v>0</v>
      </c>
      <c r="Q1036" s="4">
        <v>0</v>
      </c>
      <c r="R1036" s="4">
        <f t="shared" si="546"/>
        <v>0</v>
      </c>
      <c r="S1036" s="4">
        <v>0</v>
      </c>
      <c r="T1036" s="6">
        <v>0</v>
      </c>
      <c r="U1036" s="4">
        <v>0</v>
      </c>
      <c r="V1036" s="7">
        <f t="shared" si="547"/>
        <v>5500</v>
      </c>
      <c r="W1036" s="42"/>
      <c r="X1036" s="42"/>
      <c r="Y1036" s="42"/>
      <c r="Z1036" s="42"/>
      <c r="AA1036" s="42"/>
      <c r="AB1036" s="42"/>
      <c r="AC1036" s="42"/>
      <c r="AD1036" s="42"/>
      <c r="AE1036" s="42"/>
      <c r="AF1036" s="42"/>
      <c r="AG1036" s="42"/>
      <c r="AH1036" s="42"/>
      <c r="AI1036" s="42"/>
      <c r="AJ1036" s="42"/>
      <c r="AK1036" s="42"/>
      <c r="AL1036" s="42"/>
      <c r="AM1036" s="42"/>
      <c r="AN1036" s="42"/>
      <c r="AO1036" s="42"/>
      <c r="AP1036" s="42"/>
      <c r="AQ1036" s="42"/>
      <c r="AR1036" s="42"/>
      <c r="AS1036" s="42"/>
      <c r="AT1036" s="42"/>
      <c r="AU1036" s="42"/>
      <c r="AV1036" s="42"/>
      <c r="AW1036" s="42"/>
      <c r="AX1036" s="42"/>
      <c r="AY1036" s="42"/>
      <c r="AZ1036" s="42"/>
      <c r="BA1036" s="42"/>
      <c r="BB1036" s="42"/>
      <c r="BC1036" s="42"/>
      <c r="BD1036" s="42"/>
      <c r="BE1036" s="42"/>
      <c r="BF1036" s="42"/>
      <c r="BG1036" s="42"/>
      <c r="BH1036" s="42"/>
      <c r="BI1036" s="42"/>
      <c r="BJ1036" s="42"/>
      <c r="BK1036" s="42"/>
      <c r="BL1036" s="42"/>
      <c r="BM1036" s="42"/>
      <c r="BN1036" s="42"/>
      <c r="BO1036" s="42"/>
      <c r="BP1036" s="42"/>
      <c r="BQ1036" s="42"/>
      <c r="BR1036" s="42"/>
      <c r="BS1036" s="42"/>
      <c r="BT1036" s="42"/>
      <c r="BU1036" s="42"/>
      <c r="BV1036" s="42"/>
      <c r="BW1036" s="42"/>
      <c r="BX1036" s="42"/>
      <c r="BY1036" s="42"/>
      <c r="BZ1036" s="42"/>
      <c r="CA1036" s="42"/>
      <c r="CB1036" s="42"/>
      <c r="CC1036" s="42"/>
      <c r="CD1036" s="42"/>
      <c r="CE1036" s="42"/>
      <c r="CF1036" s="42"/>
      <c r="CG1036" s="42"/>
      <c r="CH1036" s="42"/>
      <c r="CI1036" s="42"/>
      <c r="CJ1036" s="42"/>
      <c r="CK1036" s="42"/>
      <c r="CL1036" s="42"/>
      <c r="CM1036" s="42"/>
      <c r="CN1036" s="42"/>
      <c r="CO1036" s="42"/>
      <c r="CP1036" s="42"/>
      <c r="CQ1036" s="42"/>
      <c r="CR1036" s="42"/>
      <c r="CS1036" s="42"/>
      <c r="CT1036" s="42"/>
      <c r="CU1036" s="42"/>
      <c r="CV1036" s="42"/>
      <c r="CW1036" s="42"/>
      <c r="CX1036" s="42"/>
      <c r="CY1036" s="42"/>
      <c r="CZ1036" s="42"/>
      <c r="DA1036" s="42"/>
      <c r="DB1036" s="42"/>
      <c r="DC1036" s="42"/>
      <c r="DD1036" s="42"/>
      <c r="DE1036" s="42"/>
      <c r="DF1036" s="42"/>
      <c r="DG1036" s="42"/>
      <c r="DH1036" s="42"/>
      <c r="DI1036" s="42"/>
      <c r="DJ1036" s="42"/>
      <c r="DK1036" s="42"/>
      <c r="DL1036" s="42"/>
      <c r="DM1036" s="42"/>
      <c r="DN1036" s="42"/>
      <c r="DO1036" s="42"/>
      <c r="DP1036" s="42"/>
      <c r="DQ1036" s="42"/>
      <c r="DR1036" s="42"/>
      <c r="DS1036" s="42"/>
      <c r="DT1036" s="42"/>
      <c r="DU1036" s="42"/>
      <c r="DV1036" s="42"/>
      <c r="DW1036" s="42"/>
      <c r="DX1036" s="42"/>
      <c r="DY1036" s="42"/>
      <c r="DZ1036" s="42"/>
      <c r="EA1036" s="42"/>
      <c r="EB1036" s="42"/>
      <c r="EC1036" s="42"/>
      <c r="ED1036" s="42"/>
      <c r="EE1036" s="42"/>
      <c r="EF1036" s="42"/>
      <c r="EG1036" s="42"/>
      <c r="EH1036" s="42"/>
      <c r="EI1036" s="42"/>
      <c r="EJ1036" s="42"/>
      <c r="EK1036" s="42"/>
      <c r="EL1036" s="42"/>
      <c r="EM1036" s="42"/>
      <c r="EN1036" s="42"/>
      <c r="EO1036" s="42"/>
      <c r="EP1036" s="42"/>
      <c r="EQ1036" s="42"/>
      <c r="ER1036" s="42"/>
      <c r="ES1036" s="42"/>
      <c r="ET1036" s="42"/>
      <c r="EU1036" s="42"/>
      <c r="EV1036" s="42"/>
      <c r="EW1036" s="42"/>
      <c r="EX1036" s="42"/>
      <c r="EY1036" s="42"/>
      <c r="EZ1036" s="42"/>
      <c r="FA1036" s="42"/>
      <c r="FB1036" s="42"/>
      <c r="FC1036" s="42"/>
      <c r="FD1036" s="42"/>
      <c r="FE1036" s="42"/>
      <c r="FF1036" s="42"/>
      <c r="FG1036" s="42"/>
      <c r="FH1036" s="42"/>
      <c r="FI1036" s="42"/>
      <c r="FJ1036" s="42"/>
      <c r="FK1036" s="42"/>
      <c r="FL1036" s="42"/>
      <c r="FM1036" s="42"/>
      <c r="FN1036" s="42"/>
      <c r="FO1036" s="42"/>
      <c r="FP1036" s="42"/>
      <c r="FQ1036" s="42"/>
      <c r="FR1036" s="42"/>
      <c r="FS1036" s="42"/>
      <c r="FT1036" s="42"/>
      <c r="FU1036" s="42"/>
      <c r="FV1036" s="42"/>
      <c r="FW1036" s="42"/>
      <c r="FX1036" s="42"/>
      <c r="FY1036" s="42"/>
      <c r="FZ1036" s="42"/>
      <c r="GA1036" s="42"/>
      <c r="GB1036" s="42"/>
      <c r="GC1036" s="42"/>
      <c r="GD1036" s="42"/>
      <c r="GE1036" s="42"/>
      <c r="GF1036" s="42"/>
      <c r="GG1036" s="42"/>
      <c r="GH1036" s="42"/>
      <c r="GI1036" s="42"/>
      <c r="GJ1036" s="42"/>
      <c r="GK1036" s="42"/>
      <c r="GL1036" s="42"/>
      <c r="GM1036" s="42"/>
      <c r="GN1036" s="42"/>
      <c r="GO1036" s="42"/>
      <c r="GP1036" s="42"/>
      <c r="GQ1036" s="42"/>
      <c r="GR1036" s="42"/>
      <c r="GS1036" s="42"/>
      <c r="GT1036" s="42"/>
      <c r="GU1036" s="42"/>
      <c r="GV1036" s="42"/>
      <c r="GW1036" s="42"/>
      <c r="GX1036" s="42"/>
      <c r="GY1036" s="42"/>
      <c r="GZ1036" s="42"/>
      <c r="HA1036" s="42"/>
      <c r="HB1036" s="42"/>
      <c r="HC1036" s="42"/>
      <c r="HD1036" s="42"/>
      <c r="HE1036" s="42"/>
      <c r="HF1036" s="42"/>
      <c r="HG1036" s="42"/>
      <c r="HH1036" s="42"/>
      <c r="HI1036" s="42"/>
      <c r="HJ1036" s="42"/>
      <c r="HK1036" s="42"/>
      <c r="HL1036" s="42"/>
      <c r="HM1036" s="42"/>
      <c r="HN1036" s="42"/>
      <c r="HO1036" s="42"/>
      <c r="HP1036" s="42"/>
      <c r="HQ1036" s="42"/>
      <c r="HR1036" s="42"/>
      <c r="HS1036" s="42"/>
      <c r="HT1036" s="42"/>
      <c r="HU1036" s="42"/>
      <c r="HV1036" s="42"/>
      <c r="HW1036" s="42"/>
      <c r="HX1036" s="42"/>
      <c r="HY1036" s="42"/>
      <c r="HZ1036" s="42"/>
      <c r="IA1036" s="42"/>
      <c r="IB1036" s="42"/>
      <c r="IC1036" s="42"/>
      <c r="ID1036" s="42"/>
      <c r="IE1036" s="42"/>
      <c r="IF1036" s="42"/>
      <c r="IG1036" s="42"/>
      <c r="IH1036" s="42"/>
      <c r="II1036" s="42"/>
      <c r="IJ1036" s="42"/>
      <c r="IK1036" s="42"/>
      <c r="IL1036" s="42"/>
      <c r="IM1036" s="42"/>
      <c r="IN1036" s="42"/>
      <c r="IO1036" s="42"/>
      <c r="IP1036" s="42"/>
      <c r="IQ1036" s="42"/>
      <c r="IR1036" s="42"/>
      <c r="IS1036" s="42"/>
      <c r="IT1036" s="42"/>
      <c r="IU1036" s="42"/>
      <c r="IV1036" s="42"/>
      <c r="IW1036" s="42"/>
      <c r="IX1036" s="42"/>
    </row>
    <row r="1037" spans="1:258" ht="21.95" customHeight="1" x14ac:dyDescent="0.25">
      <c r="A1037" s="52" t="s">
        <v>1522</v>
      </c>
      <c r="B1037" s="9" t="s">
        <v>669</v>
      </c>
      <c r="C1037" s="3">
        <f t="shared" si="550"/>
        <v>1340900</v>
      </c>
      <c r="D1037" s="4">
        <f t="shared" si="548"/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5">
        <v>0</v>
      </c>
      <c r="L1037" s="4">
        <v>0</v>
      </c>
      <c r="M1037" s="6">
        <v>243.8</v>
      </c>
      <c r="N1037" s="4">
        <f t="shared" si="552"/>
        <v>1340900</v>
      </c>
      <c r="O1037" s="4">
        <v>0</v>
      </c>
      <c r="P1037" s="4">
        <v>0</v>
      </c>
      <c r="Q1037" s="4">
        <v>0</v>
      </c>
      <c r="R1037" s="4">
        <f t="shared" si="546"/>
        <v>0</v>
      </c>
      <c r="S1037" s="4">
        <v>0</v>
      </c>
      <c r="T1037" s="6">
        <v>0</v>
      </c>
      <c r="U1037" s="4">
        <v>0</v>
      </c>
      <c r="V1037" s="7">
        <f t="shared" si="547"/>
        <v>5500</v>
      </c>
    </row>
    <row r="1038" spans="1:258" ht="21.95" customHeight="1" x14ac:dyDescent="0.25">
      <c r="A1038" s="52" t="s">
        <v>1523</v>
      </c>
      <c r="B1038" s="9" t="s">
        <v>670</v>
      </c>
      <c r="C1038" s="3">
        <f t="shared" si="550"/>
        <v>1352450</v>
      </c>
      <c r="D1038" s="4">
        <f t="shared" si="548"/>
        <v>0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5">
        <v>0</v>
      </c>
      <c r="L1038" s="4">
        <v>0</v>
      </c>
      <c r="M1038" s="4">
        <v>245.9</v>
      </c>
      <c r="N1038" s="4">
        <f t="shared" si="552"/>
        <v>1352450</v>
      </c>
      <c r="O1038" s="4">
        <v>0</v>
      </c>
      <c r="P1038" s="4">
        <v>0</v>
      </c>
      <c r="Q1038" s="4">
        <v>0</v>
      </c>
      <c r="R1038" s="4">
        <f t="shared" si="546"/>
        <v>0</v>
      </c>
      <c r="S1038" s="4">
        <v>0</v>
      </c>
      <c r="T1038" s="6">
        <v>0</v>
      </c>
      <c r="U1038" s="4">
        <v>0</v>
      </c>
      <c r="V1038" s="7">
        <f t="shared" si="547"/>
        <v>5500</v>
      </c>
      <c r="W1038" s="39"/>
      <c r="X1038" s="39"/>
      <c r="Y1038" s="39"/>
      <c r="Z1038" s="39"/>
      <c r="AA1038" s="39"/>
      <c r="AB1038" s="39"/>
      <c r="AC1038" s="39"/>
      <c r="AD1038" s="39"/>
      <c r="AE1038" s="39"/>
      <c r="AF1038" s="39"/>
      <c r="AG1038" s="39"/>
      <c r="AH1038" s="39"/>
      <c r="AI1038" s="39"/>
      <c r="AJ1038" s="39"/>
      <c r="AK1038" s="39"/>
      <c r="AL1038" s="39"/>
      <c r="AM1038" s="39"/>
      <c r="AN1038" s="39"/>
      <c r="AO1038" s="39"/>
      <c r="AP1038" s="39"/>
      <c r="AQ1038" s="39"/>
      <c r="AR1038" s="39"/>
      <c r="AS1038" s="39"/>
      <c r="AT1038" s="39"/>
      <c r="AU1038" s="39"/>
      <c r="AV1038" s="39"/>
      <c r="AW1038" s="39"/>
      <c r="AX1038" s="39"/>
      <c r="AY1038" s="39"/>
      <c r="AZ1038" s="39"/>
      <c r="BA1038" s="39"/>
      <c r="BB1038" s="39"/>
      <c r="BC1038" s="39"/>
      <c r="BD1038" s="39"/>
      <c r="BE1038" s="39"/>
      <c r="BF1038" s="39"/>
      <c r="BG1038" s="39"/>
      <c r="BH1038" s="39"/>
      <c r="BI1038" s="39"/>
      <c r="BJ1038" s="39"/>
      <c r="BK1038" s="39"/>
      <c r="BL1038" s="39"/>
      <c r="BM1038" s="39"/>
      <c r="BN1038" s="39"/>
      <c r="BO1038" s="39"/>
      <c r="BP1038" s="39"/>
      <c r="BQ1038" s="39"/>
      <c r="BR1038" s="39"/>
      <c r="BS1038" s="39"/>
      <c r="BT1038" s="39"/>
      <c r="BU1038" s="39"/>
      <c r="BV1038" s="39"/>
      <c r="BW1038" s="39"/>
      <c r="BX1038" s="39"/>
      <c r="BY1038" s="39"/>
      <c r="BZ1038" s="39"/>
      <c r="CA1038" s="39"/>
      <c r="CB1038" s="39"/>
      <c r="CC1038" s="39"/>
      <c r="CD1038" s="39"/>
      <c r="CE1038" s="39"/>
      <c r="CF1038" s="39"/>
      <c r="CG1038" s="39"/>
      <c r="CH1038" s="39"/>
      <c r="CI1038" s="39"/>
      <c r="CJ1038" s="39"/>
      <c r="CK1038" s="39"/>
      <c r="CL1038" s="39"/>
      <c r="CM1038" s="39"/>
      <c r="CN1038" s="39"/>
      <c r="CO1038" s="39"/>
      <c r="CP1038" s="39"/>
      <c r="CQ1038" s="39"/>
      <c r="CR1038" s="39"/>
      <c r="CS1038" s="39"/>
      <c r="CT1038" s="39"/>
      <c r="CU1038" s="39"/>
      <c r="CV1038" s="39"/>
      <c r="CW1038" s="39"/>
      <c r="CX1038" s="39"/>
      <c r="CY1038" s="39"/>
      <c r="CZ1038" s="39"/>
      <c r="DA1038" s="39"/>
      <c r="DB1038" s="39"/>
      <c r="DC1038" s="39"/>
      <c r="DD1038" s="39"/>
      <c r="DE1038" s="39"/>
      <c r="DF1038" s="39"/>
      <c r="DG1038" s="39"/>
      <c r="DH1038" s="39"/>
      <c r="DI1038" s="39"/>
      <c r="DJ1038" s="39"/>
      <c r="DK1038" s="39"/>
      <c r="DL1038" s="39"/>
      <c r="DM1038" s="39"/>
      <c r="DN1038" s="39"/>
      <c r="DO1038" s="39"/>
      <c r="DP1038" s="39"/>
      <c r="DQ1038" s="39"/>
      <c r="DR1038" s="39"/>
      <c r="DS1038" s="39"/>
      <c r="DT1038" s="39"/>
      <c r="DU1038" s="39"/>
      <c r="DV1038" s="39"/>
      <c r="DW1038" s="39"/>
      <c r="DX1038" s="39"/>
      <c r="DY1038" s="39"/>
      <c r="DZ1038" s="39"/>
      <c r="EA1038" s="39"/>
      <c r="EB1038" s="39"/>
      <c r="EC1038" s="39"/>
      <c r="ED1038" s="39"/>
      <c r="EE1038" s="39"/>
      <c r="EF1038" s="39"/>
      <c r="EG1038" s="39"/>
      <c r="EH1038" s="39"/>
      <c r="EI1038" s="39"/>
      <c r="EJ1038" s="39"/>
      <c r="EK1038" s="39"/>
      <c r="EL1038" s="39"/>
      <c r="EM1038" s="39"/>
      <c r="EN1038" s="39"/>
      <c r="EO1038" s="39"/>
      <c r="EP1038" s="39"/>
      <c r="EQ1038" s="39"/>
      <c r="ER1038" s="39"/>
      <c r="ES1038" s="39"/>
      <c r="ET1038" s="39"/>
      <c r="EU1038" s="39"/>
      <c r="EV1038" s="39"/>
      <c r="EW1038" s="39"/>
      <c r="EX1038" s="39"/>
      <c r="EY1038" s="39"/>
      <c r="EZ1038" s="39"/>
      <c r="FA1038" s="39"/>
      <c r="FB1038" s="39"/>
      <c r="FC1038" s="39"/>
      <c r="FD1038" s="39"/>
      <c r="FE1038" s="39"/>
      <c r="FF1038" s="39"/>
      <c r="FG1038" s="39"/>
      <c r="FH1038" s="39"/>
      <c r="FI1038" s="39"/>
      <c r="FJ1038" s="39"/>
      <c r="FK1038" s="39"/>
      <c r="FL1038" s="39"/>
      <c r="FM1038" s="39"/>
      <c r="FN1038" s="39"/>
      <c r="FO1038" s="39"/>
      <c r="FP1038" s="39"/>
      <c r="FQ1038" s="39"/>
      <c r="FR1038" s="39"/>
      <c r="FS1038" s="39"/>
      <c r="FT1038" s="39"/>
      <c r="FU1038" s="39"/>
      <c r="FV1038" s="39"/>
      <c r="FW1038" s="39"/>
      <c r="FX1038" s="39"/>
      <c r="FY1038" s="39"/>
      <c r="FZ1038" s="39"/>
      <c r="GA1038" s="39"/>
      <c r="GB1038" s="39"/>
      <c r="GC1038" s="39"/>
      <c r="GD1038" s="39"/>
      <c r="GE1038" s="39"/>
      <c r="GF1038" s="39"/>
      <c r="GG1038" s="39"/>
      <c r="GH1038" s="39"/>
      <c r="GI1038" s="39"/>
      <c r="GJ1038" s="39"/>
      <c r="GK1038" s="39"/>
      <c r="GL1038" s="39"/>
      <c r="GM1038" s="39"/>
      <c r="GN1038" s="39"/>
      <c r="GO1038" s="39"/>
      <c r="GP1038" s="39"/>
      <c r="GQ1038" s="39"/>
      <c r="GR1038" s="39"/>
      <c r="GS1038" s="39"/>
      <c r="GT1038" s="39"/>
      <c r="GU1038" s="39"/>
      <c r="GV1038" s="39"/>
      <c r="GW1038" s="39"/>
      <c r="GX1038" s="39"/>
      <c r="GY1038" s="39"/>
      <c r="GZ1038" s="39"/>
      <c r="HA1038" s="39"/>
      <c r="HB1038" s="39"/>
      <c r="HC1038" s="39"/>
      <c r="HD1038" s="39"/>
      <c r="HE1038" s="39"/>
      <c r="HF1038" s="39"/>
      <c r="HG1038" s="39"/>
      <c r="HH1038" s="39"/>
      <c r="HI1038" s="39"/>
      <c r="HJ1038" s="39"/>
      <c r="HK1038" s="39"/>
      <c r="HL1038" s="39"/>
      <c r="HM1038" s="39"/>
      <c r="HN1038" s="39"/>
      <c r="HO1038" s="39"/>
      <c r="HP1038" s="39"/>
      <c r="HQ1038" s="39"/>
      <c r="HR1038" s="39"/>
      <c r="HS1038" s="39"/>
      <c r="HT1038" s="39"/>
      <c r="HU1038" s="39"/>
      <c r="HV1038" s="39"/>
      <c r="HW1038" s="39"/>
      <c r="HX1038" s="39"/>
      <c r="HY1038" s="39"/>
      <c r="HZ1038" s="39"/>
      <c r="IA1038" s="39"/>
      <c r="IB1038" s="39"/>
      <c r="IC1038" s="39"/>
      <c r="ID1038" s="39"/>
      <c r="IE1038" s="39"/>
      <c r="IF1038" s="39"/>
      <c r="IG1038" s="39"/>
      <c r="IH1038" s="39"/>
      <c r="II1038" s="39"/>
      <c r="IJ1038" s="39"/>
      <c r="IK1038" s="39"/>
      <c r="IL1038" s="39"/>
      <c r="IM1038" s="39"/>
      <c r="IN1038" s="39"/>
      <c r="IO1038" s="39"/>
      <c r="IP1038" s="39"/>
      <c r="IQ1038" s="39"/>
      <c r="IR1038" s="39"/>
      <c r="IS1038" s="39"/>
      <c r="IT1038" s="39"/>
      <c r="IU1038" s="39"/>
      <c r="IV1038" s="39"/>
      <c r="IW1038" s="39"/>
      <c r="IX1038" s="39"/>
    </row>
    <row r="1039" spans="1:258" ht="21.95" customHeight="1" x14ac:dyDescent="0.25">
      <c r="A1039" s="52" t="s">
        <v>1524</v>
      </c>
      <c r="B1039" s="9" t="s">
        <v>671</v>
      </c>
      <c r="C1039" s="3">
        <f t="shared" si="550"/>
        <v>1342550</v>
      </c>
      <c r="D1039" s="4">
        <f t="shared" si="548"/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5">
        <v>0</v>
      </c>
      <c r="L1039" s="4">
        <v>0</v>
      </c>
      <c r="M1039" s="4">
        <v>244.1</v>
      </c>
      <c r="N1039" s="4">
        <f t="shared" si="552"/>
        <v>1342550</v>
      </c>
      <c r="O1039" s="4">
        <v>0</v>
      </c>
      <c r="P1039" s="4">
        <v>0</v>
      </c>
      <c r="Q1039" s="4">
        <v>0</v>
      </c>
      <c r="R1039" s="4">
        <f t="shared" si="546"/>
        <v>0</v>
      </c>
      <c r="S1039" s="4">
        <v>0</v>
      </c>
      <c r="T1039" s="6">
        <v>0</v>
      </c>
      <c r="U1039" s="4">
        <v>0</v>
      </c>
      <c r="V1039" s="7">
        <f t="shared" si="547"/>
        <v>5500</v>
      </c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9"/>
      <c r="BS1039" s="19"/>
      <c r="BT1039" s="19"/>
      <c r="BU1039" s="19"/>
      <c r="BV1039" s="19"/>
      <c r="BW1039" s="19"/>
      <c r="BX1039" s="19"/>
      <c r="BY1039" s="19"/>
      <c r="BZ1039" s="19"/>
      <c r="CA1039" s="19"/>
      <c r="CB1039" s="19"/>
      <c r="CC1039" s="19"/>
      <c r="CD1039" s="19"/>
      <c r="CE1039" s="19"/>
      <c r="CF1039" s="19"/>
      <c r="CG1039" s="19"/>
      <c r="CH1039" s="19"/>
      <c r="CI1039" s="19"/>
      <c r="CJ1039" s="19"/>
      <c r="CK1039" s="19"/>
      <c r="CL1039" s="19"/>
      <c r="CM1039" s="19"/>
      <c r="CN1039" s="19"/>
      <c r="CO1039" s="19"/>
      <c r="CP1039" s="19"/>
      <c r="CQ1039" s="19"/>
      <c r="CR1039" s="19"/>
      <c r="CS1039" s="19"/>
      <c r="CT1039" s="19"/>
      <c r="CU1039" s="19"/>
      <c r="CV1039" s="19"/>
      <c r="CW1039" s="19"/>
      <c r="CX1039" s="19"/>
      <c r="CY1039" s="19"/>
      <c r="CZ1039" s="19"/>
      <c r="DA1039" s="19"/>
      <c r="DB1039" s="19"/>
      <c r="DC1039" s="19"/>
      <c r="DD1039" s="19"/>
      <c r="DE1039" s="19"/>
      <c r="DF1039" s="19"/>
      <c r="DG1039" s="19"/>
      <c r="DH1039" s="19"/>
      <c r="DI1039" s="19"/>
      <c r="DJ1039" s="19"/>
      <c r="DK1039" s="19"/>
      <c r="DL1039" s="19"/>
      <c r="DM1039" s="19"/>
      <c r="DN1039" s="19"/>
      <c r="DO1039" s="19"/>
      <c r="DP1039" s="19"/>
      <c r="DQ1039" s="19"/>
      <c r="DR1039" s="19"/>
      <c r="DS1039" s="19"/>
      <c r="DT1039" s="19"/>
      <c r="DU1039" s="19"/>
      <c r="DV1039" s="19"/>
      <c r="DW1039" s="19"/>
      <c r="DX1039" s="19"/>
      <c r="DY1039" s="19"/>
      <c r="DZ1039" s="19"/>
      <c r="EA1039" s="19"/>
      <c r="EB1039" s="19"/>
      <c r="EC1039" s="19"/>
      <c r="ED1039" s="19"/>
      <c r="EE1039" s="19"/>
      <c r="EF1039" s="19"/>
      <c r="EG1039" s="19"/>
      <c r="EH1039" s="19"/>
      <c r="EI1039" s="19"/>
      <c r="EJ1039" s="19"/>
      <c r="EK1039" s="19"/>
      <c r="EL1039" s="19"/>
      <c r="EM1039" s="19"/>
      <c r="EN1039" s="19"/>
      <c r="EO1039" s="19"/>
      <c r="EP1039" s="19"/>
      <c r="EQ1039" s="19"/>
      <c r="ER1039" s="19"/>
      <c r="ES1039" s="19"/>
      <c r="ET1039" s="19"/>
      <c r="EU1039" s="19"/>
      <c r="EV1039" s="19"/>
      <c r="EW1039" s="19"/>
      <c r="EX1039" s="19"/>
      <c r="EY1039" s="19"/>
      <c r="EZ1039" s="19"/>
      <c r="FA1039" s="19"/>
      <c r="FB1039" s="19"/>
      <c r="FC1039" s="19"/>
      <c r="FD1039" s="19"/>
      <c r="FE1039" s="19"/>
      <c r="FF1039" s="19"/>
      <c r="FG1039" s="19"/>
      <c r="FH1039" s="19"/>
      <c r="FI1039" s="19"/>
      <c r="FJ1039" s="19"/>
      <c r="FK1039" s="19"/>
      <c r="FL1039" s="19"/>
      <c r="FM1039" s="19"/>
      <c r="FN1039" s="19"/>
      <c r="FO1039" s="19"/>
      <c r="FP1039" s="19"/>
      <c r="FQ1039" s="19"/>
      <c r="FR1039" s="19"/>
      <c r="FS1039" s="19"/>
      <c r="FT1039" s="19"/>
      <c r="FU1039" s="19"/>
      <c r="FV1039" s="19"/>
      <c r="FW1039" s="19"/>
      <c r="FX1039" s="19"/>
      <c r="FY1039" s="19"/>
      <c r="FZ1039" s="19"/>
      <c r="GA1039" s="19"/>
      <c r="GB1039" s="19"/>
      <c r="GC1039" s="19"/>
      <c r="GD1039" s="19"/>
      <c r="GE1039" s="19"/>
      <c r="GF1039" s="19"/>
      <c r="GG1039" s="19"/>
      <c r="GH1039" s="19"/>
      <c r="GI1039" s="19"/>
      <c r="GJ1039" s="19"/>
      <c r="GK1039" s="19"/>
      <c r="GL1039" s="19"/>
      <c r="GM1039" s="19"/>
      <c r="GN1039" s="19"/>
      <c r="GO1039" s="19"/>
      <c r="GP1039" s="19"/>
      <c r="GQ1039" s="19"/>
      <c r="GR1039" s="19"/>
      <c r="GS1039" s="19"/>
      <c r="GT1039" s="19"/>
      <c r="GU1039" s="19"/>
      <c r="GV1039" s="19"/>
      <c r="GW1039" s="19"/>
      <c r="GX1039" s="19"/>
      <c r="GY1039" s="19"/>
      <c r="GZ1039" s="19"/>
      <c r="HA1039" s="19"/>
      <c r="HB1039" s="19"/>
      <c r="HC1039" s="19"/>
      <c r="HD1039" s="19"/>
      <c r="HE1039" s="19"/>
      <c r="HF1039" s="19"/>
      <c r="HG1039" s="19"/>
      <c r="HH1039" s="19"/>
      <c r="HI1039" s="19"/>
      <c r="HJ1039" s="19"/>
      <c r="HK1039" s="19"/>
      <c r="HL1039" s="19"/>
      <c r="HM1039" s="19"/>
      <c r="HN1039" s="19"/>
      <c r="HO1039" s="19"/>
      <c r="HP1039" s="19"/>
      <c r="HQ1039" s="19"/>
      <c r="HR1039" s="19"/>
      <c r="HS1039" s="19"/>
      <c r="HT1039" s="19"/>
      <c r="HU1039" s="19"/>
      <c r="HV1039" s="19"/>
      <c r="HW1039" s="19"/>
      <c r="HX1039" s="19"/>
      <c r="HY1039" s="19"/>
      <c r="HZ1039" s="19"/>
      <c r="IA1039" s="19"/>
      <c r="IB1039" s="19"/>
      <c r="IC1039" s="19"/>
      <c r="ID1039" s="19"/>
      <c r="IE1039" s="19"/>
      <c r="IF1039" s="19"/>
      <c r="IG1039" s="19"/>
      <c r="IH1039" s="19"/>
      <c r="II1039" s="19"/>
      <c r="IJ1039" s="19"/>
      <c r="IK1039" s="19"/>
      <c r="IL1039" s="19"/>
      <c r="IM1039" s="19"/>
      <c r="IN1039" s="19"/>
      <c r="IO1039" s="19"/>
      <c r="IP1039" s="19"/>
      <c r="IQ1039" s="19"/>
      <c r="IR1039" s="19"/>
      <c r="IS1039" s="19"/>
      <c r="IT1039" s="19"/>
      <c r="IU1039" s="19"/>
      <c r="IV1039" s="19"/>
      <c r="IW1039" s="19"/>
      <c r="IX1039" s="19"/>
    </row>
    <row r="1040" spans="1:258" ht="21.95" customHeight="1" x14ac:dyDescent="0.25">
      <c r="A1040" s="52" t="s">
        <v>1525</v>
      </c>
      <c r="B1040" s="9" t="s">
        <v>763</v>
      </c>
      <c r="C1040" s="3">
        <f t="shared" si="550"/>
        <v>1346400</v>
      </c>
      <c r="D1040" s="4">
        <f t="shared" si="548"/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5">
        <v>0</v>
      </c>
      <c r="L1040" s="4">
        <v>0</v>
      </c>
      <c r="M1040" s="6">
        <v>244.8</v>
      </c>
      <c r="N1040" s="4">
        <f t="shared" si="552"/>
        <v>1346400</v>
      </c>
      <c r="O1040" s="4">
        <v>0</v>
      </c>
      <c r="P1040" s="4">
        <v>0</v>
      </c>
      <c r="Q1040" s="4">
        <v>0</v>
      </c>
      <c r="R1040" s="4">
        <f t="shared" si="546"/>
        <v>0</v>
      </c>
      <c r="S1040" s="4">
        <v>0</v>
      </c>
      <c r="T1040" s="6">
        <v>0</v>
      </c>
      <c r="U1040" s="4">
        <v>0</v>
      </c>
      <c r="V1040" s="7">
        <f t="shared" si="547"/>
        <v>5500</v>
      </c>
    </row>
    <row r="1041" spans="1:258" ht="21.95" customHeight="1" x14ac:dyDescent="0.25">
      <c r="A1041" s="52" t="s">
        <v>1526</v>
      </c>
      <c r="B1041" s="9" t="s">
        <v>764</v>
      </c>
      <c r="C1041" s="3">
        <f t="shared" si="550"/>
        <v>1346400</v>
      </c>
      <c r="D1041" s="4">
        <f t="shared" si="548"/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5">
        <v>0</v>
      </c>
      <c r="L1041" s="4">
        <v>0</v>
      </c>
      <c r="M1041" s="6">
        <v>244.8</v>
      </c>
      <c r="N1041" s="4">
        <f t="shared" si="552"/>
        <v>1346400</v>
      </c>
      <c r="O1041" s="4">
        <v>0</v>
      </c>
      <c r="P1041" s="4">
        <v>0</v>
      </c>
      <c r="Q1041" s="4">
        <v>0</v>
      </c>
      <c r="R1041" s="4">
        <f t="shared" si="546"/>
        <v>0</v>
      </c>
      <c r="S1041" s="4">
        <v>0</v>
      </c>
      <c r="T1041" s="6">
        <v>0</v>
      </c>
      <c r="U1041" s="4">
        <v>0</v>
      </c>
      <c r="V1041" s="7">
        <f t="shared" si="547"/>
        <v>5500</v>
      </c>
    </row>
    <row r="1042" spans="1:258" ht="21.95" customHeight="1" x14ac:dyDescent="0.25">
      <c r="A1042" s="52" t="s">
        <v>1527</v>
      </c>
      <c r="B1042" s="9" t="s">
        <v>672</v>
      </c>
      <c r="C1042" s="3">
        <f t="shared" si="550"/>
        <v>1353000</v>
      </c>
      <c r="D1042" s="4">
        <f t="shared" si="548"/>
        <v>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5">
        <v>0</v>
      </c>
      <c r="L1042" s="4">
        <v>0</v>
      </c>
      <c r="M1042" s="6">
        <v>246</v>
      </c>
      <c r="N1042" s="4">
        <f t="shared" si="552"/>
        <v>1353000</v>
      </c>
      <c r="O1042" s="4">
        <v>0</v>
      </c>
      <c r="P1042" s="4">
        <v>0</v>
      </c>
      <c r="Q1042" s="4">
        <v>0</v>
      </c>
      <c r="R1042" s="4">
        <f t="shared" si="546"/>
        <v>0</v>
      </c>
      <c r="S1042" s="4">
        <v>0</v>
      </c>
      <c r="T1042" s="6">
        <v>0</v>
      </c>
      <c r="U1042" s="4">
        <v>0</v>
      </c>
      <c r="V1042" s="7">
        <f t="shared" si="547"/>
        <v>5500</v>
      </c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9"/>
      <c r="BS1042" s="19"/>
      <c r="BT1042" s="19"/>
      <c r="BU1042" s="19"/>
      <c r="BV1042" s="19"/>
      <c r="BW1042" s="19"/>
      <c r="BX1042" s="19"/>
      <c r="BY1042" s="19"/>
      <c r="BZ1042" s="19"/>
      <c r="CA1042" s="19"/>
      <c r="CB1042" s="19"/>
      <c r="CC1042" s="19"/>
      <c r="CD1042" s="19"/>
      <c r="CE1042" s="19"/>
      <c r="CF1042" s="19"/>
      <c r="CG1042" s="19"/>
      <c r="CH1042" s="19"/>
      <c r="CI1042" s="19"/>
      <c r="CJ1042" s="19"/>
      <c r="CK1042" s="19"/>
      <c r="CL1042" s="19"/>
      <c r="CM1042" s="19"/>
      <c r="CN1042" s="19"/>
      <c r="CO1042" s="19"/>
      <c r="CP1042" s="19"/>
      <c r="CQ1042" s="19"/>
      <c r="CR1042" s="19"/>
      <c r="CS1042" s="19"/>
      <c r="CT1042" s="19"/>
      <c r="CU1042" s="19"/>
      <c r="CV1042" s="19"/>
      <c r="CW1042" s="19"/>
      <c r="CX1042" s="19"/>
      <c r="CY1042" s="19"/>
      <c r="CZ1042" s="19"/>
      <c r="DA1042" s="19"/>
      <c r="DB1042" s="19"/>
      <c r="DC1042" s="19"/>
      <c r="DD1042" s="19"/>
      <c r="DE1042" s="19"/>
      <c r="DF1042" s="19"/>
      <c r="DG1042" s="19"/>
      <c r="DH1042" s="19"/>
      <c r="DI1042" s="19"/>
      <c r="DJ1042" s="19"/>
      <c r="DK1042" s="19"/>
      <c r="DL1042" s="19"/>
      <c r="DM1042" s="19"/>
      <c r="DN1042" s="19"/>
      <c r="DO1042" s="19"/>
      <c r="DP1042" s="19"/>
      <c r="DQ1042" s="19"/>
      <c r="DR1042" s="19"/>
      <c r="DS1042" s="19"/>
      <c r="DT1042" s="19"/>
      <c r="DU1042" s="19"/>
      <c r="DV1042" s="19"/>
      <c r="DW1042" s="19"/>
      <c r="DX1042" s="19"/>
      <c r="DY1042" s="19"/>
      <c r="DZ1042" s="19"/>
      <c r="EA1042" s="19"/>
      <c r="EB1042" s="19"/>
      <c r="EC1042" s="19"/>
      <c r="ED1042" s="19"/>
      <c r="EE1042" s="19"/>
      <c r="EF1042" s="19"/>
      <c r="EG1042" s="19"/>
      <c r="EH1042" s="19"/>
      <c r="EI1042" s="19"/>
      <c r="EJ1042" s="19"/>
      <c r="EK1042" s="19"/>
      <c r="EL1042" s="19"/>
      <c r="EM1042" s="19"/>
      <c r="EN1042" s="19"/>
      <c r="EO1042" s="19"/>
      <c r="EP1042" s="19"/>
      <c r="EQ1042" s="19"/>
      <c r="ER1042" s="19"/>
      <c r="ES1042" s="19"/>
      <c r="ET1042" s="19"/>
      <c r="EU1042" s="19"/>
      <c r="EV1042" s="19"/>
      <c r="EW1042" s="19"/>
      <c r="EX1042" s="19"/>
      <c r="EY1042" s="19"/>
      <c r="EZ1042" s="19"/>
      <c r="FA1042" s="19"/>
      <c r="FB1042" s="19"/>
      <c r="FC1042" s="19"/>
      <c r="FD1042" s="19"/>
      <c r="FE1042" s="19"/>
      <c r="FF1042" s="19"/>
      <c r="FG1042" s="19"/>
      <c r="FH1042" s="19"/>
      <c r="FI1042" s="19"/>
      <c r="FJ1042" s="19"/>
      <c r="FK1042" s="19"/>
      <c r="FL1042" s="19"/>
      <c r="FM1042" s="19"/>
      <c r="FN1042" s="19"/>
      <c r="FO1042" s="19"/>
      <c r="FP1042" s="19"/>
      <c r="FQ1042" s="19"/>
      <c r="FR1042" s="19"/>
      <c r="FS1042" s="19"/>
      <c r="FT1042" s="19"/>
      <c r="FU1042" s="19"/>
      <c r="FV1042" s="19"/>
      <c r="FW1042" s="19"/>
      <c r="FX1042" s="19"/>
      <c r="FY1042" s="19"/>
      <c r="FZ1042" s="19"/>
      <c r="GA1042" s="19"/>
      <c r="GB1042" s="19"/>
      <c r="GC1042" s="19"/>
      <c r="GD1042" s="19"/>
      <c r="GE1042" s="19"/>
      <c r="GF1042" s="19"/>
      <c r="GG1042" s="19"/>
      <c r="GH1042" s="19"/>
      <c r="GI1042" s="19"/>
      <c r="GJ1042" s="19"/>
      <c r="GK1042" s="19"/>
      <c r="GL1042" s="19"/>
      <c r="GM1042" s="19"/>
      <c r="GN1042" s="19"/>
      <c r="GO1042" s="19"/>
      <c r="GP1042" s="19"/>
      <c r="GQ1042" s="19"/>
      <c r="GR1042" s="19"/>
      <c r="GS1042" s="19"/>
      <c r="GT1042" s="19"/>
      <c r="GU1042" s="19"/>
      <c r="GV1042" s="19"/>
      <c r="GW1042" s="19"/>
      <c r="GX1042" s="19"/>
      <c r="GY1042" s="19"/>
      <c r="GZ1042" s="19"/>
      <c r="HA1042" s="19"/>
      <c r="HB1042" s="19"/>
      <c r="HC1042" s="19"/>
      <c r="HD1042" s="19"/>
      <c r="HE1042" s="19"/>
      <c r="HF1042" s="19"/>
      <c r="HG1042" s="19"/>
      <c r="HH1042" s="19"/>
      <c r="HI1042" s="19"/>
      <c r="HJ1042" s="19"/>
      <c r="HK1042" s="19"/>
      <c r="HL1042" s="19"/>
      <c r="HM1042" s="19"/>
      <c r="HN1042" s="19"/>
      <c r="HO1042" s="19"/>
      <c r="HP1042" s="19"/>
      <c r="HQ1042" s="19"/>
      <c r="HR1042" s="19"/>
      <c r="HS1042" s="19"/>
      <c r="HT1042" s="19"/>
      <c r="HU1042" s="19"/>
      <c r="HV1042" s="19"/>
      <c r="HW1042" s="19"/>
      <c r="HX1042" s="19"/>
      <c r="HY1042" s="19"/>
      <c r="HZ1042" s="19"/>
      <c r="IA1042" s="19"/>
      <c r="IB1042" s="19"/>
      <c r="IC1042" s="19"/>
      <c r="ID1042" s="19"/>
      <c r="IE1042" s="19"/>
      <c r="IF1042" s="19"/>
      <c r="IG1042" s="19"/>
      <c r="IH1042" s="19"/>
      <c r="II1042" s="19"/>
      <c r="IJ1042" s="19"/>
      <c r="IK1042" s="19"/>
      <c r="IL1042" s="19"/>
      <c r="IM1042" s="19"/>
      <c r="IN1042" s="19"/>
      <c r="IO1042" s="19"/>
      <c r="IP1042" s="19"/>
      <c r="IQ1042" s="19"/>
      <c r="IR1042" s="19"/>
      <c r="IS1042" s="19"/>
      <c r="IT1042" s="19"/>
      <c r="IU1042" s="19"/>
      <c r="IV1042" s="19"/>
      <c r="IW1042" s="19"/>
      <c r="IX1042" s="19"/>
    </row>
    <row r="1043" spans="1:258" ht="21.95" customHeight="1" x14ac:dyDescent="0.25">
      <c r="A1043" s="52" t="s">
        <v>1528</v>
      </c>
      <c r="B1043" s="9" t="s">
        <v>673</v>
      </c>
      <c r="C1043" s="3">
        <f t="shared" si="550"/>
        <v>1370600</v>
      </c>
      <c r="D1043" s="4">
        <f t="shared" si="548"/>
        <v>0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5">
        <v>0</v>
      </c>
      <c r="L1043" s="4">
        <v>0</v>
      </c>
      <c r="M1043" s="4">
        <v>249.2</v>
      </c>
      <c r="N1043" s="4">
        <f t="shared" si="552"/>
        <v>1370600</v>
      </c>
      <c r="O1043" s="4">
        <v>0</v>
      </c>
      <c r="P1043" s="4">
        <v>0</v>
      </c>
      <c r="Q1043" s="4">
        <v>0</v>
      </c>
      <c r="R1043" s="4">
        <f t="shared" si="546"/>
        <v>0</v>
      </c>
      <c r="S1043" s="4">
        <v>0</v>
      </c>
      <c r="T1043" s="6">
        <v>0</v>
      </c>
      <c r="U1043" s="4">
        <v>0</v>
      </c>
      <c r="V1043" s="7">
        <f t="shared" si="547"/>
        <v>5500</v>
      </c>
    </row>
    <row r="1044" spans="1:258" ht="21.95" customHeight="1" x14ac:dyDescent="0.25">
      <c r="A1044" s="52" t="s">
        <v>1529</v>
      </c>
      <c r="B1044" s="9" t="s">
        <v>674</v>
      </c>
      <c r="C1044" s="3">
        <f t="shared" si="550"/>
        <v>1456400</v>
      </c>
      <c r="D1044" s="4">
        <f t="shared" si="548"/>
        <v>0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5">
        <v>0</v>
      </c>
      <c r="L1044" s="4">
        <v>0</v>
      </c>
      <c r="M1044" s="4">
        <v>264.8</v>
      </c>
      <c r="N1044" s="4">
        <f t="shared" si="552"/>
        <v>1456400</v>
      </c>
      <c r="O1044" s="4">
        <v>0</v>
      </c>
      <c r="P1044" s="4">
        <v>0</v>
      </c>
      <c r="Q1044" s="4">
        <v>0</v>
      </c>
      <c r="R1044" s="4">
        <f t="shared" si="546"/>
        <v>0</v>
      </c>
      <c r="S1044" s="4">
        <v>0</v>
      </c>
      <c r="T1044" s="6">
        <v>0</v>
      </c>
      <c r="U1044" s="4">
        <v>0</v>
      </c>
      <c r="V1044" s="7">
        <f t="shared" si="547"/>
        <v>5500</v>
      </c>
    </row>
    <row r="1045" spans="1:258" ht="21.95" customHeight="1" x14ac:dyDescent="0.25">
      <c r="A1045" s="52" t="s">
        <v>1530</v>
      </c>
      <c r="B1045" s="9" t="s">
        <v>1225</v>
      </c>
      <c r="C1045" s="3">
        <f t="shared" si="550"/>
        <v>6650000</v>
      </c>
      <c r="D1045" s="4">
        <f t="shared" si="548"/>
        <v>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5">
        <v>3</v>
      </c>
      <c r="L1045" s="4">
        <f>K1045*2150000</f>
        <v>6450000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f t="shared" si="546"/>
        <v>0</v>
      </c>
      <c r="S1045" s="4">
        <v>0</v>
      </c>
      <c r="T1045" s="6">
        <v>0</v>
      </c>
      <c r="U1045" s="4">
        <v>200000</v>
      </c>
      <c r="V1045" s="7" t="e">
        <f t="shared" si="547"/>
        <v>#DIV/0!</v>
      </c>
    </row>
    <row r="1046" spans="1:258" ht="21.95" customHeight="1" x14ac:dyDescent="0.25">
      <c r="A1046" s="52" t="s">
        <v>1531</v>
      </c>
      <c r="B1046" s="9" t="s">
        <v>1924</v>
      </c>
      <c r="C1046" s="3">
        <f t="shared" si="550"/>
        <v>2250000</v>
      </c>
      <c r="D1046" s="4">
        <f t="shared" si="548"/>
        <v>0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5">
        <v>1</v>
      </c>
      <c r="L1046" s="4">
        <v>2150000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6">
        <v>0</v>
      </c>
      <c r="U1046" s="4">
        <v>100000</v>
      </c>
      <c r="V1046" s="7" t="e">
        <f t="shared" si="547"/>
        <v>#DIV/0!</v>
      </c>
    </row>
    <row r="1047" spans="1:258" ht="21.95" customHeight="1" x14ac:dyDescent="0.25">
      <c r="A1047" s="52" t="s">
        <v>1532</v>
      </c>
      <c r="B1047" s="9" t="s">
        <v>765</v>
      </c>
      <c r="C1047" s="3">
        <f t="shared" si="550"/>
        <v>3512758</v>
      </c>
      <c r="D1047" s="4">
        <f t="shared" si="548"/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5">
        <v>0</v>
      </c>
      <c r="L1047" s="4">
        <v>0</v>
      </c>
      <c r="M1047" s="6">
        <v>953</v>
      </c>
      <c r="N1047" s="4">
        <f t="shared" ref="N1047:N1050" si="553">M1047*3686</f>
        <v>3512758</v>
      </c>
      <c r="O1047" s="4">
        <v>0</v>
      </c>
      <c r="P1047" s="4">
        <v>0</v>
      </c>
      <c r="Q1047" s="4">
        <v>0</v>
      </c>
      <c r="R1047" s="4">
        <f t="shared" si="546"/>
        <v>0</v>
      </c>
      <c r="S1047" s="4">
        <v>0</v>
      </c>
      <c r="T1047" s="6">
        <v>0</v>
      </c>
      <c r="U1047" s="4">
        <v>0</v>
      </c>
      <c r="V1047" s="7">
        <f t="shared" si="547"/>
        <v>3686</v>
      </c>
    </row>
    <row r="1048" spans="1:258" ht="21.95" customHeight="1" x14ac:dyDescent="0.25">
      <c r="A1048" s="52" t="s">
        <v>1533</v>
      </c>
      <c r="B1048" s="9" t="s">
        <v>824</v>
      </c>
      <c r="C1048" s="3">
        <f t="shared" si="550"/>
        <v>16689674.5</v>
      </c>
      <c r="D1048" s="4">
        <f t="shared" si="548"/>
        <v>6044834.5</v>
      </c>
      <c r="E1048" s="4">
        <f>350*2572.27</f>
        <v>900294.5</v>
      </c>
      <c r="F1048" s="4">
        <f>1050*2572.27</f>
        <v>2700883.5</v>
      </c>
      <c r="G1048" s="4">
        <f>300*2572.27</f>
        <v>771681</v>
      </c>
      <c r="H1048" s="4">
        <f>400*2572.27</f>
        <v>1028908</v>
      </c>
      <c r="I1048" s="4">
        <f>250*2572.27</f>
        <v>643067.5</v>
      </c>
      <c r="J1048" s="4">
        <v>0</v>
      </c>
      <c r="K1048" s="5">
        <v>0</v>
      </c>
      <c r="L1048" s="4">
        <v>0</v>
      </c>
      <c r="M1048" s="6">
        <v>940</v>
      </c>
      <c r="N1048" s="4">
        <f t="shared" si="553"/>
        <v>3464840</v>
      </c>
      <c r="O1048" s="4">
        <v>0</v>
      </c>
      <c r="P1048" s="4">
        <v>0</v>
      </c>
      <c r="Q1048" s="6">
        <v>2360</v>
      </c>
      <c r="R1048" s="4">
        <f t="shared" si="546"/>
        <v>7080000</v>
      </c>
      <c r="S1048" s="6">
        <v>0</v>
      </c>
      <c r="T1048" s="6">
        <v>0</v>
      </c>
      <c r="U1048" s="4">
        <v>100000</v>
      </c>
      <c r="V1048" s="7">
        <f t="shared" si="547"/>
        <v>3686</v>
      </c>
    </row>
    <row r="1049" spans="1:258" ht="21.95" customHeight="1" x14ac:dyDescent="0.25">
      <c r="A1049" s="52" t="s">
        <v>1534</v>
      </c>
      <c r="B1049" s="9" t="s">
        <v>825</v>
      </c>
      <c r="C1049" s="3">
        <f t="shared" si="550"/>
        <v>21196788</v>
      </c>
      <c r="D1049" s="4">
        <f t="shared" si="548"/>
        <v>8730344</v>
      </c>
      <c r="E1049" s="4">
        <f>350*3715.04</f>
        <v>1300264</v>
      </c>
      <c r="F1049" s="4">
        <f>1050*3715.04</f>
        <v>3900792</v>
      </c>
      <c r="G1049" s="4">
        <f>300*3715.04</f>
        <v>1114512</v>
      </c>
      <c r="H1049" s="4">
        <f>400*3715.04</f>
        <v>1486016</v>
      </c>
      <c r="I1049" s="4">
        <f>250*3715.04</f>
        <v>928760</v>
      </c>
      <c r="J1049" s="4">
        <v>0</v>
      </c>
      <c r="K1049" s="5">
        <v>0</v>
      </c>
      <c r="L1049" s="4">
        <v>0</v>
      </c>
      <c r="M1049" s="6">
        <v>954</v>
      </c>
      <c r="N1049" s="4">
        <f t="shared" si="553"/>
        <v>3516444</v>
      </c>
      <c r="O1049" s="4">
        <v>0</v>
      </c>
      <c r="P1049" s="4">
        <v>0</v>
      </c>
      <c r="Q1049" s="4">
        <v>2950</v>
      </c>
      <c r="R1049" s="4">
        <f t="shared" si="546"/>
        <v>8850000</v>
      </c>
      <c r="S1049" s="4">
        <v>0</v>
      </c>
      <c r="T1049" s="6">
        <v>0</v>
      </c>
      <c r="U1049" s="4">
        <v>100000</v>
      </c>
      <c r="V1049" s="7">
        <f t="shared" si="547"/>
        <v>3686</v>
      </c>
    </row>
    <row r="1050" spans="1:258" ht="21.95" customHeight="1" x14ac:dyDescent="0.25">
      <c r="A1050" s="52" t="s">
        <v>1535</v>
      </c>
      <c r="B1050" s="9" t="s">
        <v>826</v>
      </c>
      <c r="C1050" s="3">
        <f t="shared" si="550"/>
        <v>16648062</v>
      </c>
      <c r="D1050" s="4">
        <f t="shared" si="548"/>
        <v>5984792</v>
      </c>
      <c r="E1050" s="4">
        <f>350*2546.72</f>
        <v>891351.99999999988</v>
      </c>
      <c r="F1050" s="4">
        <f>1050*2546.72</f>
        <v>2674056</v>
      </c>
      <c r="G1050" s="4">
        <f>300*2546.72</f>
        <v>764015.99999999988</v>
      </c>
      <c r="H1050" s="4">
        <f>400*2546.72</f>
        <v>1018687.9999999999</v>
      </c>
      <c r="I1050" s="4">
        <f>250*2546.72</f>
        <v>636680</v>
      </c>
      <c r="J1050" s="4">
        <v>0</v>
      </c>
      <c r="K1050" s="5">
        <v>0</v>
      </c>
      <c r="L1050" s="4">
        <v>0</v>
      </c>
      <c r="M1050" s="6">
        <v>945</v>
      </c>
      <c r="N1050" s="4">
        <f t="shared" si="553"/>
        <v>3483270</v>
      </c>
      <c r="O1050" s="4">
        <v>0</v>
      </c>
      <c r="P1050" s="4">
        <v>0</v>
      </c>
      <c r="Q1050" s="6">
        <v>2360</v>
      </c>
      <c r="R1050" s="4">
        <f t="shared" si="546"/>
        <v>7080000</v>
      </c>
      <c r="S1050" s="4">
        <v>0</v>
      </c>
      <c r="T1050" s="6">
        <v>0</v>
      </c>
      <c r="U1050" s="6">
        <v>100000</v>
      </c>
      <c r="V1050" s="7">
        <f t="shared" si="547"/>
        <v>3686</v>
      </c>
    </row>
    <row r="1051" spans="1:258" ht="21.95" customHeight="1" x14ac:dyDescent="0.25">
      <c r="A1051" s="52" t="s">
        <v>1536</v>
      </c>
      <c r="B1051" s="9" t="s">
        <v>675</v>
      </c>
      <c r="C1051" s="3">
        <f t="shared" si="550"/>
        <v>4536350</v>
      </c>
      <c r="D1051" s="4">
        <f t="shared" si="548"/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12">
        <v>0</v>
      </c>
      <c r="L1051" s="6">
        <v>0</v>
      </c>
      <c r="M1051" s="6">
        <v>427.7</v>
      </c>
      <c r="N1051" s="4">
        <f t="shared" ref="N1051:N1058" si="554">M1051*5500</f>
        <v>2352350</v>
      </c>
      <c r="O1051" s="6">
        <v>0</v>
      </c>
      <c r="P1051" s="6">
        <v>0</v>
      </c>
      <c r="Q1051" s="6">
        <v>728</v>
      </c>
      <c r="R1051" s="4">
        <f t="shared" si="546"/>
        <v>2184000</v>
      </c>
      <c r="S1051" s="6">
        <v>0</v>
      </c>
      <c r="T1051" s="6">
        <v>0</v>
      </c>
      <c r="U1051" s="6">
        <v>0</v>
      </c>
      <c r="V1051" s="7">
        <f t="shared" si="547"/>
        <v>5500</v>
      </c>
    </row>
    <row r="1052" spans="1:258" ht="21.95" customHeight="1" x14ac:dyDescent="0.25">
      <c r="A1052" s="52" t="s">
        <v>1537</v>
      </c>
      <c r="B1052" s="9" t="s">
        <v>676</v>
      </c>
      <c r="C1052" s="3">
        <f t="shared" si="550"/>
        <v>2761800</v>
      </c>
      <c r="D1052" s="4">
        <f t="shared" si="548"/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12">
        <v>0</v>
      </c>
      <c r="L1052" s="6">
        <v>0</v>
      </c>
      <c r="M1052" s="4">
        <v>303.60000000000002</v>
      </c>
      <c r="N1052" s="4">
        <f t="shared" si="554"/>
        <v>1669800.0000000002</v>
      </c>
      <c r="O1052" s="4">
        <v>0</v>
      </c>
      <c r="P1052" s="4">
        <v>0</v>
      </c>
      <c r="Q1052" s="4">
        <v>364</v>
      </c>
      <c r="R1052" s="4">
        <f t="shared" si="546"/>
        <v>1092000</v>
      </c>
      <c r="S1052" s="6">
        <v>0</v>
      </c>
      <c r="T1052" s="6">
        <v>0</v>
      </c>
      <c r="U1052" s="6">
        <v>0</v>
      </c>
      <c r="V1052" s="7">
        <f t="shared" si="547"/>
        <v>5500</v>
      </c>
    </row>
    <row r="1053" spans="1:258" ht="21.95" customHeight="1" x14ac:dyDescent="0.25">
      <c r="A1053" s="52" t="s">
        <v>1538</v>
      </c>
      <c r="B1053" s="9" t="s">
        <v>677</v>
      </c>
      <c r="C1053" s="3">
        <f t="shared" si="550"/>
        <v>2742000</v>
      </c>
      <c r="D1053" s="4">
        <f t="shared" si="548"/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12">
        <v>0</v>
      </c>
      <c r="L1053" s="6">
        <v>0</v>
      </c>
      <c r="M1053" s="4">
        <v>300</v>
      </c>
      <c r="N1053" s="4">
        <f t="shared" si="554"/>
        <v>1650000</v>
      </c>
      <c r="O1053" s="4">
        <v>0</v>
      </c>
      <c r="P1053" s="4">
        <v>0</v>
      </c>
      <c r="Q1053" s="4">
        <v>364</v>
      </c>
      <c r="R1053" s="4">
        <f t="shared" si="546"/>
        <v>1092000</v>
      </c>
      <c r="S1053" s="4">
        <v>0</v>
      </c>
      <c r="T1053" s="6">
        <v>0</v>
      </c>
      <c r="U1053" s="6">
        <v>0</v>
      </c>
      <c r="V1053" s="7">
        <f t="shared" si="547"/>
        <v>5500</v>
      </c>
    </row>
    <row r="1054" spans="1:258" ht="21.95" customHeight="1" x14ac:dyDescent="0.25">
      <c r="A1054" s="52" t="s">
        <v>1539</v>
      </c>
      <c r="B1054" s="9" t="s">
        <v>678</v>
      </c>
      <c r="C1054" s="3">
        <f t="shared" si="550"/>
        <v>2768950</v>
      </c>
      <c r="D1054" s="4">
        <f t="shared" si="548"/>
        <v>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12">
        <v>0</v>
      </c>
      <c r="L1054" s="6">
        <v>0</v>
      </c>
      <c r="M1054" s="4">
        <v>304.89999999999998</v>
      </c>
      <c r="N1054" s="4">
        <f t="shared" si="554"/>
        <v>1676949.9999999998</v>
      </c>
      <c r="O1054" s="4">
        <v>0</v>
      </c>
      <c r="P1054" s="4">
        <v>0</v>
      </c>
      <c r="Q1054" s="4">
        <v>364</v>
      </c>
      <c r="R1054" s="4">
        <f t="shared" si="546"/>
        <v>1092000</v>
      </c>
      <c r="S1054" s="4">
        <v>0</v>
      </c>
      <c r="T1054" s="6">
        <v>0</v>
      </c>
      <c r="U1054" s="6">
        <v>0</v>
      </c>
      <c r="V1054" s="7">
        <f t="shared" si="547"/>
        <v>5500</v>
      </c>
    </row>
    <row r="1055" spans="1:258" ht="21.95" customHeight="1" x14ac:dyDescent="0.25">
      <c r="A1055" s="52" t="s">
        <v>1540</v>
      </c>
      <c r="B1055" s="9" t="s">
        <v>766</v>
      </c>
      <c r="C1055" s="3">
        <f t="shared" si="550"/>
        <v>3828000</v>
      </c>
      <c r="D1055" s="4">
        <f t="shared" si="548"/>
        <v>0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5">
        <v>0</v>
      </c>
      <c r="L1055" s="4">
        <v>0</v>
      </c>
      <c r="M1055" s="6">
        <v>696</v>
      </c>
      <c r="N1055" s="4">
        <f t="shared" si="554"/>
        <v>3828000</v>
      </c>
      <c r="O1055" s="4">
        <v>0</v>
      </c>
      <c r="P1055" s="4">
        <v>0</v>
      </c>
      <c r="Q1055" s="4">
        <v>0</v>
      </c>
      <c r="R1055" s="4">
        <f t="shared" si="546"/>
        <v>0</v>
      </c>
      <c r="S1055" s="4">
        <v>0</v>
      </c>
      <c r="T1055" s="6">
        <v>0</v>
      </c>
      <c r="U1055" s="4">
        <v>0</v>
      </c>
      <c r="V1055" s="7">
        <f t="shared" si="547"/>
        <v>5500</v>
      </c>
    </row>
    <row r="1056" spans="1:258" ht="21.95" customHeight="1" x14ac:dyDescent="0.25">
      <c r="A1056" s="52" t="s">
        <v>1541</v>
      </c>
      <c r="B1056" s="9" t="s">
        <v>425</v>
      </c>
      <c r="C1056" s="3">
        <f t="shared" si="550"/>
        <v>4082649.9999999995</v>
      </c>
      <c r="D1056" s="4">
        <f t="shared" si="548"/>
        <v>0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5">
        <v>0</v>
      </c>
      <c r="L1056" s="4">
        <v>0</v>
      </c>
      <c r="M1056" s="4">
        <v>742.3</v>
      </c>
      <c r="N1056" s="4">
        <f t="shared" si="554"/>
        <v>4082649.9999999995</v>
      </c>
      <c r="O1056" s="4">
        <v>0</v>
      </c>
      <c r="P1056" s="4">
        <v>0</v>
      </c>
      <c r="Q1056" s="4">
        <v>0</v>
      </c>
      <c r="R1056" s="4">
        <f t="shared" si="546"/>
        <v>0</v>
      </c>
      <c r="S1056" s="4">
        <v>0</v>
      </c>
      <c r="T1056" s="6">
        <v>0</v>
      </c>
      <c r="U1056" s="4">
        <v>0</v>
      </c>
      <c r="V1056" s="7">
        <f t="shared" si="547"/>
        <v>5500</v>
      </c>
    </row>
    <row r="1057" spans="1:22" ht="21.95" customHeight="1" x14ac:dyDescent="0.25">
      <c r="A1057" s="52" t="s">
        <v>1542</v>
      </c>
      <c r="B1057" s="9" t="s">
        <v>426</v>
      </c>
      <c r="C1057" s="3">
        <f t="shared" si="550"/>
        <v>2673000</v>
      </c>
      <c r="D1057" s="4">
        <f t="shared" si="548"/>
        <v>0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5">
        <v>0</v>
      </c>
      <c r="L1057" s="4">
        <v>0</v>
      </c>
      <c r="M1057" s="4">
        <v>486</v>
      </c>
      <c r="N1057" s="4">
        <f t="shared" si="554"/>
        <v>2673000</v>
      </c>
      <c r="O1057" s="4">
        <v>0</v>
      </c>
      <c r="P1057" s="4">
        <v>0</v>
      </c>
      <c r="Q1057" s="4">
        <v>0</v>
      </c>
      <c r="R1057" s="4">
        <f t="shared" si="546"/>
        <v>0</v>
      </c>
      <c r="S1057" s="4">
        <v>0</v>
      </c>
      <c r="T1057" s="6">
        <v>0</v>
      </c>
      <c r="U1057" s="4">
        <v>0</v>
      </c>
      <c r="V1057" s="7">
        <f t="shared" si="547"/>
        <v>5500</v>
      </c>
    </row>
    <row r="1058" spans="1:22" ht="21.95" customHeight="1" x14ac:dyDescent="0.25">
      <c r="A1058" s="52" t="s">
        <v>1543</v>
      </c>
      <c r="B1058" s="9" t="s">
        <v>679</v>
      </c>
      <c r="C1058" s="3">
        <f t="shared" si="550"/>
        <v>2997500</v>
      </c>
      <c r="D1058" s="4">
        <f t="shared" si="548"/>
        <v>0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5">
        <v>0</v>
      </c>
      <c r="L1058" s="4">
        <v>0</v>
      </c>
      <c r="M1058" s="4">
        <v>545</v>
      </c>
      <c r="N1058" s="4">
        <f t="shared" si="554"/>
        <v>2997500</v>
      </c>
      <c r="O1058" s="4">
        <v>0</v>
      </c>
      <c r="P1058" s="4">
        <v>0</v>
      </c>
      <c r="Q1058" s="4">
        <v>0</v>
      </c>
      <c r="R1058" s="4">
        <f t="shared" si="546"/>
        <v>0</v>
      </c>
      <c r="S1058" s="4">
        <v>0</v>
      </c>
      <c r="T1058" s="6">
        <v>0</v>
      </c>
      <c r="U1058" s="4">
        <v>0</v>
      </c>
      <c r="V1058" s="7">
        <f t="shared" si="547"/>
        <v>5500</v>
      </c>
    </row>
    <row r="1059" spans="1:22" ht="42.95" customHeight="1" x14ac:dyDescent="0.25">
      <c r="A1059" s="55" t="s">
        <v>305</v>
      </c>
      <c r="B1059" s="55"/>
      <c r="C1059" s="3">
        <f>SUM(C1060)</f>
        <v>8609395</v>
      </c>
      <c r="D1059" s="3">
        <f t="shared" ref="D1059:U1059" si="555">SUM(D1060)</f>
        <v>4364655</v>
      </c>
      <c r="E1059" s="3">
        <f t="shared" si="555"/>
        <v>650055</v>
      </c>
      <c r="F1059" s="3">
        <f t="shared" si="555"/>
        <v>1950165</v>
      </c>
      <c r="G1059" s="3">
        <f t="shared" si="555"/>
        <v>557190</v>
      </c>
      <c r="H1059" s="3">
        <f t="shared" si="555"/>
        <v>742920</v>
      </c>
      <c r="I1059" s="3">
        <f t="shared" si="555"/>
        <v>464325</v>
      </c>
      <c r="J1059" s="3">
        <f t="shared" si="555"/>
        <v>0</v>
      </c>
      <c r="K1059" s="15">
        <f t="shared" si="555"/>
        <v>0</v>
      </c>
      <c r="L1059" s="3">
        <f t="shared" si="555"/>
        <v>0</v>
      </c>
      <c r="M1059" s="3">
        <f t="shared" si="555"/>
        <v>0</v>
      </c>
      <c r="N1059" s="3">
        <f t="shared" si="555"/>
        <v>0</v>
      </c>
      <c r="O1059" s="3">
        <f t="shared" si="555"/>
        <v>0</v>
      </c>
      <c r="P1059" s="3">
        <f t="shared" si="555"/>
        <v>0</v>
      </c>
      <c r="Q1059" s="3">
        <f t="shared" si="555"/>
        <v>1381.58</v>
      </c>
      <c r="R1059" s="3">
        <f t="shared" si="555"/>
        <v>4144740</v>
      </c>
      <c r="S1059" s="3">
        <f t="shared" si="555"/>
        <v>0</v>
      </c>
      <c r="T1059" s="3">
        <f t="shared" si="555"/>
        <v>0</v>
      </c>
      <c r="U1059" s="3">
        <f t="shared" si="555"/>
        <v>100000</v>
      </c>
    </row>
    <row r="1060" spans="1:22" ht="23.1" customHeight="1" x14ac:dyDescent="0.25">
      <c r="A1060" s="24" t="s">
        <v>1544</v>
      </c>
      <c r="B1060" s="9" t="s">
        <v>306</v>
      </c>
      <c r="C1060" s="3">
        <f t="shared" si="550"/>
        <v>8609395</v>
      </c>
      <c r="D1060" s="4">
        <f t="shared" ref="D1060" si="556">SUM(E1060:J1060)</f>
        <v>4364655</v>
      </c>
      <c r="E1060" s="6">
        <f>350*1857.3</f>
        <v>650055</v>
      </c>
      <c r="F1060" s="6">
        <f>1050*1857.3</f>
        <v>1950165</v>
      </c>
      <c r="G1060" s="6">
        <f>300*1857.3</f>
        <v>557190</v>
      </c>
      <c r="H1060" s="6">
        <f>400*1857.3</f>
        <v>742920</v>
      </c>
      <c r="I1060" s="6">
        <f>250*1857.3</f>
        <v>464325</v>
      </c>
      <c r="J1060" s="6">
        <f>350*0</f>
        <v>0</v>
      </c>
      <c r="K1060" s="12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1381.58</v>
      </c>
      <c r="R1060" s="4">
        <f>Q1060*3000</f>
        <v>4144740</v>
      </c>
      <c r="S1060" s="6">
        <v>0</v>
      </c>
      <c r="T1060" s="6">
        <v>0</v>
      </c>
      <c r="U1060" s="6">
        <v>100000</v>
      </c>
      <c r="V1060" s="7" t="e">
        <f t="shared" ref="V1060" si="557">N1060/M1060</f>
        <v>#DIV/0!</v>
      </c>
    </row>
    <row r="1061" spans="1:22" ht="42.95" customHeight="1" x14ac:dyDescent="0.25">
      <c r="A1061" s="55" t="s">
        <v>281</v>
      </c>
      <c r="B1061" s="55"/>
      <c r="C1061" s="3">
        <f>SUM(C1062)</f>
        <v>4446820</v>
      </c>
      <c r="D1061" s="3">
        <f t="shared" ref="D1061:U1061" si="558">SUM(D1062)</f>
        <v>814320</v>
      </c>
      <c r="E1061" s="3">
        <f t="shared" si="558"/>
        <v>146160</v>
      </c>
      <c r="F1061" s="3">
        <f t="shared" si="558"/>
        <v>438480</v>
      </c>
      <c r="G1061" s="3">
        <f t="shared" si="558"/>
        <v>125280</v>
      </c>
      <c r="H1061" s="3">
        <f t="shared" si="558"/>
        <v>0</v>
      </c>
      <c r="I1061" s="3">
        <f t="shared" si="558"/>
        <v>104400</v>
      </c>
      <c r="J1061" s="3">
        <f t="shared" si="558"/>
        <v>0</v>
      </c>
      <c r="K1061" s="15">
        <f t="shared" si="558"/>
        <v>0</v>
      </c>
      <c r="L1061" s="3">
        <f t="shared" si="558"/>
        <v>0</v>
      </c>
      <c r="M1061" s="3">
        <f t="shared" si="558"/>
        <v>432</v>
      </c>
      <c r="N1061" s="3">
        <f t="shared" si="558"/>
        <v>2376000</v>
      </c>
      <c r="O1061" s="3">
        <f t="shared" si="558"/>
        <v>0</v>
      </c>
      <c r="P1061" s="3">
        <f t="shared" si="558"/>
        <v>0</v>
      </c>
      <c r="Q1061" s="3">
        <f t="shared" si="558"/>
        <v>385.5</v>
      </c>
      <c r="R1061" s="3">
        <f t="shared" si="558"/>
        <v>1156500</v>
      </c>
      <c r="S1061" s="3">
        <f t="shared" si="558"/>
        <v>0</v>
      </c>
      <c r="T1061" s="3">
        <f t="shared" si="558"/>
        <v>0</v>
      </c>
      <c r="U1061" s="3">
        <f t="shared" si="558"/>
        <v>100000</v>
      </c>
    </row>
    <row r="1062" spans="1:22" ht="23.1" customHeight="1" x14ac:dyDescent="0.25">
      <c r="A1062" s="1" t="s">
        <v>1545</v>
      </c>
      <c r="B1062" s="9" t="s">
        <v>304</v>
      </c>
      <c r="C1062" s="3">
        <f t="shared" si="550"/>
        <v>4446820</v>
      </c>
      <c r="D1062" s="4">
        <f t="shared" ref="D1062" si="559">SUM(E1062:J1062)</f>
        <v>814320</v>
      </c>
      <c r="E1062" s="4">
        <f>350*417.6</f>
        <v>146160</v>
      </c>
      <c r="F1062" s="4">
        <f>1050*417.6</f>
        <v>438480</v>
      </c>
      <c r="G1062" s="4">
        <f>300*417.6</f>
        <v>125280</v>
      </c>
      <c r="H1062" s="4">
        <f>400*0</f>
        <v>0</v>
      </c>
      <c r="I1062" s="4">
        <f>250*417.6</f>
        <v>104400</v>
      </c>
      <c r="J1062" s="4">
        <f>350*0</f>
        <v>0</v>
      </c>
      <c r="K1062" s="5">
        <v>0</v>
      </c>
      <c r="L1062" s="4">
        <v>0</v>
      </c>
      <c r="M1062" s="4">
        <v>432</v>
      </c>
      <c r="N1062" s="4">
        <f>M1062*5500</f>
        <v>2376000</v>
      </c>
      <c r="O1062" s="4">
        <v>0</v>
      </c>
      <c r="P1062" s="4">
        <v>0</v>
      </c>
      <c r="Q1062" s="4">
        <v>385.5</v>
      </c>
      <c r="R1062" s="4">
        <f>Q1062*3000</f>
        <v>1156500</v>
      </c>
      <c r="S1062" s="4">
        <v>0</v>
      </c>
      <c r="T1062" s="4">
        <v>0</v>
      </c>
      <c r="U1062" s="4">
        <v>100000</v>
      </c>
      <c r="V1062" s="7">
        <f t="shared" ref="V1062" si="560">N1062/M1062</f>
        <v>5500</v>
      </c>
    </row>
    <row r="1063" spans="1:22" ht="42.95" customHeight="1" x14ac:dyDescent="0.25">
      <c r="A1063" s="55" t="s">
        <v>1590</v>
      </c>
      <c r="B1063" s="55"/>
      <c r="C1063" s="3">
        <f>SUM(C1064)</f>
        <v>7401600</v>
      </c>
      <c r="D1063" s="3">
        <f t="shared" ref="D1063:U1063" si="561">SUM(D1064)</f>
        <v>7301600</v>
      </c>
      <c r="E1063" s="3">
        <f t="shared" si="561"/>
        <v>0</v>
      </c>
      <c r="F1063" s="3">
        <f t="shared" si="561"/>
        <v>3833340</v>
      </c>
      <c r="G1063" s="3">
        <f t="shared" si="561"/>
        <v>1095240</v>
      </c>
      <c r="H1063" s="3">
        <f t="shared" si="561"/>
        <v>1460320</v>
      </c>
      <c r="I1063" s="3">
        <f t="shared" si="561"/>
        <v>912700</v>
      </c>
      <c r="J1063" s="3">
        <f t="shared" si="561"/>
        <v>0</v>
      </c>
      <c r="K1063" s="15">
        <f t="shared" si="561"/>
        <v>0</v>
      </c>
      <c r="L1063" s="3">
        <f t="shared" si="561"/>
        <v>0</v>
      </c>
      <c r="M1063" s="3">
        <f t="shared" si="561"/>
        <v>0</v>
      </c>
      <c r="N1063" s="3">
        <f t="shared" si="561"/>
        <v>0</v>
      </c>
      <c r="O1063" s="3">
        <f t="shared" si="561"/>
        <v>0</v>
      </c>
      <c r="P1063" s="3">
        <f t="shared" si="561"/>
        <v>0</v>
      </c>
      <c r="Q1063" s="3">
        <f t="shared" si="561"/>
        <v>0</v>
      </c>
      <c r="R1063" s="3">
        <f t="shared" si="561"/>
        <v>0</v>
      </c>
      <c r="S1063" s="3">
        <f t="shared" si="561"/>
        <v>0</v>
      </c>
      <c r="T1063" s="3">
        <f t="shared" si="561"/>
        <v>0</v>
      </c>
      <c r="U1063" s="3">
        <f t="shared" si="561"/>
        <v>100000</v>
      </c>
    </row>
    <row r="1064" spans="1:22" ht="23.1" customHeight="1" x14ac:dyDescent="0.25">
      <c r="A1064" s="1" t="s">
        <v>1546</v>
      </c>
      <c r="B1064" s="9" t="s">
        <v>1591</v>
      </c>
      <c r="C1064" s="3">
        <f t="shared" si="550"/>
        <v>7401600</v>
      </c>
      <c r="D1064" s="4">
        <f t="shared" ref="D1064" si="562">SUM(E1064:J1064)</f>
        <v>7301600</v>
      </c>
      <c r="E1064" s="4">
        <f>350*0</f>
        <v>0</v>
      </c>
      <c r="F1064" s="4">
        <f>1050*3650.8</f>
        <v>3833340</v>
      </c>
      <c r="G1064" s="4">
        <f>300*3650.8</f>
        <v>1095240</v>
      </c>
      <c r="H1064" s="4">
        <f>400*3650.8</f>
        <v>1460320</v>
      </c>
      <c r="I1064" s="4">
        <f>250*3650.8</f>
        <v>912700</v>
      </c>
      <c r="J1064" s="4">
        <v>0</v>
      </c>
      <c r="K1064" s="5">
        <v>0</v>
      </c>
      <c r="L1064" s="4">
        <v>0</v>
      </c>
      <c r="M1064" s="4">
        <v>0</v>
      </c>
      <c r="N1064" s="4">
        <v>0</v>
      </c>
      <c r="O1064" s="4">
        <v>0</v>
      </c>
      <c r="P1064" s="4">
        <v>0</v>
      </c>
      <c r="Q1064" s="4">
        <v>0</v>
      </c>
      <c r="R1064" s="4">
        <v>0</v>
      </c>
      <c r="S1064" s="4">
        <v>0</v>
      </c>
      <c r="T1064" s="4">
        <v>0</v>
      </c>
      <c r="U1064" s="4">
        <v>100000</v>
      </c>
      <c r="V1064" s="7" t="e">
        <f t="shared" ref="V1064" si="563">N1064/M1064</f>
        <v>#DIV/0!</v>
      </c>
    </row>
    <row r="1065" spans="1:22" ht="42.95" customHeight="1" x14ac:dyDescent="0.25">
      <c r="A1065" s="55" t="s">
        <v>284</v>
      </c>
      <c r="B1065" s="55"/>
      <c r="C1065" s="3">
        <f>SUM(C1066)</f>
        <v>3956730</v>
      </c>
      <c r="D1065" s="3">
        <f t="shared" ref="D1065:U1065" si="564">SUM(D1066)</f>
        <v>887830</v>
      </c>
      <c r="E1065" s="3">
        <f t="shared" si="564"/>
        <v>132230</v>
      </c>
      <c r="F1065" s="3">
        <f t="shared" si="564"/>
        <v>396690</v>
      </c>
      <c r="G1065" s="3">
        <f t="shared" si="564"/>
        <v>113340</v>
      </c>
      <c r="H1065" s="3">
        <f t="shared" si="564"/>
        <v>151120</v>
      </c>
      <c r="I1065" s="3">
        <f t="shared" si="564"/>
        <v>94450</v>
      </c>
      <c r="J1065" s="3">
        <f t="shared" si="564"/>
        <v>0</v>
      </c>
      <c r="K1065" s="15">
        <f t="shared" si="564"/>
        <v>0</v>
      </c>
      <c r="L1065" s="3">
        <f t="shared" si="564"/>
        <v>0</v>
      </c>
      <c r="M1065" s="3">
        <f t="shared" si="564"/>
        <v>377.8</v>
      </c>
      <c r="N1065" s="3">
        <f t="shared" si="564"/>
        <v>2077900</v>
      </c>
      <c r="O1065" s="3">
        <f t="shared" si="564"/>
        <v>0</v>
      </c>
      <c r="P1065" s="3">
        <f t="shared" si="564"/>
        <v>0</v>
      </c>
      <c r="Q1065" s="3">
        <f t="shared" si="564"/>
        <v>297</v>
      </c>
      <c r="R1065" s="3">
        <f t="shared" si="564"/>
        <v>891000</v>
      </c>
      <c r="S1065" s="3">
        <f t="shared" si="564"/>
        <v>0</v>
      </c>
      <c r="T1065" s="3">
        <f t="shared" si="564"/>
        <v>0</v>
      </c>
      <c r="U1065" s="3">
        <f t="shared" si="564"/>
        <v>100000</v>
      </c>
      <c r="V1065" s="21">
        <f>C1065</f>
        <v>3956730</v>
      </c>
    </row>
    <row r="1066" spans="1:22" ht="23.1" customHeight="1" x14ac:dyDescent="0.25">
      <c r="A1066" s="1" t="s">
        <v>1547</v>
      </c>
      <c r="B1066" s="9" t="s">
        <v>285</v>
      </c>
      <c r="C1066" s="3">
        <f t="shared" si="550"/>
        <v>3956730</v>
      </c>
      <c r="D1066" s="4">
        <f t="shared" ref="D1066" si="565">SUM(E1066:J1066)</f>
        <v>887830</v>
      </c>
      <c r="E1066" s="4">
        <f>350*377.8</f>
        <v>132230</v>
      </c>
      <c r="F1066" s="4">
        <f>1050*377.8</f>
        <v>396690</v>
      </c>
      <c r="G1066" s="4">
        <f>300*377.8</f>
        <v>113340</v>
      </c>
      <c r="H1066" s="4">
        <f>400*377.8</f>
        <v>151120</v>
      </c>
      <c r="I1066" s="4">
        <f>250*377.8</f>
        <v>94450</v>
      </c>
      <c r="J1066" s="4">
        <v>0</v>
      </c>
      <c r="K1066" s="5">
        <v>0</v>
      </c>
      <c r="L1066" s="4">
        <v>0</v>
      </c>
      <c r="M1066" s="4">
        <v>377.8</v>
      </c>
      <c r="N1066" s="4">
        <f t="shared" ref="N1066" si="566">M1066*5500</f>
        <v>2077900</v>
      </c>
      <c r="O1066" s="4">
        <v>0</v>
      </c>
      <c r="P1066" s="4">
        <v>0</v>
      </c>
      <c r="Q1066" s="4">
        <v>297</v>
      </c>
      <c r="R1066" s="4">
        <f t="shared" ref="R1066" si="567">Q1066*3000</f>
        <v>891000</v>
      </c>
      <c r="S1066" s="4">
        <v>0</v>
      </c>
      <c r="T1066" s="4">
        <v>0</v>
      </c>
      <c r="U1066" s="4">
        <v>100000</v>
      </c>
      <c r="V1066" s="7">
        <f t="shared" ref="V1066" si="568">N1066/M1066</f>
        <v>5500</v>
      </c>
    </row>
    <row r="1067" spans="1:22" ht="42.95" customHeight="1" x14ac:dyDescent="0.25">
      <c r="A1067" s="55" t="s">
        <v>286</v>
      </c>
      <c r="B1067" s="55"/>
      <c r="C1067" s="3">
        <f>SUM(C1068:C1070)</f>
        <v>6966975</v>
      </c>
      <c r="D1067" s="3">
        <f t="shared" ref="D1067:U1067" si="569">SUM(D1068:D1070)</f>
        <v>992875</v>
      </c>
      <c r="E1067" s="3">
        <f t="shared" si="569"/>
        <v>147875</v>
      </c>
      <c r="F1067" s="3">
        <f t="shared" si="569"/>
        <v>443625</v>
      </c>
      <c r="G1067" s="3">
        <f t="shared" si="569"/>
        <v>126750</v>
      </c>
      <c r="H1067" s="3">
        <f t="shared" si="569"/>
        <v>169000</v>
      </c>
      <c r="I1067" s="3">
        <f t="shared" si="569"/>
        <v>105625</v>
      </c>
      <c r="J1067" s="3">
        <f t="shared" si="569"/>
        <v>0</v>
      </c>
      <c r="K1067" s="15">
        <f t="shared" si="569"/>
        <v>0</v>
      </c>
      <c r="L1067" s="3">
        <f t="shared" si="569"/>
        <v>0</v>
      </c>
      <c r="M1067" s="3">
        <f t="shared" si="569"/>
        <v>866.2</v>
      </c>
      <c r="N1067" s="3">
        <f t="shared" si="569"/>
        <v>4764100</v>
      </c>
      <c r="O1067" s="3">
        <f t="shared" si="569"/>
        <v>0</v>
      </c>
      <c r="P1067" s="3">
        <f t="shared" si="569"/>
        <v>0</v>
      </c>
      <c r="Q1067" s="3">
        <f t="shared" si="569"/>
        <v>370</v>
      </c>
      <c r="R1067" s="3">
        <f t="shared" si="569"/>
        <v>1110000</v>
      </c>
      <c r="S1067" s="3">
        <f t="shared" si="569"/>
        <v>0</v>
      </c>
      <c r="T1067" s="3">
        <f t="shared" si="569"/>
        <v>0</v>
      </c>
      <c r="U1067" s="3">
        <f t="shared" si="569"/>
        <v>100000</v>
      </c>
    </row>
    <row r="1068" spans="1:22" ht="23.1" customHeight="1" x14ac:dyDescent="0.25">
      <c r="A1068" s="1" t="s">
        <v>1548</v>
      </c>
      <c r="B1068" s="9" t="s">
        <v>308</v>
      </c>
      <c r="C1068" s="3">
        <f t="shared" si="550"/>
        <v>1574100</v>
      </c>
      <c r="D1068" s="4">
        <f t="shared" ref="D1068:D1070" si="570">SUM(E1068:J1068)</f>
        <v>0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5">
        <v>0</v>
      </c>
      <c r="L1068" s="4">
        <v>0</v>
      </c>
      <c r="M1068" s="4">
        <v>286.2</v>
      </c>
      <c r="N1068" s="4">
        <f t="shared" ref="N1068:N1070" si="571">M1068*5500</f>
        <v>1574100</v>
      </c>
      <c r="O1068" s="4">
        <v>0</v>
      </c>
      <c r="P1068" s="4">
        <v>0</v>
      </c>
      <c r="Q1068" s="4">
        <v>0</v>
      </c>
      <c r="R1068" s="4">
        <f t="shared" ref="R1068:R1070" si="572">Q1068*3000</f>
        <v>0</v>
      </c>
      <c r="S1068" s="4">
        <v>0</v>
      </c>
      <c r="T1068" s="4">
        <v>0</v>
      </c>
      <c r="U1068" s="4">
        <v>0</v>
      </c>
      <c r="V1068" s="7">
        <f t="shared" ref="V1068:V1070" si="573">N1068/M1068</f>
        <v>5500</v>
      </c>
    </row>
    <row r="1069" spans="1:22" ht="23.1" customHeight="1" x14ac:dyDescent="0.25">
      <c r="A1069" s="1" t="s">
        <v>1549</v>
      </c>
      <c r="B1069" s="9" t="s">
        <v>834</v>
      </c>
      <c r="C1069" s="3">
        <f t="shared" si="550"/>
        <v>3797875</v>
      </c>
      <c r="D1069" s="4">
        <f t="shared" si="570"/>
        <v>992875</v>
      </c>
      <c r="E1069" s="4">
        <f>350*422.5</f>
        <v>147875</v>
      </c>
      <c r="F1069" s="4">
        <f>1050*422.5</f>
        <v>443625</v>
      </c>
      <c r="G1069" s="4">
        <f>300*422.5</f>
        <v>126750</v>
      </c>
      <c r="H1069" s="4">
        <f>400*422.5</f>
        <v>169000</v>
      </c>
      <c r="I1069" s="4">
        <f>250*422.5</f>
        <v>105625</v>
      </c>
      <c r="J1069" s="4">
        <v>0</v>
      </c>
      <c r="K1069" s="5">
        <v>0</v>
      </c>
      <c r="L1069" s="4">
        <v>0</v>
      </c>
      <c r="M1069" s="4">
        <v>290</v>
      </c>
      <c r="N1069" s="4">
        <f t="shared" si="571"/>
        <v>1595000</v>
      </c>
      <c r="O1069" s="4">
        <v>0</v>
      </c>
      <c r="P1069" s="4">
        <v>0</v>
      </c>
      <c r="Q1069" s="4">
        <v>370</v>
      </c>
      <c r="R1069" s="4">
        <f t="shared" si="572"/>
        <v>1110000</v>
      </c>
      <c r="S1069" s="4">
        <v>0</v>
      </c>
      <c r="T1069" s="4">
        <v>0</v>
      </c>
      <c r="U1069" s="4">
        <v>100000</v>
      </c>
      <c r="V1069" s="7">
        <f t="shared" si="573"/>
        <v>5500</v>
      </c>
    </row>
    <row r="1070" spans="1:22" ht="23.1" customHeight="1" x14ac:dyDescent="0.25">
      <c r="A1070" s="1" t="s">
        <v>1550</v>
      </c>
      <c r="B1070" s="9" t="s">
        <v>835</v>
      </c>
      <c r="C1070" s="3">
        <f t="shared" si="550"/>
        <v>1595000</v>
      </c>
      <c r="D1070" s="4">
        <f t="shared" si="570"/>
        <v>0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0</v>
      </c>
      <c r="K1070" s="5">
        <v>0</v>
      </c>
      <c r="L1070" s="4">
        <v>0</v>
      </c>
      <c r="M1070" s="4">
        <v>290</v>
      </c>
      <c r="N1070" s="4">
        <f t="shared" si="571"/>
        <v>1595000</v>
      </c>
      <c r="O1070" s="4">
        <v>0</v>
      </c>
      <c r="P1070" s="4">
        <v>0</v>
      </c>
      <c r="Q1070" s="4">
        <v>0</v>
      </c>
      <c r="R1070" s="4">
        <f t="shared" si="572"/>
        <v>0</v>
      </c>
      <c r="S1070" s="4">
        <v>0</v>
      </c>
      <c r="T1070" s="4">
        <v>0</v>
      </c>
      <c r="U1070" s="4">
        <v>0</v>
      </c>
      <c r="V1070" s="7">
        <f t="shared" si="573"/>
        <v>5500</v>
      </c>
    </row>
    <row r="1071" spans="1:22" ht="42.95" customHeight="1" x14ac:dyDescent="0.25">
      <c r="A1071" s="55" t="s">
        <v>291</v>
      </c>
      <c r="B1071" s="55"/>
      <c r="C1071" s="3">
        <f>SUM(C1072:C1073)</f>
        <v>9376875</v>
      </c>
      <c r="D1071" s="3">
        <f t="shared" ref="D1071:U1071" si="574">SUM(D1072:D1073)</f>
        <v>992875</v>
      </c>
      <c r="E1071" s="3">
        <f t="shared" si="574"/>
        <v>147875</v>
      </c>
      <c r="F1071" s="3">
        <f t="shared" si="574"/>
        <v>443625</v>
      </c>
      <c r="G1071" s="3">
        <f t="shared" si="574"/>
        <v>126750</v>
      </c>
      <c r="H1071" s="3">
        <f t="shared" si="574"/>
        <v>169000</v>
      </c>
      <c r="I1071" s="3">
        <f t="shared" si="574"/>
        <v>105625</v>
      </c>
      <c r="J1071" s="3">
        <f t="shared" si="574"/>
        <v>0</v>
      </c>
      <c r="K1071" s="15">
        <f t="shared" si="574"/>
        <v>0</v>
      </c>
      <c r="L1071" s="3">
        <f t="shared" si="574"/>
        <v>0</v>
      </c>
      <c r="M1071" s="3">
        <f t="shared" si="574"/>
        <v>622</v>
      </c>
      <c r="N1071" s="3">
        <f t="shared" si="574"/>
        <v>3421000</v>
      </c>
      <c r="O1071" s="3">
        <f t="shared" si="574"/>
        <v>0</v>
      </c>
      <c r="P1071" s="3">
        <f t="shared" si="574"/>
        <v>0</v>
      </c>
      <c r="Q1071" s="3">
        <f t="shared" si="574"/>
        <v>1621</v>
      </c>
      <c r="R1071" s="3">
        <f t="shared" si="574"/>
        <v>4863000</v>
      </c>
      <c r="S1071" s="3">
        <f t="shared" si="574"/>
        <v>0</v>
      </c>
      <c r="T1071" s="3">
        <f t="shared" si="574"/>
        <v>0</v>
      </c>
      <c r="U1071" s="3">
        <f t="shared" si="574"/>
        <v>100000</v>
      </c>
    </row>
    <row r="1072" spans="1:22" ht="23.1" customHeight="1" x14ac:dyDescent="0.25">
      <c r="A1072" s="1" t="s">
        <v>1551</v>
      </c>
      <c r="B1072" s="9" t="s">
        <v>294</v>
      </c>
      <c r="C1072" s="3">
        <f t="shared" si="550"/>
        <v>4113000</v>
      </c>
      <c r="D1072" s="4">
        <f t="shared" ref="D1072:D1073" si="575">SUM(E1072:J1072)</f>
        <v>0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5">
        <v>0</v>
      </c>
      <c r="L1072" s="4">
        <v>0</v>
      </c>
      <c r="M1072" s="4">
        <v>300</v>
      </c>
      <c r="N1072" s="4">
        <f t="shared" ref="N1072:N1073" si="576">M1072*5500</f>
        <v>1650000</v>
      </c>
      <c r="O1072" s="4">
        <v>0</v>
      </c>
      <c r="P1072" s="4">
        <v>0</v>
      </c>
      <c r="Q1072" s="4">
        <v>821</v>
      </c>
      <c r="R1072" s="4">
        <f t="shared" ref="R1072:R1073" si="577">Q1072*3000</f>
        <v>2463000</v>
      </c>
      <c r="S1072" s="4">
        <v>0</v>
      </c>
      <c r="T1072" s="4">
        <v>0</v>
      </c>
      <c r="U1072" s="4">
        <v>0</v>
      </c>
      <c r="V1072" s="7">
        <f t="shared" ref="V1072:V1073" si="578">N1072/M1072</f>
        <v>5500</v>
      </c>
    </row>
    <row r="1073" spans="1:22" ht="23.1" customHeight="1" x14ac:dyDescent="0.25">
      <c r="A1073" s="1" t="s">
        <v>1552</v>
      </c>
      <c r="B1073" s="9" t="s">
        <v>295</v>
      </c>
      <c r="C1073" s="3">
        <f t="shared" si="550"/>
        <v>5263875</v>
      </c>
      <c r="D1073" s="4">
        <f t="shared" si="575"/>
        <v>992875</v>
      </c>
      <c r="E1073" s="4">
        <f>350*422.5</f>
        <v>147875</v>
      </c>
      <c r="F1073" s="4">
        <f>1050*422.5</f>
        <v>443625</v>
      </c>
      <c r="G1073" s="4">
        <f>300*422.5</f>
        <v>126750</v>
      </c>
      <c r="H1073" s="4">
        <f>400*422.5</f>
        <v>169000</v>
      </c>
      <c r="I1073" s="4">
        <f>250*422.5</f>
        <v>105625</v>
      </c>
      <c r="J1073" s="4">
        <v>0</v>
      </c>
      <c r="K1073" s="5">
        <v>0</v>
      </c>
      <c r="L1073" s="4">
        <v>0</v>
      </c>
      <c r="M1073" s="4">
        <v>322</v>
      </c>
      <c r="N1073" s="4">
        <f t="shared" si="576"/>
        <v>1771000</v>
      </c>
      <c r="O1073" s="4">
        <v>0</v>
      </c>
      <c r="P1073" s="4">
        <v>0</v>
      </c>
      <c r="Q1073" s="4">
        <v>800</v>
      </c>
      <c r="R1073" s="4">
        <f t="shared" si="577"/>
        <v>2400000</v>
      </c>
      <c r="S1073" s="4">
        <v>0</v>
      </c>
      <c r="T1073" s="4">
        <v>0</v>
      </c>
      <c r="U1073" s="4">
        <v>100000</v>
      </c>
      <c r="V1073" s="7">
        <f t="shared" si="578"/>
        <v>5500</v>
      </c>
    </row>
    <row r="1074" spans="1:22" ht="42.95" customHeight="1" x14ac:dyDescent="0.25">
      <c r="A1074" s="55" t="s">
        <v>314</v>
      </c>
      <c r="B1074" s="55"/>
      <c r="C1074" s="3">
        <f>SUM(C1075:C1076)</f>
        <v>6682100</v>
      </c>
      <c r="D1074" s="3">
        <f t="shared" ref="D1074:U1074" si="579">SUM(D1075:D1076)</f>
        <v>267400</v>
      </c>
      <c r="E1074" s="3">
        <f t="shared" si="579"/>
        <v>267400</v>
      </c>
      <c r="F1074" s="3">
        <f t="shared" si="579"/>
        <v>0</v>
      </c>
      <c r="G1074" s="3">
        <f t="shared" si="579"/>
        <v>0</v>
      </c>
      <c r="H1074" s="3">
        <f t="shared" si="579"/>
        <v>0</v>
      </c>
      <c r="I1074" s="3">
        <f t="shared" si="579"/>
        <v>0</v>
      </c>
      <c r="J1074" s="3">
        <f t="shared" si="579"/>
        <v>0</v>
      </c>
      <c r="K1074" s="15">
        <f t="shared" si="579"/>
        <v>0</v>
      </c>
      <c r="L1074" s="3">
        <f t="shared" si="579"/>
        <v>0</v>
      </c>
      <c r="M1074" s="3">
        <f t="shared" si="579"/>
        <v>608</v>
      </c>
      <c r="N1074" s="3">
        <f t="shared" si="579"/>
        <v>3344000</v>
      </c>
      <c r="O1074" s="3">
        <f t="shared" si="579"/>
        <v>0</v>
      </c>
      <c r="P1074" s="3">
        <f t="shared" si="579"/>
        <v>0</v>
      </c>
      <c r="Q1074" s="3">
        <f t="shared" si="579"/>
        <v>882</v>
      </c>
      <c r="R1074" s="3">
        <f t="shared" si="579"/>
        <v>2646000</v>
      </c>
      <c r="S1074" s="3">
        <f t="shared" si="579"/>
        <v>224700</v>
      </c>
      <c r="T1074" s="3">
        <f t="shared" si="579"/>
        <v>0</v>
      </c>
      <c r="U1074" s="3">
        <f t="shared" si="579"/>
        <v>200000</v>
      </c>
    </row>
    <row r="1075" spans="1:22" ht="23.1" customHeight="1" x14ac:dyDescent="0.25">
      <c r="A1075" s="43" t="s">
        <v>1553</v>
      </c>
      <c r="B1075" s="9" t="s">
        <v>317</v>
      </c>
      <c r="C1075" s="3">
        <f t="shared" si="550"/>
        <v>3156300</v>
      </c>
      <c r="D1075" s="4">
        <f t="shared" ref="D1075:D1076" si="580">SUM(E1075:J1075)</f>
        <v>107800</v>
      </c>
      <c r="E1075" s="6">
        <f>308*350</f>
        <v>107800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12">
        <v>0</v>
      </c>
      <c r="L1075" s="6">
        <v>0</v>
      </c>
      <c r="M1075" s="6">
        <v>280</v>
      </c>
      <c r="N1075" s="4">
        <f t="shared" ref="N1075:N1076" si="581">M1075*5500</f>
        <v>1540000</v>
      </c>
      <c r="O1075" s="6">
        <v>0</v>
      </c>
      <c r="P1075" s="6">
        <v>0</v>
      </c>
      <c r="Q1075" s="6">
        <v>431</v>
      </c>
      <c r="R1075" s="4">
        <f t="shared" ref="R1075:R1076" si="582">Q1075*3000</f>
        <v>1293000</v>
      </c>
      <c r="S1075" s="6">
        <v>115500</v>
      </c>
      <c r="T1075" s="6">
        <v>0</v>
      </c>
      <c r="U1075" s="6">
        <v>100000</v>
      </c>
      <c r="V1075" s="7">
        <f t="shared" ref="V1075:V1076" si="583">N1075/M1075</f>
        <v>5500</v>
      </c>
    </row>
    <row r="1076" spans="1:22" ht="23.1" customHeight="1" x14ac:dyDescent="0.25">
      <c r="A1076" s="43" t="s">
        <v>1554</v>
      </c>
      <c r="B1076" s="9" t="s">
        <v>319</v>
      </c>
      <c r="C1076" s="3">
        <f t="shared" si="550"/>
        <v>3525800</v>
      </c>
      <c r="D1076" s="4">
        <f t="shared" si="580"/>
        <v>159600</v>
      </c>
      <c r="E1076" s="6">
        <f>456*350</f>
        <v>159600</v>
      </c>
      <c r="F1076" s="6">
        <v>0</v>
      </c>
      <c r="G1076" s="6">
        <v>0</v>
      </c>
      <c r="H1076" s="6">
        <v>0</v>
      </c>
      <c r="I1076" s="6">
        <v>0</v>
      </c>
      <c r="J1076" s="6">
        <v>0</v>
      </c>
      <c r="K1076" s="12">
        <v>0</v>
      </c>
      <c r="L1076" s="6">
        <v>0</v>
      </c>
      <c r="M1076" s="6">
        <v>328</v>
      </c>
      <c r="N1076" s="4">
        <f t="shared" si="581"/>
        <v>1804000</v>
      </c>
      <c r="O1076" s="6">
        <v>0</v>
      </c>
      <c r="P1076" s="6">
        <v>0</v>
      </c>
      <c r="Q1076" s="6">
        <v>451</v>
      </c>
      <c r="R1076" s="4">
        <f t="shared" si="582"/>
        <v>1353000</v>
      </c>
      <c r="S1076" s="6">
        <v>109200</v>
      </c>
      <c r="T1076" s="6">
        <v>0</v>
      </c>
      <c r="U1076" s="6">
        <v>100000</v>
      </c>
      <c r="V1076" s="7">
        <f t="shared" si="583"/>
        <v>5500</v>
      </c>
    </row>
    <row r="1077" spans="1:22" ht="42.95" customHeight="1" x14ac:dyDescent="0.25">
      <c r="A1077" s="55" t="s">
        <v>320</v>
      </c>
      <c r="B1077" s="55"/>
      <c r="C1077" s="3">
        <f>SUM(C1078)</f>
        <v>2700450</v>
      </c>
      <c r="D1077" s="3">
        <f t="shared" ref="D1077:U1077" si="584">SUM(D1078)</f>
        <v>0</v>
      </c>
      <c r="E1077" s="3">
        <f t="shared" si="584"/>
        <v>0</v>
      </c>
      <c r="F1077" s="3">
        <f t="shared" si="584"/>
        <v>0</v>
      </c>
      <c r="G1077" s="3">
        <f t="shared" si="584"/>
        <v>0</v>
      </c>
      <c r="H1077" s="3">
        <f t="shared" si="584"/>
        <v>0</v>
      </c>
      <c r="I1077" s="3">
        <f t="shared" si="584"/>
        <v>0</v>
      </c>
      <c r="J1077" s="3">
        <f t="shared" si="584"/>
        <v>0</v>
      </c>
      <c r="K1077" s="15">
        <f t="shared" si="584"/>
        <v>0</v>
      </c>
      <c r="L1077" s="3">
        <f t="shared" si="584"/>
        <v>0</v>
      </c>
      <c r="M1077" s="3">
        <f t="shared" si="584"/>
        <v>321.89999999999998</v>
      </c>
      <c r="N1077" s="3">
        <f t="shared" si="584"/>
        <v>1770449.9999999998</v>
      </c>
      <c r="O1077" s="3">
        <f t="shared" si="584"/>
        <v>0</v>
      </c>
      <c r="P1077" s="3">
        <f t="shared" si="584"/>
        <v>0</v>
      </c>
      <c r="Q1077" s="3">
        <f t="shared" si="584"/>
        <v>310</v>
      </c>
      <c r="R1077" s="3">
        <f t="shared" si="584"/>
        <v>930000</v>
      </c>
      <c r="S1077" s="3">
        <f t="shared" si="584"/>
        <v>0</v>
      </c>
      <c r="T1077" s="3">
        <f t="shared" si="584"/>
        <v>0</v>
      </c>
      <c r="U1077" s="3">
        <f t="shared" si="584"/>
        <v>0</v>
      </c>
      <c r="V1077" s="21">
        <f>C1077</f>
        <v>2700450</v>
      </c>
    </row>
    <row r="1078" spans="1:22" ht="23.1" customHeight="1" x14ac:dyDescent="0.25">
      <c r="A1078" s="24" t="s">
        <v>1555</v>
      </c>
      <c r="B1078" s="9" t="s">
        <v>321</v>
      </c>
      <c r="C1078" s="3">
        <f t="shared" si="550"/>
        <v>2700450</v>
      </c>
      <c r="D1078" s="4">
        <f t="shared" ref="D1078" si="585">SUM(E1078:J1078)</f>
        <v>0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5">
        <v>0</v>
      </c>
      <c r="L1078" s="4">
        <v>0</v>
      </c>
      <c r="M1078" s="4">
        <v>321.89999999999998</v>
      </c>
      <c r="N1078" s="4">
        <f>M1078*5500</f>
        <v>1770449.9999999998</v>
      </c>
      <c r="O1078" s="4">
        <v>0</v>
      </c>
      <c r="P1078" s="4">
        <v>0</v>
      </c>
      <c r="Q1078" s="31">
        <v>310</v>
      </c>
      <c r="R1078" s="4">
        <f>Q1078*3000</f>
        <v>930000</v>
      </c>
      <c r="S1078" s="4">
        <v>0</v>
      </c>
      <c r="T1078" s="4">
        <v>0</v>
      </c>
      <c r="U1078" s="4">
        <v>0</v>
      </c>
      <c r="V1078" s="7">
        <f t="shared" ref="V1078" si="586">N1078/M1078</f>
        <v>5500</v>
      </c>
    </row>
    <row r="1079" spans="1:22" ht="42.95" customHeight="1" x14ac:dyDescent="0.25">
      <c r="A1079" s="55" t="s">
        <v>1203</v>
      </c>
      <c r="B1079" s="55"/>
      <c r="C1079" s="3">
        <f>SUM(C1080)</f>
        <v>3799150</v>
      </c>
      <c r="D1079" s="3">
        <f t="shared" ref="D1079:U1079" si="587">SUM(D1080)</f>
        <v>3699150</v>
      </c>
      <c r="E1079" s="3">
        <f t="shared" si="587"/>
        <v>663950</v>
      </c>
      <c r="F1079" s="3">
        <f t="shared" si="587"/>
        <v>1991850</v>
      </c>
      <c r="G1079" s="3">
        <f t="shared" si="587"/>
        <v>569100</v>
      </c>
      <c r="H1079" s="3">
        <f t="shared" si="587"/>
        <v>0</v>
      </c>
      <c r="I1079" s="3">
        <f t="shared" si="587"/>
        <v>474250</v>
      </c>
      <c r="J1079" s="3">
        <f t="shared" si="587"/>
        <v>0</v>
      </c>
      <c r="K1079" s="15">
        <f t="shared" si="587"/>
        <v>0</v>
      </c>
      <c r="L1079" s="3">
        <f t="shared" si="587"/>
        <v>0</v>
      </c>
      <c r="M1079" s="3">
        <f t="shared" si="587"/>
        <v>0</v>
      </c>
      <c r="N1079" s="3">
        <f t="shared" si="587"/>
        <v>0</v>
      </c>
      <c r="O1079" s="3">
        <f t="shared" si="587"/>
        <v>0</v>
      </c>
      <c r="P1079" s="3">
        <f t="shared" si="587"/>
        <v>0</v>
      </c>
      <c r="Q1079" s="3">
        <f t="shared" si="587"/>
        <v>0</v>
      </c>
      <c r="R1079" s="3">
        <f t="shared" si="587"/>
        <v>0</v>
      </c>
      <c r="S1079" s="3">
        <f t="shared" si="587"/>
        <v>0</v>
      </c>
      <c r="T1079" s="3">
        <f t="shared" si="587"/>
        <v>0</v>
      </c>
      <c r="U1079" s="3">
        <f t="shared" si="587"/>
        <v>100000</v>
      </c>
      <c r="V1079" s="21">
        <f>C1079</f>
        <v>3799150</v>
      </c>
    </row>
    <row r="1080" spans="1:22" ht="23.1" customHeight="1" x14ac:dyDescent="0.25">
      <c r="A1080" s="1" t="s">
        <v>1921</v>
      </c>
      <c r="B1080" s="9" t="s">
        <v>324</v>
      </c>
      <c r="C1080" s="3">
        <f t="shared" si="550"/>
        <v>3799150</v>
      </c>
      <c r="D1080" s="4">
        <f t="shared" ref="D1080" si="588">SUM(E1080:J1080)</f>
        <v>3699150</v>
      </c>
      <c r="E1080" s="4">
        <f>350*1897</f>
        <v>663950</v>
      </c>
      <c r="F1080" s="4">
        <f>1050*1897</f>
        <v>1991850</v>
      </c>
      <c r="G1080" s="4">
        <f>300*1897</f>
        <v>569100</v>
      </c>
      <c r="H1080" s="4">
        <f>400*0</f>
        <v>0</v>
      </c>
      <c r="I1080" s="4">
        <f>250*1897</f>
        <v>474250</v>
      </c>
      <c r="J1080" s="4">
        <v>0</v>
      </c>
      <c r="K1080" s="5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100000</v>
      </c>
      <c r="V1080" s="7" t="e">
        <f t="shared" ref="V1080" si="589">N1080/M1080</f>
        <v>#DIV/0!</v>
      </c>
    </row>
    <row r="1081" spans="1:22" ht="42.95" customHeight="1" x14ac:dyDescent="0.25">
      <c r="A1081" s="55" t="s">
        <v>1202</v>
      </c>
      <c r="B1081" s="55"/>
      <c r="C1081" s="3">
        <f>SUM(C1082)</f>
        <v>2248490</v>
      </c>
      <c r="D1081" s="3">
        <f t="shared" ref="D1081:U1081" si="590">SUM(D1082)</f>
        <v>121589.99999999999</v>
      </c>
      <c r="E1081" s="3">
        <f t="shared" si="590"/>
        <v>121589.99999999999</v>
      </c>
      <c r="F1081" s="3">
        <f t="shared" si="590"/>
        <v>0</v>
      </c>
      <c r="G1081" s="3">
        <f t="shared" si="590"/>
        <v>0</v>
      </c>
      <c r="H1081" s="3">
        <f t="shared" si="590"/>
        <v>0</v>
      </c>
      <c r="I1081" s="3">
        <f t="shared" si="590"/>
        <v>0</v>
      </c>
      <c r="J1081" s="3">
        <f t="shared" si="590"/>
        <v>0</v>
      </c>
      <c r="K1081" s="15">
        <f t="shared" si="590"/>
        <v>0</v>
      </c>
      <c r="L1081" s="3">
        <f t="shared" si="590"/>
        <v>0</v>
      </c>
      <c r="M1081" s="3">
        <f t="shared" si="590"/>
        <v>235</v>
      </c>
      <c r="N1081" s="3">
        <f t="shared" si="590"/>
        <v>1292500</v>
      </c>
      <c r="O1081" s="3">
        <f t="shared" si="590"/>
        <v>0</v>
      </c>
      <c r="P1081" s="3">
        <f t="shared" si="590"/>
        <v>0</v>
      </c>
      <c r="Q1081" s="3">
        <f t="shared" si="590"/>
        <v>244.8</v>
      </c>
      <c r="R1081" s="3">
        <f t="shared" si="590"/>
        <v>734400</v>
      </c>
      <c r="S1081" s="3">
        <f t="shared" si="590"/>
        <v>0</v>
      </c>
      <c r="T1081" s="3">
        <f t="shared" si="590"/>
        <v>0</v>
      </c>
      <c r="U1081" s="3">
        <f t="shared" si="590"/>
        <v>100000</v>
      </c>
    </row>
    <row r="1082" spans="1:22" ht="23.1" customHeight="1" x14ac:dyDescent="0.25">
      <c r="A1082" s="1" t="s">
        <v>1556</v>
      </c>
      <c r="B1082" s="9" t="s">
        <v>322</v>
      </c>
      <c r="C1082" s="3">
        <f t="shared" ref="C1082:C1107" si="591">D1082+L1082+N1082+P1082+R1082+S1082+T1082+U1082</f>
        <v>2248490</v>
      </c>
      <c r="D1082" s="4">
        <f t="shared" ref="D1082" si="592">SUM(E1082:J1082)</f>
        <v>121589.99999999999</v>
      </c>
      <c r="E1082" s="4">
        <f>350*347.4</f>
        <v>121589.99999999999</v>
      </c>
      <c r="F1082" s="4">
        <f>1050*0</f>
        <v>0</v>
      </c>
      <c r="G1082" s="4">
        <f>300*0</f>
        <v>0</v>
      </c>
      <c r="H1082" s="4">
        <f>400*0</f>
        <v>0</v>
      </c>
      <c r="I1082" s="4">
        <f>250*0</f>
        <v>0</v>
      </c>
      <c r="J1082" s="4">
        <v>0</v>
      </c>
      <c r="K1082" s="5">
        <v>0</v>
      </c>
      <c r="L1082" s="4">
        <v>0</v>
      </c>
      <c r="M1082" s="4">
        <v>235</v>
      </c>
      <c r="N1082" s="4">
        <f>M1082*5500</f>
        <v>1292500</v>
      </c>
      <c r="O1082" s="4">
        <v>0</v>
      </c>
      <c r="P1082" s="4">
        <v>0</v>
      </c>
      <c r="Q1082" s="4">
        <v>244.8</v>
      </c>
      <c r="R1082" s="4">
        <f>Q1082*3000</f>
        <v>734400</v>
      </c>
      <c r="S1082" s="4">
        <v>0</v>
      </c>
      <c r="T1082" s="4">
        <v>0</v>
      </c>
      <c r="U1082" s="4">
        <v>100000</v>
      </c>
      <c r="V1082" s="7">
        <f t="shared" ref="V1082" si="593">N1082/M1082</f>
        <v>5500</v>
      </c>
    </row>
    <row r="1083" spans="1:22" ht="42.95" customHeight="1" x14ac:dyDescent="0.25">
      <c r="A1083" s="55" t="s">
        <v>326</v>
      </c>
      <c r="B1083" s="55"/>
      <c r="C1083" s="3">
        <f>SUM(C1084:C1085)</f>
        <v>9642500</v>
      </c>
      <c r="D1083" s="3">
        <f t="shared" ref="D1083:U1083" si="594">SUM(D1084:D1085)</f>
        <v>0</v>
      </c>
      <c r="E1083" s="3">
        <f t="shared" si="594"/>
        <v>0</v>
      </c>
      <c r="F1083" s="3">
        <f t="shared" si="594"/>
        <v>0</v>
      </c>
      <c r="G1083" s="3">
        <f t="shared" si="594"/>
        <v>0</v>
      </c>
      <c r="H1083" s="3">
        <f t="shared" si="594"/>
        <v>0</v>
      </c>
      <c r="I1083" s="3">
        <f t="shared" si="594"/>
        <v>0</v>
      </c>
      <c r="J1083" s="3">
        <f t="shared" si="594"/>
        <v>0</v>
      </c>
      <c r="K1083" s="15">
        <f t="shared" si="594"/>
        <v>0</v>
      </c>
      <c r="L1083" s="3">
        <f t="shared" si="594"/>
        <v>0</v>
      </c>
      <c r="M1083" s="3">
        <f t="shared" si="594"/>
        <v>1175</v>
      </c>
      <c r="N1083" s="3">
        <f t="shared" si="594"/>
        <v>6462500</v>
      </c>
      <c r="O1083" s="3">
        <f t="shared" si="594"/>
        <v>0</v>
      </c>
      <c r="P1083" s="3">
        <f t="shared" si="594"/>
        <v>0</v>
      </c>
      <c r="Q1083" s="3">
        <f t="shared" si="594"/>
        <v>1060</v>
      </c>
      <c r="R1083" s="3">
        <f t="shared" si="594"/>
        <v>3180000</v>
      </c>
      <c r="S1083" s="3">
        <f t="shared" si="594"/>
        <v>0</v>
      </c>
      <c r="T1083" s="3">
        <f t="shared" si="594"/>
        <v>0</v>
      </c>
      <c r="U1083" s="3">
        <f t="shared" si="594"/>
        <v>0</v>
      </c>
    </row>
    <row r="1084" spans="1:22" ht="23.1" customHeight="1" x14ac:dyDescent="0.25">
      <c r="A1084" s="24" t="s">
        <v>1557</v>
      </c>
      <c r="B1084" s="9" t="s">
        <v>1384</v>
      </c>
      <c r="C1084" s="3">
        <f t="shared" si="591"/>
        <v>8130000</v>
      </c>
      <c r="D1084" s="4">
        <f t="shared" ref="D1084:D1085" si="595">SUM(E1084:J1084)</f>
        <v>0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12">
        <v>0</v>
      </c>
      <c r="L1084" s="6">
        <v>0</v>
      </c>
      <c r="M1084" s="6">
        <v>900</v>
      </c>
      <c r="N1084" s="4">
        <f t="shared" ref="N1084:N1085" si="596">M1084*5500</f>
        <v>4950000</v>
      </c>
      <c r="O1084" s="6">
        <v>0</v>
      </c>
      <c r="P1084" s="6">
        <v>0</v>
      </c>
      <c r="Q1084" s="6">
        <v>1060</v>
      </c>
      <c r="R1084" s="4">
        <f>Q1084*3000</f>
        <v>3180000</v>
      </c>
      <c r="S1084" s="6">
        <v>0</v>
      </c>
      <c r="T1084" s="6">
        <v>0</v>
      </c>
      <c r="U1084" s="6">
        <v>0</v>
      </c>
      <c r="V1084" s="7">
        <f t="shared" ref="V1084:V1085" si="597">N1084/M1084</f>
        <v>5500</v>
      </c>
    </row>
    <row r="1085" spans="1:22" ht="23.1" customHeight="1" x14ac:dyDescent="0.25">
      <c r="A1085" s="1" t="s">
        <v>1558</v>
      </c>
      <c r="B1085" s="9" t="s">
        <v>329</v>
      </c>
      <c r="C1085" s="3">
        <f t="shared" si="591"/>
        <v>1512500</v>
      </c>
      <c r="D1085" s="4">
        <f t="shared" si="595"/>
        <v>0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5">
        <v>0</v>
      </c>
      <c r="L1085" s="4">
        <v>0</v>
      </c>
      <c r="M1085" s="4">
        <v>275</v>
      </c>
      <c r="N1085" s="4">
        <f t="shared" si="596"/>
        <v>1512500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7">
        <f t="shared" si="597"/>
        <v>5500</v>
      </c>
    </row>
    <row r="1086" spans="1:22" ht="42.95" customHeight="1" x14ac:dyDescent="0.25">
      <c r="A1086" s="55" t="s">
        <v>333</v>
      </c>
      <c r="B1086" s="55"/>
      <c r="C1086" s="3">
        <f>SUM(C1087)</f>
        <v>2363320</v>
      </c>
      <c r="D1086" s="3">
        <f t="shared" ref="D1086:U1086" si="598">SUM(D1087)</f>
        <v>463320</v>
      </c>
      <c r="E1086" s="3">
        <f t="shared" si="598"/>
        <v>180179.99999999997</v>
      </c>
      <c r="F1086" s="3">
        <f t="shared" si="598"/>
        <v>0</v>
      </c>
      <c r="G1086" s="3">
        <f t="shared" si="598"/>
        <v>154440</v>
      </c>
      <c r="H1086" s="3">
        <f t="shared" si="598"/>
        <v>0</v>
      </c>
      <c r="I1086" s="3">
        <f t="shared" si="598"/>
        <v>128699.99999999999</v>
      </c>
      <c r="J1086" s="3">
        <f t="shared" si="598"/>
        <v>0</v>
      </c>
      <c r="K1086" s="15">
        <f t="shared" si="598"/>
        <v>0</v>
      </c>
      <c r="L1086" s="3">
        <f t="shared" si="598"/>
        <v>0</v>
      </c>
      <c r="M1086" s="3">
        <f t="shared" si="598"/>
        <v>0</v>
      </c>
      <c r="N1086" s="3">
        <f t="shared" si="598"/>
        <v>0</v>
      </c>
      <c r="O1086" s="3">
        <f t="shared" si="598"/>
        <v>0</v>
      </c>
      <c r="P1086" s="3">
        <f t="shared" si="598"/>
        <v>0</v>
      </c>
      <c r="Q1086" s="3">
        <f t="shared" si="598"/>
        <v>600</v>
      </c>
      <c r="R1086" s="3">
        <f t="shared" si="598"/>
        <v>1800000</v>
      </c>
      <c r="S1086" s="3">
        <f t="shared" si="598"/>
        <v>0</v>
      </c>
      <c r="T1086" s="3">
        <f t="shared" si="598"/>
        <v>0</v>
      </c>
      <c r="U1086" s="3">
        <f t="shared" si="598"/>
        <v>100000</v>
      </c>
    </row>
    <row r="1087" spans="1:22" ht="23.1" customHeight="1" x14ac:dyDescent="0.25">
      <c r="A1087" s="24" t="s">
        <v>1559</v>
      </c>
      <c r="B1087" s="9" t="s">
        <v>1593</v>
      </c>
      <c r="C1087" s="3">
        <f t="shared" si="591"/>
        <v>2363320</v>
      </c>
      <c r="D1087" s="4">
        <f t="shared" ref="D1087" si="599">SUM(E1087:J1087)</f>
        <v>463320</v>
      </c>
      <c r="E1087" s="4">
        <f>350*514.8</f>
        <v>180179.99999999997</v>
      </c>
      <c r="F1087" s="4">
        <f>1050*0</f>
        <v>0</v>
      </c>
      <c r="G1087" s="4">
        <f>300*514.8</f>
        <v>154440</v>
      </c>
      <c r="H1087" s="4">
        <f>400*0</f>
        <v>0</v>
      </c>
      <c r="I1087" s="4">
        <f>250*514.8</f>
        <v>128699.99999999999</v>
      </c>
      <c r="J1087" s="4">
        <v>0</v>
      </c>
      <c r="K1087" s="12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600</v>
      </c>
      <c r="R1087" s="4">
        <f>Q1087*3000</f>
        <v>1800000</v>
      </c>
      <c r="S1087" s="6">
        <v>0</v>
      </c>
      <c r="T1087" s="6">
        <v>0</v>
      </c>
      <c r="U1087" s="6">
        <v>100000</v>
      </c>
      <c r="V1087" s="7" t="e">
        <f t="shared" ref="V1087" si="600">N1087/M1087</f>
        <v>#DIV/0!</v>
      </c>
    </row>
    <row r="1088" spans="1:22" ht="45" customHeight="1" x14ac:dyDescent="0.25">
      <c r="A1088" s="55" t="s">
        <v>1923</v>
      </c>
      <c r="B1088" s="55"/>
      <c r="C1088" s="3">
        <f>SUM(C1089:C1100)</f>
        <v>105347320</v>
      </c>
      <c r="D1088" s="3">
        <f t="shared" ref="D1088:U1088" si="601">SUM(D1089:D1100)</f>
        <v>28361470</v>
      </c>
      <c r="E1088" s="3">
        <f t="shared" si="601"/>
        <v>4994710</v>
      </c>
      <c r="F1088" s="3">
        <f t="shared" si="601"/>
        <v>14984130</v>
      </c>
      <c r="G1088" s="3">
        <f t="shared" si="601"/>
        <v>4281180</v>
      </c>
      <c r="H1088" s="3">
        <f t="shared" si="601"/>
        <v>533800</v>
      </c>
      <c r="I1088" s="3">
        <f t="shared" si="601"/>
        <v>3567650</v>
      </c>
      <c r="J1088" s="3">
        <f t="shared" si="601"/>
        <v>0</v>
      </c>
      <c r="K1088" s="15">
        <f t="shared" si="601"/>
        <v>0</v>
      </c>
      <c r="L1088" s="3">
        <f t="shared" si="601"/>
        <v>0</v>
      </c>
      <c r="M1088" s="3">
        <f t="shared" si="601"/>
        <v>7026.6</v>
      </c>
      <c r="N1088" s="3">
        <f t="shared" si="601"/>
        <v>38646300</v>
      </c>
      <c r="O1088" s="3">
        <f t="shared" si="601"/>
        <v>382</v>
      </c>
      <c r="P1088" s="3">
        <f t="shared" si="601"/>
        <v>458400</v>
      </c>
      <c r="Q1088" s="3">
        <f t="shared" si="601"/>
        <v>12134.300000000001</v>
      </c>
      <c r="R1088" s="3">
        <f t="shared" si="601"/>
        <v>36402900</v>
      </c>
      <c r="S1088" s="3">
        <f t="shared" si="601"/>
        <v>278250</v>
      </c>
      <c r="T1088" s="3">
        <f t="shared" si="601"/>
        <v>0</v>
      </c>
      <c r="U1088" s="3">
        <f t="shared" si="601"/>
        <v>1200000</v>
      </c>
    </row>
    <row r="1089" spans="1:22" ht="21.95" customHeight="1" x14ac:dyDescent="0.25">
      <c r="A1089" s="1" t="s">
        <v>1560</v>
      </c>
      <c r="B1089" s="9" t="s">
        <v>364</v>
      </c>
      <c r="C1089" s="3">
        <f>D1089+L1089+N1089+P1089+R1089+S1089+T1089+U1089</f>
        <v>14264480</v>
      </c>
      <c r="D1089" s="4">
        <f>SUM(E1089:J1089)</f>
        <v>4281030</v>
      </c>
      <c r="E1089" s="4">
        <f>350*2195.4</f>
        <v>768390</v>
      </c>
      <c r="F1089" s="4">
        <f>1050*2195.4</f>
        <v>2305170</v>
      </c>
      <c r="G1089" s="4">
        <f>300*2195.4</f>
        <v>658620</v>
      </c>
      <c r="H1089" s="4">
        <f t="shared" ref="H1089:H1095" si="602">400*0</f>
        <v>0</v>
      </c>
      <c r="I1089" s="4">
        <f>250*2195.4</f>
        <v>548850</v>
      </c>
      <c r="J1089" s="4">
        <v>0</v>
      </c>
      <c r="K1089" s="5">
        <v>0</v>
      </c>
      <c r="L1089" s="4">
        <v>0</v>
      </c>
      <c r="M1089" s="4">
        <v>901.9</v>
      </c>
      <c r="N1089" s="4">
        <f>M1089*5500</f>
        <v>4960450</v>
      </c>
      <c r="O1089" s="4">
        <v>0</v>
      </c>
      <c r="P1089" s="4">
        <v>0</v>
      </c>
      <c r="Q1089" s="4">
        <v>1641</v>
      </c>
      <c r="R1089" s="4">
        <f>Q1089*3000</f>
        <v>4923000</v>
      </c>
      <c r="S1089" s="4">
        <v>0</v>
      </c>
      <c r="T1089" s="4">
        <v>0</v>
      </c>
      <c r="U1089" s="4">
        <v>100000</v>
      </c>
      <c r="V1089" s="7">
        <f>N1089/M1089</f>
        <v>5500</v>
      </c>
    </row>
    <row r="1090" spans="1:22" ht="21.95" customHeight="1" x14ac:dyDescent="0.25">
      <c r="A1090" s="1" t="s">
        <v>1561</v>
      </c>
      <c r="B1090" s="9" t="s">
        <v>365</v>
      </c>
      <c r="C1090" s="3">
        <f>D1090+L1090+N1090+P1090+R1090+S1090+T1090+U1090</f>
        <v>14095655</v>
      </c>
      <c r="D1090" s="4">
        <f>SUM(E1090:J1090)</f>
        <v>4165005</v>
      </c>
      <c r="E1090" s="4">
        <f>350*2135.9</f>
        <v>747565</v>
      </c>
      <c r="F1090" s="4">
        <f>1050*2135.9</f>
        <v>2242695</v>
      </c>
      <c r="G1090" s="4">
        <f>300*2135.9</f>
        <v>640770</v>
      </c>
      <c r="H1090" s="4">
        <f t="shared" si="602"/>
        <v>0</v>
      </c>
      <c r="I1090" s="4">
        <f>250*2135.9</f>
        <v>533975</v>
      </c>
      <c r="J1090" s="4">
        <v>0</v>
      </c>
      <c r="K1090" s="5">
        <v>0</v>
      </c>
      <c r="L1090" s="4">
        <v>0</v>
      </c>
      <c r="M1090" s="4">
        <v>892.3</v>
      </c>
      <c r="N1090" s="4">
        <f>M1090*5500</f>
        <v>4907650</v>
      </c>
      <c r="O1090" s="4">
        <v>0</v>
      </c>
      <c r="P1090" s="4">
        <v>0</v>
      </c>
      <c r="Q1090" s="4">
        <v>1641</v>
      </c>
      <c r="R1090" s="4">
        <f>Q1090*3000</f>
        <v>4923000</v>
      </c>
      <c r="S1090" s="4">
        <v>0</v>
      </c>
      <c r="T1090" s="4">
        <v>0</v>
      </c>
      <c r="U1090" s="4">
        <v>100000</v>
      </c>
      <c r="V1090" s="7">
        <f>N1090/M1090</f>
        <v>5500</v>
      </c>
    </row>
    <row r="1091" spans="1:22" ht="21.95" customHeight="1" x14ac:dyDescent="0.25">
      <c r="A1091" s="1" t="s">
        <v>1562</v>
      </c>
      <c r="B1091" s="9" t="s">
        <v>366</v>
      </c>
      <c r="C1091" s="3">
        <f>D1091+L1091+N1091+P1091+R1091+S1091+T1091+U1091</f>
        <v>13662160</v>
      </c>
      <c r="D1091" s="4">
        <f>SUM(E1091:J1091)</f>
        <v>4176510</v>
      </c>
      <c r="E1091" s="4">
        <f>350*2141.8</f>
        <v>749630.00000000012</v>
      </c>
      <c r="F1091" s="4">
        <f>1050*2141.8</f>
        <v>2248890</v>
      </c>
      <c r="G1091" s="4">
        <f>300*2141.8</f>
        <v>642540</v>
      </c>
      <c r="H1091" s="4">
        <f t="shared" si="602"/>
        <v>0</v>
      </c>
      <c r="I1091" s="4">
        <f>250*2141.8</f>
        <v>535450</v>
      </c>
      <c r="J1091" s="4">
        <v>0</v>
      </c>
      <c r="K1091" s="5">
        <v>0</v>
      </c>
      <c r="L1091" s="4">
        <v>0</v>
      </c>
      <c r="M1091" s="4">
        <v>811.5</v>
      </c>
      <c r="N1091" s="4">
        <f>M1091*5500</f>
        <v>4463250</v>
      </c>
      <c r="O1091" s="4">
        <v>0</v>
      </c>
      <c r="P1091" s="4">
        <v>0</v>
      </c>
      <c r="Q1091" s="4">
        <v>1640.8</v>
      </c>
      <c r="R1091" s="4">
        <f>Q1091*3000</f>
        <v>4922400</v>
      </c>
      <c r="S1091" s="4">
        <v>0</v>
      </c>
      <c r="T1091" s="4">
        <v>0</v>
      </c>
      <c r="U1091" s="4">
        <v>100000</v>
      </c>
      <c r="V1091" s="7">
        <f>N1091/M1091</f>
        <v>5500</v>
      </c>
    </row>
    <row r="1092" spans="1:22" ht="21.95" customHeight="1" x14ac:dyDescent="0.25">
      <c r="A1092" s="1" t="s">
        <v>1563</v>
      </c>
      <c r="B1092" s="9" t="s">
        <v>360</v>
      </c>
      <c r="C1092" s="3">
        <f t="shared" si="591"/>
        <v>5099555</v>
      </c>
      <c r="D1092" s="4">
        <f t="shared" ref="D1092:D1100" si="603">SUM(E1092:J1092)</f>
        <v>1582255</v>
      </c>
      <c r="E1092" s="4">
        <f>350*673.3</f>
        <v>235654.99999999997</v>
      </c>
      <c r="F1092" s="4">
        <f>1050*673.3</f>
        <v>706965</v>
      </c>
      <c r="G1092" s="4">
        <f>300*673.3</f>
        <v>201990</v>
      </c>
      <c r="H1092" s="4">
        <f>400*673.3</f>
        <v>269320</v>
      </c>
      <c r="I1092" s="4">
        <f>250*673.3</f>
        <v>168325</v>
      </c>
      <c r="J1092" s="4">
        <v>0</v>
      </c>
      <c r="K1092" s="5">
        <v>0</v>
      </c>
      <c r="L1092" s="4">
        <v>0</v>
      </c>
      <c r="M1092" s="4">
        <v>378.6</v>
      </c>
      <c r="N1092" s="4">
        <f t="shared" ref="N1092:N1094" si="604">M1092*5500</f>
        <v>2082300.0000000002</v>
      </c>
      <c r="O1092" s="4">
        <v>0</v>
      </c>
      <c r="P1092" s="4">
        <v>0</v>
      </c>
      <c r="Q1092" s="4">
        <v>445</v>
      </c>
      <c r="R1092" s="4">
        <f t="shared" ref="R1092:R1100" si="605">Q1092*3000</f>
        <v>1335000</v>
      </c>
      <c r="S1092" s="4">
        <v>0</v>
      </c>
      <c r="T1092" s="4">
        <v>0</v>
      </c>
      <c r="U1092" s="4">
        <v>100000</v>
      </c>
      <c r="V1092" s="7">
        <f t="shared" ref="V1092:V1100" si="606">N1092/M1092</f>
        <v>5500</v>
      </c>
    </row>
    <row r="1093" spans="1:22" ht="21.95" customHeight="1" x14ac:dyDescent="0.25">
      <c r="A1093" s="1" t="s">
        <v>1564</v>
      </c>
      <c r="B1093" s="9" t="s">
        <v>361</v>
      </c>
      <c r="C1093" s="3">
        <f t="shared" si="591"/>
        <v>11272255</v>
      </c>
      <c r="D1093" s="4">
        <f t="shared" si="603"/>
        <v>3642405</v>
      </c>
      <c r="E1093" s="4">
        <f>350*1867.9</f>
        <v>653765</v>
      </c>
      <c r="F1093" s="4">
        <f>1050*1867.9</f>
        <v>1961295</v>
      </c>
      <c r="G1093" s="4">
        <f>300*1867.9</f>
        <v>560370</v>
      </c>
      <c r="H1093" s="4">
        <f t="shared" si="602"/>
        <v>0</v>
      </c>
      <c r="I1093" s="4">
        <f>250*1867.9</f>
        <v>466975</v>
      </c>
      <c r="J1093" s="4">
        <v>0</v>
      </c>
      <c r="K1093" s="5">
        <v>0</v>
      </c>
      <c r="L1093" s="4">
        <v>0</v>
      </c>
      <c r="M1093" s="4">
        <v>794.7</v>
      </c>
      <c r="N1093" s="4">
        <f t="shared" si="604"/>
        <v>4370850</v>
      </c>
      <c r="O1093" s="4">
        <v>0</v>
      </c>
      <c r="P1093" s="4">
        <v>0</v>
      </c>
      <c r="Q1093" s="4">
        <v>1053</v>
      </c>
      <c r="R1093" s="4">
        <f t="shared" si="605"/>
        <v>3159000</v>
      </c>
      <c r="S1093" s="4">
        <v>0</v>
      </c>
      <c r="T1093" s="4">
        <v>0</v>
      </c>
      <c r="U1093" s="4">
        <v>100000</v>
      </c>
      <c r="V1093" s="7">
        <f t="shared" si="606"/>
        <v>5500</v>
      </c>
    </row>
    <row r="1094" spans="1:22" ht="21.95" customHeight="1" x14ac:dyDescent="0.25">
      <c r="A1094" s="1" t="s">
        <v>1565</v>
      </c>
      <c r="B1094" s="9" t="s">
        <v>362</v>
      </c>
      <c r="C1094" s="3">
        <f t="shared" si="591"/>
        <v>8429460</v>
      </c>
      <c r="D1094" s="4">
        <f t="shared" si="603"/>
        <v>1795560</v>
      </c>
      <c r="E1094" s="4">
        <f>350*920.8</f>
        <v>322280</v>
      </c>
      <c r="F1094" s="4">
        <f>1050*920.8</f>
        <v>966840</v>
      </c>
      <c r="G1094" s="4">
        <f>300*920.8</f>
        <v>276240</v>
      </c>
      <c r="H1094" s="4">
        <f t="shared" si="602"/>
        <v>0</v>
      </c>
      <c r="I1094" s="4">
        <f>250*920.8</f>
        <v>230200</v>
      </c>
      <c r="J1094" s="4">
        <v>0</v>
      </c>
      <c r="K1094" s="5">
        <v>0</v>
      </c>
      <c r="L1094" s="4">
        <v>0</v>
      </c>
      <c r="M1094" s="4">
        <v>759.8</v>
      </c>
      <c r="N1094" s="4">
        <f t="shared" si="604"/>
        <v>4178899.9999999995</v>
      </c>
      <c r="O1094" s="4">
        <v>0</v>
      </c>
      <c r="P1094" s="4">
        <v>0</v>
      </c>
      <c r="Q1094" s="4">
        <v>785</v>
      </c>
      <c r="R1094" s="4">
        <f t="shared" si="605"/>
        <v>2355000</v>
      </c>
      <c r="S1094" s="4">
        <v>0</v>
      </c>
      <c r="T1094" s="4">
        <v>0</v>
      </c>
      <c r="U1094" s="4">
        <v>100000</v>
      </c>
      <c r="V1094" s="7">
        <f t="shared" si="606"/>
        <v>5500</v>
      </c>
    </row>
    <row r="1095" spans="1:22" ht="21.95" customHeight="1" x14ac:dyDescent="0.25">
      <c r="A1095" s="1" t="s">
        <v>1566</v>
      </c>
      <c r="B1095" s="9" t="s">
        <v>363</v>
      </c>
      <c r="C1095" s="3">
        <f t="shared" si="591"/>
        <v>4723690</v>
      </c>
      <c r="D1095" s="4">
        <f t="shared" si="603"/>
        <v>1790490</v>
      </c>
      <c r="E1095" s="4">
        <f>350*918.2</f>
        <v>321370</v>
      </c>
      <c r="F1095" s="4">
        <f>1050*918.2</f>
        <v>964110</v>
      </c>
      <c r="G1095" s="4">
        <f>300*918.2</f>
        <v>275460</v>
      </c>
      <c r="H1095" s="4">
        <f t="shared" si="602"/>
        <v>0</v>
      </c>
      <c r="I1095" s="4">
        <f>250*918.2</f>
        <v>229550</v>
      </c>
      <c r="J1095" s="4">
        <v>0</v>
      </c>
      <c r="K1095" s="5">
        <v>0</v>
      </c>
      <c r="L1095" s="4">
        <v>0</v>
      </c>
      <c r="M1095" s="4">
        <v>0</v>
      </c>
      <c r="N1095" s="4">
        <v>0</v>
      </c>
      <c r="O1095" s="4">
        <v>382</v>
      </c>
      <c r="P1095" s="4">
        <v>458400</v>
      </c>
      <c r="Q1095" s="4">
        <v>791.6</v>
      </c>
      <c r="R1095" s="4">
        <f t="shared" si="605"/>
        <v>2374800</v>
      </c>
      <c r="S1095" s="4">
        <v>0</v>
      </c>
      <c r="T1095" s="4">
        <v>0</v>
      </c>
      <c r="U1095" s="4">
        <v>100000</v>
      </c>
      <c r="V1095" s="7" t="e">
        <f t="shared" si="606"/>
        <v>#DIV/0!</v>
      </c>
    </row>
    <row r="1096" spans="1:22" ht="21.95" customHeight="1" x14ac:dyDescent="0.25">
      <c r="A1096" s="1" t="s">
        <v>1939</v>
      </c>
      <c r="B1096" s="9" t="s">
        <v>367</v>
      </c>
      <c r="C1096" s="3">
        <f t="shared" si="591"/>
        <v>8331810</v>
      </c>
      <c r="D1096" s="4">
        <f t="shared" si="603"/>
        <v>1553820</v>
      </c>
      <c r="E1096" s="4">
        <f>350*661.2</f>
        <v>231420.00000000003</v>
      </c>
      <c r="F1096" s="4">
        <f>1050*661.2</f>
        <v>694260</v>
      </c>
      <c r="G1096" s="4">
        <f>300*661.2</f>
        <v>198360</v>
      </c>
      <c r="H1096" s="4">
        <f>400*661.2</f>
        <v>264480</v>
      </c>
      <c r="I1096" s="4">
        <f>250*661.2</f>
        <v>165300</v>
      </c>
      <c r="J1096" s="4">
        <v>0</v>
      </c>
      <c r="K1096" s="5">
        <v>0</v>
      </c>
      <c r="L1096" s="4">
        <v>0</v>
      </c>
      <c r="M1096" s="4">
        <v>560.29999999999995</v>
      </c>
      <c r="N1096" s="4">
        <f t="shared" ref="N1096:N1100" si="607">M1096*5500</f>
        <v>3081649.9999999995</v>
      </c>
      <c r="O1096" s="4">
        <v>0</v>
      </c>
      <c r="P1096" s="4">
        <v>0</v>
      </c>
      <c r="Q1096" s="4">
        <v>1152.3</v>
      </c>
      <c r="R1096" s="4">
        <f t="shared" si="605"/>
        <v>3456900</v>
      </c>
      <c r="S1096" s="4">
        <v>139440</v>
      </c>
      <c r="T1096" s="4">
        <v>0</v>
      </c>
      <c r="U1096" s="4">
        <v>100000</v>
      </c>
      <c r="V1096" s="7">
        <f t="shared" si="606"/>
        <v>5500</v>
      </c>
    </row>
    <row r="1097" spans="1:22" ht="21.95" customHeight="1" x14ac:dyDescent="0.25">
      <c r="A1097" s="1" t="s">
        <v>1940</v>
      </c>
      <c r="B1097" s="9" t="s">
        <v>368</v>
      </c>
      <c r="C1097" s="3">
        <f t="shared" si="591"/>
        <v>8257650</v>
      </c>
      <c r="D1097" s="4">
        <f t="shared" si="603"/>
        <v>1437540</v>
      </c>
      <c r="E1097" s="4">
        <f>350*737.2</f>
        <v>258020.00000000003</v>
      </c>
      <c r="F1097" s="4">
        <f>1050*737.2</f>
        <v>774060</v>
      </c>
      <c r="G1097" s="4">
        <f>300*737.2</f>
        <v>221160</v>
      </c>
      <c r="H1097" s="4">
        <f>400*0</f>
        <v>0</v>
      </c>
      <c r="I1097" s="4">
        <f>250*737.2</f>
        <v>184300</v>
      </c>
      <c r="J1097" s="4">
        <v>0</v>
      </c>
      <c r="K1097" s="5">
        <v>0</v>
      </c>
      <c r="L1097" s="4">
        <v>0</v>
      </c>
      <c r="M1097" s="4">
        <v>569</v>
      </c>
      <c r="N1097" s="4">
        <f t="shared" si="607"/>
        <v>3129500</v>
      </c>
      <c r="O1097" s="4">
        <v>0</v>
      </c>
      <c r="P1097" s="4">
        <v>0</v>
      </c>
      <c r="Q1097" s="4">
        <v>1150.5999999999999</v>
      </c>
      <c r="R1097" s="4">
        <f t="shared" si="605"/>
        <v>3451799.9999999995</v>
      </c>
      <c r="S1097" s="4">
        <v>138810</v>
      </c>
      <c r="T1097" s="4">
        <v>0</v>
      </c>
      <c r="U1097" s="4">
        <v>100000</v>
      </c>
      <c r="V1097" s="7">
        <f t="shared" si="606"/>
        <v>5500</v>
      </c>
    </row>
    <row r="1098" spans="1:22" ht="21.95" customHeight="1" x14ac:dyDescent="0.25">
      <c r="A1098" s="1" t="s">
        <v>1941</v>
      </c>
      <c r="B1098" s="9" t="s">
        <v>369</v>
      </c>
      <c r="C1098" s="3">
        <f t="shared" si="591"/>
        <v>6635965</v>
      </c>
      <c r="D1098" s="4">
        <f t="shared" si="603"/>
        <v>1426815</v>
      </c>
      <c r="E1098" s="4">
        <f>350*731.7</f>
        <v>256095.00000000003</v>
      </c>
      <c r="F1098" s="4">
        <f>1050*731.7</f>
        <v>768285</v>
      </c>
      <c r="G1098" s="4">
        <f>300*731.7</f>
        <v>219510</v>
      </c>
      <c r="H1098" s="4">
        <f>400*0</f>
        <v>0</v>
      </c>
      <c r="I1098" s="4">
        <f>250*731.7</f>
        <v>182925</v>
      </c>
      <c r="J1098" s="4">
        <v>0</v>
      </c>
      <c r="K1098" s="5">
        <v>0</v>
      </c>
      <c r="L1098" s="4">
        <v>0</v>
      </c>
      <c r="M1098" s="4">
        <v>561.29999999999995</v>
      </c>
      <c r="N1098" s="4">
        <f t="shared" si="607"/>
        <v>3087149.9999999995</v>
      </c>
      <c r="O1098" s="4">
        <v>0</v>
      </c>
      <c r="P1098" s="4">
        <v>0</v>
      </c>
      <c r="Q1098" s="4">
        <v>674</v>
      </c>
      <c r="R1098" s="4">
        <f t="shared" si="605"/>
        <v>2022000</v>
      </c>
      <c r="S1098" s="4">
        <v>0</v>
      </c>
      <c r="T1098" s="4">
        <v>0</v>
      </c>
      <c r="U1098" s="4">
        <v>100000</v>
      </c>
      <c r="V1098" s="7">
        <f t="shared" si="606"/>
        <v>5500</v>
      </c>
    </row>
    <row r="1099" spans="1:22" ht="21.95" customHeight="1" x14ac:dyDescent="0.25">
      <c r="A1099" s="1" t="s">
        <v>1942</v>
      </c>
      <c r="B1099" s="9" t="s">
        <v>370</v>
      </c>
      <c r="C1099" s="3">
        <f t="shared" si="591"/>
        <v>6904010</v>
      </c>
      <c r="D1099" s="4">
        <f t="shared" si="603"/>
        <v>1684410</v>
      </c>
      <c r="E1099" s="4">
        <f>350*863.8</f>
        <v>302330</v>
      </c>
      <c r="F1099" s="4">
        <f>1050*863.8</f>
        <v>906990</v>
      </c>
      <c r="G1099" s="4">
        <f>300*863.8</f>
        <v>259140</v>
      </c>
      <c r="H1099" s="4">
        <f>400*0</f>
        <v>0</v>
      </c>
      <c r="I1099" s="4">
        <f>250*863.8</f>
        <v>215950</v>
      </c>
      <c r="J1099" s="4">
        <v>0</v>
      </c>
      <c r="K1099" s="5">
        <v>0</v>
      </c>
      <c r="L1099" s="4">
        <v>0</v>
      </c>
      <c r="M1099" s="4">
        <v>557.20000000000005</v>
      </c>
      <c r="N1099" s="4">
        <f t="shared" si="607"/>
        <v>3064600.0000000005</v>
      </c>
      <c r="O1099" s="4">
        <v>0</v>
      </c>
      <c r="P1099" s="4">
        <v>0</v>
      </c>
      <c r="Q1099" s="4">
        <v>685</v>
      </c>
      <c r="R1099" s="4">
        <f t="shared" si="605"/>
        <v>2055000</v>
      </c>
      <c r="S1099" s="4">
        <v>0</v>
      </c>
      <c r="T1099" s="4">
        <v>0</v>
      </c>
      <c r="U1099" s="4">
        <v>100000</v>
      </c>
      <c r="V1099" s="7">
        <f t="shared" si="606"/>
        <v>5500</v>
      </c>
    </row>
    <row r="1100" spans="1:22" ht="21.95" customHeight="1" x14ac:dyDescent="0.25">
      <c r="A1100" s="1" t="s">
        <v>1943</v>
      </c>
      <c r="B1100" s="9" t="s">
        <v>371</v>
      </c>
      <c r="C1100" s="3">
        <f t="shared" si="591"/>
        <v>3670630</v>
      </c>
      <c r="D1100" s="4">
        <f t="shared" si="603"/>
        <v>825630</v>
      </c>
      <c r="E1100" s="4">
        <f>350*423.4</f>
        <v>148190</v>
      </c>
      <c r="F1100" s="4">
        <f>1050*423.4</f>
        <v>444570</v>
      </c>
      <c r="G1100" s="4">
        <f>300*423.4</f>
        <v>127020</v>
      </c>
      <c r="H1100" s="4">
        <f>400*0</f>
        <v>0</v>
      </c>
      <c r="I1100" s="4">
        <f>250*423.4</f>
        <v>105850</v>
      </c>
      <c r="J1100" s="4">
        <v>0</v>
      </c>
      <c r="K1100" s="5">
        <v>0</v>
      </c>
      <c r="L1100" s="4">
        <v>0</v>
      </c>
      <c r="M1100" s="4">
        <v>240</v>
      </c>
      <c r="N1100" s="4">
        <f t="shared" si="607"/>
        <v>1320000</v>
      </c>
      <c r="O1100" s="4">
        <v>0</v>
      </c>
      <c r="P1100" s="4">
        <v>0</v>
      </c>
      <c r="Q1100" s="4">
        <v>475</v>
      </c>
      <c r="R1100" s="4">
        <f t="shared" si="605"/>
        <v>1425000</v>
      </c>
      <c r="S1100" s="4">
        <v>0</v>
      </c>
      <c r="T1100" s="4">
        <v>0</v>
      </c>
      <c r="U1100" s="4">
        <v>100000</v>
      </c>
      <c r="V1100" s="7">
        <f t="shared" si="606"/>
        <v>5500</v>
      </c>
    </row>
    <row r="1101" spans="1:22" ht="45" customHeight="1" x14ac:dyDescent="0.25">
      <c r="A1101" s="55" t="s">
        <v>1618</v>
      </c>
      <c r="B1101" s="55"/>
      <c r="C1101" s="3">
        <f>SUM(C1102:C1104)</f>
        <v>5211600</v>
      </c>
      <c r="D1101" s="3">
        <f t="shared" ref="D1101:U1101" si="608">SUM(D1102:D1104)</f>
        <v>0</v>
      </c>
      <c r="E1101" s="3">
        <f t="shared" si="608"/>
        <v>0</v>
      </c>
      <c r="F1101" s="3">
        <f t="shared" si="608"/>
        <v>0</v>
      </c>
      <c r="G1101" s="3">
        <f t="shared" si="608"/>
        <v>0</v>
      </c>
      <c r="H1101" s="3">
        <f t="shared" si="608"/>
        <v>0</v>
      </c>
      <c r="I1101" s="3">
        <f t="shared" si="608"/>
        <v>0</v>
      </c>
      <c r="J1101" s="3">
        <f t="shared" si="608"/>
        <v>0</v>
      </c>
      <c r="K1101" s="3">
        <f t="shared" si="608"/>
        <v>0</v>
      </c>
      <c r="L1101" s="3">
        <f t="shared" si="608"/>
        <v>0</v>
      </c>
      <c r="M1101" s="3">
        <f t="shared" si="608"/>
        <v>600</v>
      </c>
      <c r="N1101" s="3">
        <f t="shared" si="608"/>
        <v>2211600</v>
      </c>
      <c r="O1101" s="3">
        <f t="shared" si="608"/>
        <v>0</v>
      </c>
      <c r="P1101" s="3">
        <f t="shared" si="608"/>
        <v>0</v>
      </c>
      <c r="Q1101" s="3">
        <f t="shared" si="608"/>
        <v>800</v>
      </c>
      <c r="R1101" s="3">
        <f t="shared" si="608"/>
        <v>2400000</v>
      </c>
      <c r="S1101" s="3">
        <f t="shared" si="608"/>
        <v>0</v>
      </c>
      <c r="T1101" s="3">
        <f t="shared" si="608"/>
        <v>0</v>
      </c>
      <c r="U1101" s="3">
        <f t="shared" si="608"/>
        <v>600000</v>
      </c>
      <c r="V1101" s="21">
        <f>C1101</f>
        <v>5211600</v>
      </c>
    </row>
    <row r="1102" spans="1:22" ht="23.25" customHeight="1" x14ac:dyDescent="0.25">
      <c r="A1102" s="24" t="s">
        <v>1944</v>
      </c>
      <c r="B1102" s="9" t="s">
        <v>1936</v>
      </c>
      <c r="C1102" s="3">
        <f t="shared" ref="C1102" si="609">D1102+L1102+N1102+P1102+R1102+S1102+T1102+U1102</f>
        <v>300000</v>
      </c>
      <c r="D1102" s="4">
        <f t="shared" ref="D1102" si="610">SUM(E1102:J1102)</f>
        <v>0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5">
        <v>0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300000</v>
      </c>
      <c r="V1102" s="21"/>
    </row>
    <row r="1103" spans="1:22" ht="21.95" customHeight="1" x14ac:dyDescent="0.25">
      <c r="A1103" s="24" t="s">
        <v>1945</v>
      </c>
      <c r="B1103" s="9" t="s">
        <v>1619</v>
      </c>
      <c r="C1103" s="3">
        <f t="shared" ref="C1103" si="611">D1103+L1103+N1103+P1103+R1103+S1103+T1103+U1103</f>
        <v>4611600</v>
      </c>
      <c r="D1103" s="4">
        <f t="shared" ref="D1103" si="612">SUM(E1103:J1103)</f>
        <v>0</v>
      </c>
      <c r="E1103" s="4">
        <v>0</v>
      </c>
      <c r="F1103" s="4">
        <f>1050*0</f>
        <v>0</v>
      </c>
      <c r="G1103" s="4">
        <f>300*0</f>
        <v>0</v>
      </c>
      <c r="H1103" s="4">
        <f>400*0</f>
        <v>0</v>
      </c>
      <c r="I1103" s="4">
        <f>250*0</f>
        <v>0</v>
      </c>
      <c r="J1103" s="4">
        <v>0</v>
      </c>
      <c r="K1103" s="5">
        <v>0</v>
      </c>
      <c r="L1103" s="4">
        <v>0</v>
      </c>
      <c r="M1103" s="4">
        <v>600</v>
      </c>
      <c r="N1103" s="4">
        <f>M1103*3686</f>
        <v>2211600</v>
      </c>
      <c r="O1103" s="4">
        <v>0</v>
      </c>
      <c r="P1103" s="4">
        <v>0</v>
      </c>
      <c r="Q1103" s="4">
        <v>800</v>
      </c>
      <c r="R1103" s="4">
        <f t="shared" ref="R1103" si="613">Q1103*3000</f>
        <v>2400000</v>
      </c>
      <c r="S1103" s="4">
        <v>0</v>
      </c>
      <c r="T1103" s="4">
        <v>0</v>
      </c>
      <c r="U1103" s="4">
        <v>0</v>
      </c>
      <c r="V1103" s="7">
        <f t="shared" ref="V1103" si="614">N1103/M1103</f>
        <v>3686</v>
      </c>
    </row>
    <row r="1104" spans="1:22" ht="21.95" customHeight="1" x14ac:dyDescent="0.25">
      <c r="A1104" s="24" t="s">
        <v>1946</v>
      </c>
      <c r="B1104" s="9" t="s">
        <v>1935</v>
      </c>
      <c r="C1104" s="3">
        <f t="shared" ref="C1104" si="615">D1104+L1104+N1104+P1104+R1104+S1104+T1104+U1104</f>
        <v>300000</v>
      </c>
      <c r="D1104" s="4">
        <f t="shared" ref="D1104" si="616">SUM(E1104:J1104)</f>
        <v>0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5">
        <v>0</v>
      </c>
      <c r="L1104" s="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300000</v>
      </c>
    </row>
    <row r="1105" spans="1:22" ht="45" customHeight="1" x14ac:dyDescent="0.25">
      <c r="A1105" s="55" t="s">
        <v>376</v>
      </c>
      <c r="B1105" s="55"/>
      <c r="C1105" s="3">
        <f>SUM(C1106:C1107)</f>
        <v>6765250</v>
      </c>
      <c r="D1105" s="3">
        <f t="shared" ref="D1105:U1105" si="617">SUM(D1106:D1107)</f>
        <v>190050</v>
      </c>
      <c r="E1105" s="3">
        <f t="shared" si="617"/>
        <v>190050</v>
      </c>
      <c r="F1105" s="3">
        <f t="shared" si="617"/>
        <v>0</v>
      </c>
      <c r="G1105" s="3">
        <f t="shared" si="617"/>
        <v>0</v>
      </c>
      <c r="H1105" s="3">
        <f t="shared" si="617"/>
        <v>0</v>
      </c>
      <c r="I1105" s="3">
        <f t="shared" si="617"/>
        <v>0</v>
      </c>
      <c r="J1105" s="3">
        <f t="shared" si="617"/>
        <v>0</v>
      </c>
      <c r="K1105" s="15">
        <f t="shared" si="617"/>
        <v>0</v>
      </c>
      <c r="L1105" s="3">
        <f t="shared" si="617"/>
        <v>0</v>
      </c>
      <c r="M1105" s="3">
        <f t="shared" si="617"/>
        <v>800</v>
      </c>
      <c r="N1105" s="3">
        <f t="shared" si="617"/>
        <v>4400000</v>
      </c>
      <c r="O1105" s="3">
        <f t="shared" si="617"/>
        <v>0</v>
      </c>
      <c r="P1105" s="3">
        <f t="shared" si="617"/>
        <v>0</v>
      </c>
      <c r="Q1105" s="3">
        <f t="shared" si="617"/>
        <v>658.4</v>
      </c>
      <c r="R1105" s="3">
        <f t="shared" si="617"/>
        <v>1975200</v>
      </c>
      <c r="S1105" s="3">
        <f t="shared" si="617"/>
        <v>0</v>
      </c>
      <c r="T1105" s="3">
        <f t="shared" si="617"/>
        <v>0</v>
      </c>
      <c r="U1105" s="3">
        <f t="shared" si="617"/>
        <v>200000</v>
      </c>
      <c r="V1105" s="21">
        <f>C1105</f>
        <v>6765250</v>
      </c>
    </row>
    <row r="1106" spans="1:22" ht="21.95" customHeight="1" x14ac:dyDescent="0.25">
      <c r="A1106" s="1" t="s">
        <v>1947</v>
      </c>
      <c r="B1106" s="9" t="s">
        <v>373</v>
      </c>
      <c r="C1106" s="3">
        <f t="shared" si="591"/>
        <v>3357320</v>
      </c>
      <c r="D1106" s="4">
        <f t="shared" ref="D1106:D1107" si="618">SUM(E1106:J1106)</f>
        <v>92820</v>
      </c>
      <c r="E1106" s="4">
        <f>350*265.2</f>
        <v>92820</v>
      </c>
      <c r="F1106" s="4">
        <f>1050*0</f>
        <v>0</v>
      </c>
      <c r="G1106" s="4">
        <f>300*0</f>
        <v>0</v>
      </c>
      <c r="H1106" s="4">
        <f>400*0</f>
        <v>0</v>
      </c>
      <c r="I1106" s="4">
        <f>250*0</f>
        <v>0</v>
      </c>
      <c r="J1106" s="4">
        <v>0</v>
      </c>
      <c r="K1106" s="5">
        <v>0</v>
      </c>
      <c r="L1106" s="4">
        <v>0</v>
      </c>
      <c r="M1106" s="4">
        <v>400</v>
      </c>
      <c r="N1106" s="4">
        <f>M1106*5500</f>
        <v>2200000</v>
      </c>
      <c r="O1106" s="4">
        <v>0</v>
      </c>
      <c r="P1106" s="4">
        <v>0</v>
      </c>
      <c r="Q1106" s="4">
        <v>321.5</v>
      </c>
      <c r="R1106" s="4">
        <f t="shared" ref="R1106:R1107" si="619">Q1106*3000</f>
        <v>964500</v>
      </c>
      <c r="S1106" s="4">
        <v>0</v>
      </c>
      <c r="T1106" s="4">
        <v>0</v>
      </c>
      <c r="U1106" s="4">
        <v>100000</v>
      </c>
      <c r="V1106" s="7">
        <f t="shared" ref="V1106:V1107" si="620">N1106/M1106</f>
        <v>5500</v>
      </c>
    </row>
    <row r="1107" spans="1:22" ht="21.95" customHeight="1" x14ac:dyDescent="0.25">
      <c r="A1107" s="1" t="s">
        <v>1948</v>
      </c>
      <c r="B1107" s="9" t="s">
        <v>375</v>
      </c>
      <c r="C1107" s="3">
        <f t="shared" si="591"/>
        <v>3407930</v>
      </c>
      <c r="D1107" s="4">
        <f t="shared" si="618"/>
        <v>97230</v>
      </c>
      <c r="E1107" s="4">
        <f>350*277.8</f>
        <v>97230</v>
      </c>
      <c r="F1107" s="4">
        <f>1050*0</f>
        <v>0</v>
      </c>
      <c r="G1107" s="4">
        <f>300*0</f>
        <v>0</v>
      </c>
      <c r="H1107" s="4">
        <f>400*0</f>
        <v>0</v>
      </c>
      <c r="I1107" s="4">
        <f>250*0</f>
        <v>0</v>
      </c>
      <c r="J1107" s="4">
        <v>0</v>
      </c>
      <c r="K1107" s="5">
        <v>0</v>
      </c>
      <c r="L1107" s="4">
        <v>0</v>
      </c>
      <c r="M1107" s="4">
        <v>400</v>
      </c>
      <c r="N1107" s="4">
        <f>M1107*5500</f>
        <v>2200000</v>
      </c>
      <c r="O1107" s="4">
        <v>0</v>
      </c>
      <c r="P1107" s="4">
        <v>0</v>
      </c>
      <c r="Q1107" s="4">
        <v>336.9</v>
      </c>
      <c r="R1107" s="4">
        <f t="shared" si="619"/>
        <v>1010699.9999999999</v>
      </c>
      <c r="S1107" s="4">
        <v>0</v>
      </c>
      <c r="T1107" s="4">
        <v>0</v>
      </c>
      <c r="U1107" s="4">
        <v>100000</v>
      </c>
      <c r="V1107" s="7">
        <f t="shared" si="620"/>
        <v>5500</v>
      </c>
    </row>
    <row r="1108" spans="1:22" x14ac:dyDescent="0.25">
      <c r="A1108" s="40"/>
      <c r="B1108" s="8"/>
      <c r="C1108" s="34"/>
      <c r="D1108" s="8"/>
      <c r="E1108" s="8"/>
      <c r="F1108" s="8"/>
      <c r="G1108" s="8"/>
      <c r="H1108" s="8"/>
      <c r="I1108" s="8"/>
      <c r="J1108" s="8"/>
      <c r="K1108" s="44"/>
      <c r="L1108" s="8"/>
      <c r="M1108" s="8"/>
      <c r="N1108" s="8"/>
      <c r="O1108" s="34"/>
      <c r="P1108" s="34"/>
      <c r="Q1108" s="34"/>
      <c r="R1108" s="34"/>
      <c r="S1108" s="34"/>
      <c r="T1108" s="34"/>
      <c r="U1108" s="34"/>
    </row>
    <row r="1109" spans="1:22" x14ac:dyDescent="0.25">
      <c r="A1109" s="40"/>
      <c r="B1109" s="8"/>
      <c r="C1109" s="8"/>
      <c r="D1109" s="8"/>
      <c r="E1109" s="8"/>
      <c r="F1109" s="8"/>
      <c r="G1109" s="8"/>
      <c r="H1109" s="8"/>
      <c r="I1109" s="8"/>
      <c r="J1109" s="8"/>
      <c r="K1109" s="44"/>
      <c r="L1109" s="8"/>
      <c r="M1109" s="8"/>
      <c r="N1109" s="8"/>
      <c r="O1109" s="34"/>
      <c r="P1109" s="34"/>
      <c r="Q1109" s="34"/>
      <c r="R1109" s="34"/>
      <c r="S1109" s="34"/>
      <c r="T1109" s="34"/>
      <c r="U1109" s="34"/>
    </row>
  </sheetData>
  <mergeCells count="155">
    <mergeCell ref="A1071:B1071"/>
    <mergeCell ref="A1101:B1101"/>
    <mergeCell ref="T3:U3"/>
    <mergeCell ref="A706:B706"/>
    <mergeCell ref="A724:B724"/>
    <mergeCell ref="A484:B484"/>
    <mergeCell ref="A468:B468"/>
    <mergeCell ref="A444:B444"/>
    <mergeCell ref="A403:B403"/>
    <mergeCell ref="A446:B446"/>
    <mergeCell ref="A409:B409"/>
    <mergeCell ref="A398:B398"/>
    <mergeCell ref="A307:B307"/>
    <mergeCell ref="A711:B711"/>
    <mergeCell ref="A702:B702"/>
    <mergeCell ref="A422:B422"/>
    <mergeCell ref="A491:B491"/>
    <mergeCell ref="A424:B424"/>
    <mergeCell ref="A464:B464"/>
    <mergeCell ref="A378:B378"/>
    <mergeCell ref="A363:B363"/>
    <mergeCell ref="A1067:B1067"/>
    <mergeCell ref="A825:B825"/>
    <mergeCell ref="A367:B367"/>
    <mergeCell ref="A373:B373"/>
    <mergeCell ref="A415:B415"/>
    <mergeCell ref="A395:B395"/>
    <mergeCell ref="A829:B829"/>
    <mergeCell ref="A821:B821"/>
    <mergeCell ref="A760:B760"/>
    <mergeCell ref="A831:B831"/>
    <mergeCell ref="A833:B833"/>
    <mergeCell ref="A761:B761"/>
    <mergeCell ref="A806:B806"/>
    <mergeCell ref="A801:B801"/>
    <mergeCell ref="A784:B784"/>
    <mergeCell ref="A393:B393"/>
    <mergeCell ref="A405:B405"/>
    <mergeCell ref="A456:B456"/>
    <mergeCell ref="A466:B466"/>
    <mergeCell ref="A728:B728"/>
    <mergeCell ref="A754:B754"/>
    <mergeCell ref="A740:B740"/>
    <mergeCell ref="A759:U759"/>
    <mergeCell ref="A734:B734"/>
    <mergeCell ref="A736:B736"/>
    <mergeCell ref="A1061:B1061"/>
    <mergeCell ref="A1:U1"/>
    <mergeCell ref="A3:A6"/>
    <mergeCell ref="B3:B6"/>
    <mergeCell ref="A54:B54"/>
    <mergeCell ref="A33:B33"/>
    <mergeCell ref="A59:B59"/>
    <mergeCell ref="A57:B57"/>
    <mergeCell ref="A47:B47"/>
    <mergeCell ref="A40:B40"/>
    <mergeCell ref="D4:J4"/>
    <mergeCell ref="U4:U5"/>
    <mergeCell ref="T4:T5"/>
    <mergeCell ref="Q4:R5"/>
    <mergeCell ref="O4:P5"/>
    <mergeCell ref="M4:N5"/>
    <mergeCell ref="K4:L5"/>
    <mergeCell ref="C3:C5"/>
    <mergeCell ref="A52:B52"/>
    <mergeCell ref="D3:S3"/>
    <mergeCell ref="A8:B8"/>
    <mergeCell ref="A9:U9"/>
    <mergeCell ref="A10:B10"/>
    <mergeCell ref="A14:B14"/>
    <mergeCell ref="A31:B31"/>
    <mergeCell ref="A35:B35"/>
    <mergeCell ref="A119:B119"/>
    <mergeCell ref="A305:B305"/>
    <mergeCell ref="A77:B77"/>
    <mergeCell ref="A104:B104"/>
    <mergeCell ref="A67:B67"/>
    <mergeCell ref="A63:B63"/>
    <mergeCell ref="A65:B65"/>
    <mergeCell ref="A37:B37"/>
    <mergeCell ref="A43:B43"/>
    <mergeCell ref="A111:B111"/>
    <mergeCell ref="A129:B129"/>
    <mergeCell ref="A11:B11"/>
    <mergeCell ref="A70:B70"/>
    <mergeCell ref="A285:B285"/>
    <mergeCell ref="A29:B29"/>
    <mergeCell ref="A312:B312"/>
    <mergeCell ref="A400:B400"/>
    <mergeCell ref="A135:B135"/>
    <mergeCell ref="A319:B319"/>
    <mergeCell ref="A292:B292"/>
    <mergeCell ref="A299:B299"/>
    <mergeCell ref="A338:B338"/>
    <mergeCell ref="A74:B74"/>
    <mergeCell ref="A72:B72"/>
    <mergeCell ref="A317:B317"/>
    <mergeCell ref="A79:B79"/>
    <mergeCell ref="A81:B81"/>
    <mergeCell ref="A101:B101"/>
    <mergeCell ref="A290:B290"/>
    <mergeCell ref="A131:B131"/>
    <mergeCell ref="A371:B371"/>
    <mergeCell ref="A383:B383"/>
    <mergeCell ref="A391:B391"/>
    <mergeCell ref="A361:B361"/>
    <mergeCell ref="A303:B303"/>
    <mergeCell ref="A314:B314"/>
    <mergeCell ref="A310:B310"/>
    <mergeCell ref="A1086:B1086"/>
    <mergeCell ref="A341:B341"/>
    <mergeCell ref="A337:B337"/>
    <mergeCell ref="A336:U336"/>
    <mergeCell ref="A133:B133"/>
    <mergeCell ref="A321:B321"/>
    <mergeCell ref="A295:B295"/>
    <mergeCell ref="A708:B708"/>
    <mergeCell ref="A722:B722"/>
    <mergeCell ref="A738:B738"/>
    <mergeCell ref="A486:B486"/>
    <mergeCell ref="A489:B489"/>
    <mergeCell ref="A1063:B1063"/>
    <mergeCell ref="A811:B811"/>
    <mergeCell ref="A730:B730"/>
    <mergeCell ref="A757:B757"/>
    <mergeCell ref="A412:B412"/>
    <mergeCell ref="A1081:B1081"/>
    <mergeCell ref="A838:B838"/>
    <mergeCell ref="A1059:B1059"/>
    <mergeCell ref="A868:B868"/>
    <mergeCell ref="A879:B879"/>
    <mergeCell ref="S4:S5"/>
    <mergeCell ref="A1105:B1105"/>
    <mergeCell ref="A1088:B1088"/>
    <mergeCell ref="A1074:B1074"/>
    <mergeCell ref="A1077:B1077"/>
    <mergeCell ref="A1065:B1065"/>
    <mergeCell ref="A882:B882"/>
    <mergeCell ref="A885:B885"/>
    <mergeCell ref="A1083:B1083"/>
    <mergeCell ref="A764:B764"/>
    <mergeCell ref="A866:B866"/>
    <mergeCell ref="A856:B856"/>
    <mergeCell ref="A840:B840"/>
    <mergeCell ref="A791:B791"/>
    <mergeCell ref="A861:B861"/>
    <mergeCell ref="A827:B827"/>
    <mergeCell ref="A803:B803"/>
    <mergeCell ref="A787:B787"/>
    <mergeCell ref="A1079:B1079"/>
    <mergeCell ref="A797:B797"/>
    <mergeCell ref="A794:B794"/>
    <mergeCell ref="A819:B819"/>
    <mergeCell ref="A813:B813"/>
    <mergeCell ref="A376:B37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6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Логутова Лариса Ферденантовна</cp:lastModifiedBy>
  <cp:lastPrinted>2020-12-07T13:16:26Z</cp:lastPrinted>
  <dcterms:created xsi:type="dcterms:W3CDTF">2012-12-13T11:50:40Z</dcterms:created>
  <dcterms:modified xsi:type="dcterms:W3CDTF">2021-01-25T13:53:59Z</dcterms:modified>
</cp:coreProperties>
</file>